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Calmels-et-le-Viala_12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2" i="6" l="1"/>
  <c r="I21" i="6"/>
  <c r="I20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<sst xmlns="http://schemas.openxmlformats.org/spreadsheetml/2006/main" count="1171" uniqueCount="325">
  <si>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</si>
  <si>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</si>
  <si>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</si>
  <si>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</si>
  <si>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</si>
  <si>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</si>
  <si>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</si>
  <si>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</si>
  <si>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</si>
  <si>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</si>
  <si>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</si>
  <si>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</si>
  <si>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</si>
  <si>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</si>
  <si>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</si>
  <si>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</si>
  <si>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</si>
  <si>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</si>
  <si>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</si>
  <si>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</si>
  <si>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</si>
  <si>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</si>
  <si>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</si>
  <si>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</si>
  <si>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</si>
  <si>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</si>
  <si>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</si>
  <si>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</si>
  <si>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</si>
  <si>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</si>
  <si>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</si>
  <si>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</si>
  <si>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</si>
  <si>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</si>
  <si>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</si>
  <si>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</si>
  <si>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</si>
  <si>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</si>
  <si>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</si>
  <si>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</si>
  <si>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</si>
  <si>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</si>
  <si>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</si>
  <si>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</si>
  <si>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</si>
  <si>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</si>
  <si>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</si>
  <si>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</si>
  <si>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</si>
  <si>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</si>
  <si>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</si>
  <si>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</si>
  <si>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</si>
  <si>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</si>
  <si>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</si>
  <si>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</si>
  <si>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</si>
  <si>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</si>
  <si>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</si>
  <si>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</si>
  <si>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</si>
  <si>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</si>
  <si>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</si>
  <si>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</si>
  <si>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</si>
  <si>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</si>
  <si>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</si>
  <si>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</si>
  <si>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</si>
  <si>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</si>
  <si>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</si>
  <si>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</si>
  <si>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</si>
  <si>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</si>
  <si>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</si>
  <si>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</si>
  <si>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</si>
  <si>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</si>
  <si>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</si>
  <si>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</si>
  <si>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</si>
  <si>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</si>
  <si>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</si>
  <si>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</si>
  <si>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</si>
  <si>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</si>
  <si>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</si>
  <si>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</si>
  <si>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</si>
  <si>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</si>
  <si>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</si>
  <si>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</si>
  <si>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</si>
  <si>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</si>
  <si>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</si>
  <si>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</si>
  <si>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</si>
  <si>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</si>
  <si>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</si>
  <si>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</si>
  <si>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</si>
  <si>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</si>
  <si>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</si>
  <si>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</si>
  <si>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</si>
  <si>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</si>
  <si>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</si>
  <si>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</si>
  <si>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</si>
  <si>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</si>
  <si>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</si>
  <si>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</si>
  <si>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</si>
  <si>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</si>
  <si>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</si>
  <si>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</si>
  <si>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</si>
  <si>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</si>
  <si>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</si>
  <si>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</si>
  <si>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</si>
  <si>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</si>
  <si>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</si>
  <si>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</si>
  <si>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</si>
  <si>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</si>
  <si>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</si>
  <si>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</si>
  <si>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</si>
  <si>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</si>
  <si>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</si>
  <si>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</si>
  <si>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</si>
  <si>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</si>
  <si>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</si>
  <si>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</si>
  <si>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</si>
  <si>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</si>
  <si>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</si>
  <si>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</si>
  <si>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</si>
  <si>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</si>
  <si>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</si>
  <si>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</si>
  <si>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</si>
  <si>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</si>
  <si>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</si>
  <si>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</si>
  <si>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</si>
  <si>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</si>
  <si>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</si>
  <si>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</si>
  <si>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</si>
  <si>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</si>
  <si>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</si>
  <si>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</si>
  <si>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</si>
  <si>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</si>
  <si>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</si>
  <si>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</si>
  <si>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</si>
  <si>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</si>
  <si>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</si>
  <si>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</si>
  <si>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</si>
  <si>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</si>
  <si>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</si>
  <si>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</si>
  <si>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</si>
  <si>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</si>
  <si>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</si>
  <si>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</si>
  <si>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</si>
  <si>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</si>
  <si>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</si>
  <si>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</si>
  <si>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</si>
  <si>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</si>
  <si>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</si>
  <si>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</si>
  <si>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</si>
  <si>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</si>
  <si>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</si>
  <si>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</si>
  <si>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</si>
  <si>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</si>
  <si>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</si>
  <si>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</si>
  <si>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</si>
  <si>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</si>
  <si>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</si>
  <si>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</si>
  <si>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</si>
  <si>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</si>
  <si>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</si>
  <si>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</si>
  <si>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</si>
  <si>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</si>
  <si>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</si>
  <si>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</si>
  <si>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</si>
  <si>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</si>
  <si>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</si>
  <si>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</si>
  <si>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</si>
  <si>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</si>
  <si>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</si>
  <si>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</si>
  <si>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</si>
  <si>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</si>
  <si>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</si>
  <si>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</si>
  <si>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</si>
  <si>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</si>
  <si>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</si>
  <si>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</si>
  <si>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</si>
  <si>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</si>
  <si>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</si>
  <si>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</si>
  <si>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</si>
  <si>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</si>
  <si>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</si>
  <si>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</si>
  <si>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</si>
  <si>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</si>
  <si>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</si>
  <si>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</si>
  <si>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</si>
  <si>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</si>
  <si>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</si>
  <si>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</si>
  <si>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</si>
  <si>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</si>
  <si>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</si>
  <si>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</si>
  <si>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</si>
  <si>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</si>
  <si>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</si>
  <si>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</si>
  <si>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</si>
  <si>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</si>
  <si>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</si>
  <si>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</si>
  <si>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</si>
  <si>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</si>
  <si>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</si>
  <si>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</si>
  <si>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</si>
  <si>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</si>
  <si>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</si>
  <si>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</si>
  <si>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</si>
  <si>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</si>
  <si>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</si>
  <si>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</si>
  <si>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</si>
  <si>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</si>
  <si>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</si>
  <si>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</si>
  <si>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</si>
  <si>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</si>
  <si>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</si>
  <si>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</si>
  <si>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</si>
  <si>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</si>
  <si>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</si>
  <si>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</si>
  <si>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</si>
  <si>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</si>
  <si>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</si>
  <si>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</si>
  <si>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</si>
  <si>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</si>
  <si>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</si>
  <si>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</si>
  <si>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</si>
  <si>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</si>
  <si>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</si>
  <si>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</si>
  <si>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</si>
  <si>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</si>
  <si>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</si>
  <si>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</si>
  <si>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</si>
  <si>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</si>
  <si>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</si>
  <si>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</si>
  <si>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</si>
  <si>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</si>
  <si>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</si>
  <si>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</si>
  <si>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</si>
  <si>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</si>
  <si>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</si>
  <si>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</si>
  <si>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</si>
  <si>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</si>
  <si>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</si>
  <si>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</si>
  <si>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</si>
  <si>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</si>
  <si>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</si>
  <si>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</si>
  <si>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</si>
  <si>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</si>
  <si>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</si>
  <si>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</si>
  <si>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</si>
  <si>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</si>
  <si>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</si>
  <si>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</si>
  <si>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</si>
  <si>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</si>
  <si>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</si>
  <si>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</si>
  <si>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</si>
  <si>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</si>
  <si>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</si>
  <si>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</si>
  <si>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</si>
  <si>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</si>
  <si>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</si>
  <si>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</si>
  <si>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C'est du sapin de Bornmüller mais n'est pas dans les options d'où le choix du sapin de Nordmann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</si>
</sst>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1.5439456331834551</c:v>
                </c:pt>
                <c:pt idx="2">
                  <c:v>1.8949338700357636</c:v>
                </c:pt>
                <c:pt idx="3">
                  <c:v>2.3260254655741921</c:v>
                </c:pt>
                <c:pt idx="4">
                  <c:v>2.8555693163508629</c:v>
                </c:pt>
                <c:pt idx="5">
                  <c:v>3.5061319452727435</c:v>
                </c:pt>
                <c:pt idx="6">
                  <c:v>4.3054700694464954</c:v>
                </c:pt>
                <c:pt idx="7">
                  <c:v>5.2877281041436426</c:v>
                </c:pt>
                <c:pt idx="8">
                  <c:v>6.4949127680855065</c:v>
                </c:pt>
                <c:pt idx="9">
                  <c:v>7.9787090830604361</c:v>
                </c:pt>
                <c:pt idx="10">
                  <c:v>9.8027170146562401</c:v>
                </c:pt>
                <c:pt idx="11">
                  <c:v>12.04520644045572</c:v>
                </c:pt>
                <c:pt idx="12">
                  <c:v>14.802510871590192</c:v>
                </c:pt>
                <c:pt idx="13">
                  <c:v>18.193208397778456</c:v>
                </c:pt>
                <c:pt idx="14">
                  <c:v>22.363272914769713</c:v>
                </c:pt>
                <c:pt idx="15">
                  <c:v>27.492421356630757</c:v>
                </c:pt>
                <c:pt idx="16">
                  <c:v>33.801935282123317</c:v>
                </c:pt>
                <c:pt idx="17">
                  <c:v>41.564300085497145</c:v>
                </c:pt>
                <c:pt idx="18">
                  <c:v>51.115085194620008</c:v>
                </c:pt>
                <c:pt idx="19">
                  <c:v>62.867587435163443</c:v>
                </c:pt>
                <c:pt idx="20">
                  <c:v>77.330881663014296</c:v>
                </c:pt>
                <c:pt idx="21">
                  <c:v>95.132073210943076</c:v>
                </c:pt>
                <c:pt idx="22">
                  <c:v>117.04373234238722</c:v>
                </c:pt>
                <c:pt idx="23">
                  <c:v>144.01772000565879</c:v>
                </c:pt>
                <c:pt idx="24">
                  <c:v>177.2268969231578</c:v>
                </c:pt>
                <c:pt idx="25">
                  <c:v>218.1165570111348</c:v>
                </c:pt>
                <c:pt idx="26">
                  <c:v>200.04371845798323</c:v>
                </c:pt>
                <c:pt idx="27">
                  <c:v>223.51080986258512</c:v>
                </c:pt>
                <c:pt idx="28">
                  <c:v>246.92139570839652</c:v>
                </c:pt>
                <c:pt idx="29">
                  <c:v>270.28158571749628</c:v>
                </c:pt>
                <c:pt idx="30">
                  <c:v>293.59634643573321</c:v>
                </c:pt>
                <c:pt idx="31">
                  <c:v>317.07557691934716</c:v>
                </c:pt>
                <c:pt idx="32">
                  <c:v>340.51630554189489</c:v>
                </c:pt>
                <c:pt idx="33">
                  <c:v>363.92155359648535</c:v>
                </c:pt>
                <c:pt idx="34">
                  <c:v>387.29392215818729</c:v>
                </c:pt>
                <c:pt idx="35">
                  <c:v>410.63567288724448</c:v>
                </c:pt>
                <c:pt idx="36">
                  <c:v>318.03587252840657</c:v>
                </c:pt>
                <c:pt idx="37">
                  <c:v>340.37933111763806</c:v>
                </c:pt>
                <c:pt idx="38">
                  <c:v>362.6905393316336</c:v>
                </c:pt>
                <c:pt idx="39">
                  <c:v>384.9717587498028</c:v>
                </c:pt>
                <c:pt idx="40">
                  <c:v>407.22496791163536</c:v>
                </c:pt>
                <c:pt idx="41">
                  <c:v>429.45191158872217</c:v>
                </c:pt>
                <c:pt idx="42">
                  <c:v>451.65413932178518</c:v>
                </c:pt>
                <c:pt idx="43">
                  <c:v>473.83303598471588</c:v>
                </c:pt>
                <c:pt idx="44">
                  <c:v>495.98984632847555</c:v>
                </c:pt>
                <c:pt idx="45">
                  <c:v>518.12569491184945</c:v>
                </c:pt>
                <c:pt idx="46">
                  <c:v>540.24160245000428</c:v>
                </c:pt>
                <c:pt idx="47">
                  <c:v>562.33849934782381</c:v>
                </c:pt>
                <c:pt idx="48">
                  <c:v>584.41723699652323</c:v>
                </c:pt>
                <c:pt idx="49">
                  <c:v>606.47859727538855</c:v>
                </c:pt>
                <c:pt idx="50">
                  <c:v>628.52330060000259</c:v>
                </c:pt>
                <c:pt idx="51">
                  <c:v>476.11088435511527</c:v>
                </c:pt>
                <c:pt idx="52">
                  <c:v>494.56321024655767</c:v>
                </c:pt>
                <c:pt idx="53">
                  <c:v>513.00095110220684</c:v>
                </c:pt>
                <c:pt idx="54">
                  <c:v>531.42470457108482</c:v>
                </c:pt>
                <c:pt idx="55">
                  <c:v>549.83502351094694</c:v>
                </c:pt>
                <c:pt idx="56">
                  <c:v>568.23242076316262</c:v>
                </c:pt>
                <c:pt idx="57">
                  <c:v>586.61737327737058</c:v>
                </c:pt>
                <c:pt idx="58">
                  <c:v>604.99032569246003</c:v>
                </c:pt>
                <c:pt idx="59">
                  <c:v>623.35169346019541</c:v>
                </c:pt>
                <c:pt idx="60">
                  <c:v>641.70186558191415</c:v>
                </c:pt>
                <c:pt idx="61">
                  <c:v>660.04120701613817</c:v>
                </c:pt>
                <c:pt idx="62">
                  <c:v>678.37006080489414</c:v>
                </c:pt>
                <c:pt idx="63">
                  <c:v>696.68874995846625</c:v>
                </c:pt>
                <c:pt idx="64">
                  <c:v>714.99757913178439</c:v>
                </c:pt>
                <c:pt idx="65">
                  <c:v>733.29683612032852</c:v>
                </c:pt>
                <c:pt idx="66">
                  <c:v>751.58679319909152</c:v>
                </c:pt>
                <c:pt idx="67">
                  <c:v>769.86770832455659</c:v>
                </c:pt>
                <c:pt idx="68">
                  <c:v>788.1398262166889</c:v>
                </c:pt>
                <c:pt idx="69">
                  <c:v>806.40337933547778</c:v>
                </c:pt>
                <c:pt idx="70">
                  <c:v>824.65858876450568</c:v>
                </c:pt>
                <c:pt idx="71">
                  <c:v>643.42480053791883</c:v>
                </c:pt>
                <c:pt idx="72">
                  <c:v>658.31917885838379</c:v>
                </c:pt>
                <c:pt idx="73">
                  <c:v>673.20661928386846</c:v>
                </c:pt>
                <c:pt idx="74">
                  <c:v>688.08729675396023</c:v>
                </c:pt>
                <c:pt idx="75">
                  <c:v>702.96137803000772</c:v>
                </c:pt>
                <c:pt idx="76">
                  <c:v>717.82902224596671</c:v>
                </c:pt>
                <c:pt idx="77">
                  <c:v>732.69038141127157</c:v>
                </c:pt>
                <c:pt idx="78">
                  <c:v>747.54560087081791</c:v>
                </c:pt>
                <c:pt idx="79">
                  <c:v>762.39481972651345</c:v>
                </c:pt>
                <c:pt idx="80">
                  <c:v>777.23817122430307</c:v>
                </c:pt>
                <c:pt idx="81">
                  <c:v>1.2692886391529001E-11</c:v>
                </c:pt>
                <c:pt idx="82">
                  <c:v>1.2692886391529001E-11</c:v>
                </c:pt>
                <c:pt idx="83">
                  <c:v>1.2692886391529001E-11</c:v>
                </c:pt>
                <c:pt idx="84">
                  <c:v>1.2692886391529001E-11</c:v>
                </c:pt>
                <c:pt idx="85">
                  <c:v>1.2692886391529001E-11</c:v>
                </c:pt>
                <c:pt idx="86">
                  <c:v>1.2692886391529001E-11</c:v>
                </c:pt>
                <c:pt idx="87">
                  <c:v>1.2692886391529001E-11</c:v>
                </c:pt>
                <c:pt idx="88">
                  <c:v>1.2692886391529001E-11</c:v>
                </c:pt>
                <c:pt idx="89">
                  <c:v>1.2692886391529001E-11</c:v>
                </c:pt>
                <c:pt idx="90">
                  <c:v>1.2692886391529001E-11</c:v>
                </c:pt>
                <c:pt idx="91">
                  <c:v>1.2692886391529001E-11</c:v>
                </c:pt>
                <c:pt idx="92">
                  <c:v>1.2692886391529001E-11</c:v>
                </c:pt>
                <c:pt idx="93">
                  <c:v>1.2692886391529001E-11</c:v>
                </c:pt>
                <c:pt idx="94">
                  <c:v>1.2692886391529001E-11</c:v>
                </c:pt>
                <c:pt idx="95">
                  <c:v>1.2692886391529001E-11</c:v>
                </c:pt>
                <c:pt idx="96">
                  <c:v>1.2692886391529001E-11</c:v>
                </c:pt>
                <c:pt idx="97">
                  <c:v>1.2692886391529001E-11</c:v>
                </c:pt>
                <c:pt idx="98">
                  <c:v>1.2692886391529001E-11</c:v>
                </c:pt>
                <c:pt idx="99">
                  <c:v>1.2692886391529001E-11</c:v>
                </c:pt>
                <c:pt idx="100">
                  <c:v>1.2692886391529001E-11</c:v>
                </c:pt>
                <c:pt idx="101">
                  <c:v>1.2692886391529001E-11</c:v>
                </c:pt>
                <c:pt idx="102">
                  <c:v>1.2692886391529001E-11</c:v>
                </c:pt>
                <c:pt idx="103">
                  <c:v>1.2692886391529001E-11</c:v>
                </c:pt>
                <c:pt idx="104">
                  <c:v>1.2692886391529001E-11</c:v>
                </c:pt>
                <c:pt idx="105">
                  <c:v>1.2692886391529001E-11</c:v>
                </c:pt>
                <c:pt idx="106">
                  <c:v>1.2692886391529001E-11</c:v>
                </c:pt>
                <c:pt idx="107">
                  <c:v>1.2692886391529001E-11</c:v>
                </c:pt>
                <c:pt idx="108">
                  <c:v>1.2692886391529001E-11</c:v>
                </c:pt>
                <c:pt idx="109">
                  <c:v>1.2692886391529001E-11</c:v>
                </c:pt>
                <c:pt idx="110">
                  <c:v>1.2692886391529001E-11</c:v>
                </c:pt>
                <c:pt idx="111">
                  <c:v>1.2692886391529001E-11</c:v>
                </c:pt>
                <c:pt idx="112">
                  <c:v>1.2692886391529001E-11</c:v>
                </c:pt>
                <c:pt idx="113">
                  <c:v>1.2692886391529001E-11</c:v>
                </c:pt>
                <c:pt idx="114">
                  <c:v>1.2692886391529001E-11</c:v>
                </c:pt>
                <c:pt idx="115">
                  <c:v>1.2692886391529001E-11</c:v>
                </c:pt>
                <c:pt idx="116">
                  <c:v>1.2692886391529001E-11</c:v>
                </c:pt>
                <c:pt idx="117">
                  <c:v>1.2692886391529001E-11</c:v>
                </c:pt>
                <c:pt idx="118">
                  <c:v>1.2692886391529001E-11</c:v>
                </c:pt>
                <c:pt idx="119">
                  <c:v>1.2692886391529001E-11</c:v>
                </c:pt>
                <c:pt idx="120">
                  <c:v>1.2692886391529001E-11</c:v>
                </c:pt>
                <c:pt idx="121">
                  <c:v>1.2692886391529001E-11</c:v>
                </c:pt>
                <c:pt idx="122">
                  <c:v>1.2692886391529001E-11</c:v>
                </c:pt>
                <c:pt idx="123">
                  <c:v>1.2692886391529001E-11</c:v>
                </c:pt>
                <c:pt idx="124">
                  <c:v>1.2692886391529001E-11</c:v>
                </c:pt>
                <c:pt idx="125">
                  <c:v>1.2692886391529001E-11</c:v>
                </c:pt>
                <c:pt idx="126">
                  <c:v>1.2692886391529001E-11</c:v>
                </c:pt>
                <c:pt idx="127">
                  <c:v>1.2692886391529001E-11</c:v>
                </c:pt>
                <c:pt idx="128">
                  <c:v>1.2692886391529001E-11</c:v>
                </c:pt>
                <c:pt idx="129">
                  <c:v>1.2692886391529001E-11</c:v>
                </c:pt>
                <c:pt idx="130">
                  <c:v>1.2692886391529001E-11</c:v>
                </c:pt>
                <c:pt idx="131">
                  <c:v>1.2692886391529001E-11</c:v>
                </c:pt>
                <c:pt idx="132">
                  <c:v>1.2692886391529001E-11</c:v>
                </c:pt>
                <c:pt idx="133">
                  <c:v>1.2692886391529001E-11</c:v>
                </c:pt>
                <c:pt idx="134">
                  <c:v>1.2692886391529001E-11</c:v>
                </c:pt>
                <c:pt idx="135">
                  <c:v>1.2692886391529001E-11</c:v>
                </c:pt>
                <c:pt idx="136">
                  <c:v>1.2692886391529001E-11</c:v>
                </c:pt>
                <c:pt idx="137">
                  <c:v>1.2692886391529001E-11</c:v>
                </c:pt>
                <c:pt idx="138">
                  <c:v>1.2692886391529001E-11</c:v>
                </c:pt>
                <c:pt idx="139">
                  <c:v>1.2692886391529001E-11</c:v>
                </c:pt>
                <c:pt idx="140">
                  <c:v>1.2692886391529001E-11</c:v>
                </c:pt>
                <c:pt idx="141">
                  <c:v>1.2692886391529001E-11</c:v>
                </c:pt>
                <c:pt idx="142">
                  <c:v>1.2692886391529001E-11</c:v>
                </c:pt>
                <c:pt idx="143">
                  <c:v>1.2692886391529001E-11</c:v>
                </c:pt>
                <c:pt idx="144">
                  <c:v>1.2692886391529001E-11</c:v>
                </c:pt>
                <c:pt idx="145">
                  <c:v>1.2692886391529001E-11</c:v>
                </c:pt>
                <c:pt idx="146">
                  <c:v>1.2692886391529001E-11</c:v>
                </c:pt>
                <c:pt idx="147">
                  <c:v>1.2692886391529001E-11</c:v>
                </c:pt>
                <c:pt idx="148">
                  <c:v>1.2692886391529001E-11</c:v>
                </c:pt>
                <c:pt idx="149">
                  <c:v>1.2692886391529001E-11</c:v>
                </c:pt>
                <c:pt idx="150">
                  <c:v>1.2692886391529001E-11</c:v>
                </c:pt>
                <c:pt idx="151">
                  <c:v>1.2692886391529001E-11</c:v>
                </c:pt>
                <c:pt idx="152">
                  <c:v>1.2692886391529001E-11</c:v>
                </c:pt>
                <c:pt idx="153">
                  <c:v>1.2692886391529001E-11</c:v>
                </c:pt>
                <c:pt idx="154">
                  <c:v>1.2692886391529001E-11</c:v>
                </c:pt>
                <c:pt idx="155">
                  <c:v>1.2692886391529001E-11</c:v>
                </c:pt>
                <c:pt idx="156">
                  <c:v>1.2692886391529001E-11</c:v>
                </c:pt>
                <c:pt idx="157">
                  <c:v>1.2692886391529001E-11</c:v>
                </c:pt>
                <c:pt idx="158">
                  <c:v>1.2692886391529001E-11</c:v>
                </c:pt>
                <c:pt idx="159">
                  <c:v>1.2692886391529001E-11</c:v>
                </c:pt>
                <c:pt idx="160">
                  <c:v>1.2692886391529001E-11</c:v>
                </c:pt>
                <c:pt idx="161">
                  <c:v>1.2692886391529001E-11</c:v>
                </c:pt>
                <c:pt idx="162">
                  <c:v>1.2692886391529001E-11</c:v>
                </c:pt>
                <c:pt idx="163">
                  <c:v>1.2692886391529001E-11</c:v>
                </c:pt>
                <c:pt idx="164">
                  <c:v>1.2692886391529001E-11</c:v>
                </c:pt>
                <c:pt idx="165">
                  <c:v>1.2692886391529001E-11</c:v>
                </c:pt>
                <c:pt idx="166">
                  <c:v>1.2692886391529001E-11</c:v>
                </c:pt>
                <c:pt idx="167">
                  <c:v>1.2692886391529001E-11</c:v>
                </c:pt>
                <c:pt idx="168">
                  <c:v>1.2692886391529001E-11</c:v>
                </c:pt>
                <c:pt idx="169">
                  <c:v>1.2692886391529001E-11</c:v>
                </c:pt>
                <c:pt idx="170">
                  <c:v>1.2692886391529001E-11</c:v>
                </c:pt>
                <c:pt idx="171">
                  <c:v>1.2692886391529001E-11</c:v>
                </c:pt>
                <c:pt idx="172">
                  <c:v>1.2692886391529001E-11</c:v>
                </c:pt>
                <c:pt idx="173">
                  <c:v>1.2692886391529001E-11</c:v>
                </c:pt>
                <c:pt idx="174">
                  <c:v>1.2692886391529001E-11</c:v>
                </c:pt>
                <c:pt idx="175">
                  <c:v>1.2692886391529001E-11</c:v>
                </c:pt>
                <c:pt idx="176">
                  <c:v>1.2692886391529001E-11</c:v>
                </c:pt>
                <c:pt idx="177">
                  <c:v>1.2692886391529001E-11</c:v>
                </c:pt>
                <c:pt idx="178">
                  <c:v>1.2692886391529001E-11</c:v>
                </c:pt>
                <c:pt idx="179">
                  <c:v>1.2692886391529001E-11</c:v>
                </c:pt>
                <c:pt idx="180">
                  <c:v>1.2692886391529001E-11</c:v>
                </c:pt>
                <c:pt idx="181">
                  <c:v>1.2692886391529001E-11</c:v>
                </c:pt>
                <c:pt idx="182">
                  <c:v>1.2692886391529001E-11</c:v>
                </c:pt>
                <c:pt idx="183">
                  <c:v>1.2692886391529001E-11</c:v>
                </c:pt>
                <c:pt idx="184">
                  <c:v>1.2692886391529001E-11</c:v>
                </c:pt>
                <c:pt idx="185">
                  <c:v>1.2692886391529001E-11</c:v>
                </c:pt>
                <c:pt idx="186">
                  <c:v>1.2692886391529001E-11</c:v>
                </c:pt>
                <c:pt idx="187">
                  <c:v>1.2692886391529001E-11</c:v>
                </c:pt>
                <c:pt idx="188">
                  <c:v>1.2692886391529001E-11</c:v>
                </c:pt>
                <c:pt idx="189">
                  <c:v>1.2692886391529001E-11</c:v>
                </c:pt>
                <c:pt idx="190">
                  <c:v>1.2692886391529001E-11</c:v>
                </c:pt>
                <c:pt idx="191">
                  <c:v>1.2692886391529001E-11</c:v>
                </c:pt>
                <c:pt idx="192">
                  <c:v>1.2692886391529001E-11</c:v>
                </c:pt>
                <c:pt idx="193">
                  <c:v>1.2692886391529001E-11</c:v>
                </c:pt>
                <c:pt idx="194">
                  <c:v>1.2692886391529001E-11</c:v>
                </c:pt>
                <c:pt idx="195">
                  <c:v>1.2692886391529001E-11</c:v>
                </c:pt>
                <c:pt idx="196">
                  <c:v>1.2692886391529001E-11</c:v>
                </c:pt>
                <c:pt idx="197">
                  <c:v>1.2692886391529001E-11</c:v>
                </c:pt>
                <c:pt idx="198">
                  <c:v>1.2692886391529001E-11</c:v>
                </c:pt>
                <c:pt idx="199">
                  <c:v>1.2692886391529001E-11</c:v>
                </c:pt>
                <c:pt idx="200">
                  <c:v>1.2692886391529001E-11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46432"/>
        <c:axId val="-1685844256"/>
      </c:scatterChart>
      <c:valAx>
        <c:axId val="-168584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4256"/>
        <c:crosses val="autoZero"/>
        <c:crossBetween val="midCat"/>
      </c:valAx>
      <c:valAx>
        <c:axId val="-168584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7776"/>
        <c:axId val="-1822761792"/>
      </c:scatterChart>
      <c:valAx>
        <c:axId val="-1822767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1792"/>
        <c:crosses val="autoZero"/>
        <c:crossBetween val="midCat"/>
      </c:valAx>
      <c:valAx>
        <c:axId val="-182276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7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34464"/>
        <c:axId val="-1685840448"/>
      </c:scatterChart>
      <c:valAx>
        <c:axId val="-168583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0448"/>
        <c:crosses val="autoZero"/>
        <c:crossBetween val="midCat"/>
      </c:valAx>
      <c:valAx>
        <c:axId val="-168584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42624"/>
        <c:axId val="-1685838816"/>
      </c:scatterChart>
      <c:valAx>
        <c:axId val="-168584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8816"/>
        <c:crosses val="autoZero"/>
        <c:crossBetween val="midCat"/>
      </c:valAx>
      <c:valAx>
        <c:axId val="-168583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43712"/>
        <c:axId val="-1685840992"/>
      </c:scatterChart>
      <c:valAx>
        <c:axId val="-168584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0992"/>
        <c:crosses val="autoZero"/>
        <c:crossBetween val="midCat"/>
      </c:valAx>
      <c:valAx>
        <c:axId val="-168584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4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39360"/>
        <c:axId val="-1685838272"/>
      </c:scatterChart>
      <c:valAx>
        <c:axId val="-168583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8272"/>
        <c:crosses val="autoZero"/>
        <c:crossBetween val="midCat"/>
      </c:valAx>
      <c:valAx>
        <c:axId val="-168583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37728"/>
        <c:axId val="-1685837184"/>
      </c:scatterChart>
      <c:valAx>
        <c:axId val="-168583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7184"/>
        <c:crosses val="autoZero"/>
        <c:crossBetween val="midCat"/>
      </c:valAx>
      <c:valAx>
        <c:axId val="-168583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36096"/>
        <c:axId val="-1685835552"/>
      </c:scatterChart>
      <c:valAx>
        <c:axId val="-16858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5552"/>
        <c:crosses val="autoZero"/>
        <c:crossBetween val="midCat"/>
      </c:valAx>
      <c:valAx>
        <c:axId val="-168583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5833376"/>
        <c:axId val="-1822774304"/>
      </c:scatterChart>
      <c:valAx>
        <c:axId val="-1685833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4304"/>
        <c:crosses val="autoZero"/>
        <c:crossBetween val="midCat"/>
      </c:valAx>
      <c:valAx>
        <c:axId val="-182277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583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2762880"/>
        <c:axId val="-1822774848"/>
      </c:scatterChart>
      <c:valAx>
        <c:axId val="-1822762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74848"/>
        <c:crosses val="autoZero"/>
        <c:crossBetween val="midCat"/>
      </c:valAx>
      <c:valAx>
        <c:axId val="-18227748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2762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90" zoomScaleNormal="90" workbookViewId="0">
      <selection activeCell="E28" sqref="E28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0.75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45</v>
      </c>
      <c r="C9" s="35">
        <v>1</v>
      </c>
      <c r="D9" s="36">
        <f t="shared" ref="D9:D18" si="0">C9*$C$5</f>
        <v>0.75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0.75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Sapin de Nordmann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205</v>
      </c>
      <c r="C36" s="63">
        <v>1</v>
      </c>
      <c r="D36" s="63">
        <v>40</v>
      </c>
      <c r="E36" s="54"/>
      <c r="F36" s="54">
        <v>0.5</v>
      </c>
      <c r="G36" s="54">
        <v>0.5</v>
      </c>
      <c r="H36" s="54"/>
      <c r="I36" s="52">
        <f>IFERROR(B36/A36,"")</f>
        <v>8.1999999999999993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278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22.6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392</v>
      </c>
      <c r="C38" s="63">
        <v>2</v>
      </c>
      <c r="D38" s="63">
        <v>112</v>
      </c>
      <c r="E38" s="54">
        <v>0.33</v>
      </c>
      <c r="F38" s="54">
        <v>0.33</v>
      </c>
      <c r="G38" s="54">
        <v>0.33</v>
      </c>
      <c r="H38" s="54"/>
      <c r="I38" s="56">
        <f t="shared" si="1"/>
        <v>22.8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606</v>
      </c>
      <c r="C39" s="63">
        <v>3</v>
      </c>
      <c r="D39" s="63">
        <v>168</v>
      </c>
      <c r="E39" s="54">
        <v>0.5</v>
      </c>
      <c r="F39" s="54">
        <v>0.25</v>
      </c>
      <c r="G39" s="54">
        <v>0.25</v>
      </c>
      <c r="H39" s="54"/>
      <c r="I39" s="52">
        <f t="shared" si="1"/>
        <v>21.733333333333334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70</v>
      </c>
      <c r="B40" s="63">
        <v>800</v>
      </c>
      <c r="C40" s="63">
        <v>4</v>
      </c>
      <c r="D40" s="63">
        <v>194</v>
      </c>
      <c r="E40" s="54">
        <v>0.75</v>
      </c>
      <c r="F40" s="54">
        <v>0.125</v>
      </c>
      <c r="G40" s="54">
        <v>0.125</v>
      </c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80</v>
      </c>
      <c r="B41" s="63">
        <v>753</v>
      </c>
      <c r="C41" s="63"/>
      <c r="D41" s="63">
        <v>753</v>
      </c>
      <c r="E41" s="54">
        <v>0.8</v>
      </c>
      <c r="F41" s="54">
        <v>0.1</v>
      </c>
      <c r="G41" s="54">
        <v>0.1</v>
      </c>
      <c r="H41" s="54"/>
      <c r="I41" s="56">
        <f t="shared" si="1"/>
        <v>14.7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Sapin de Nordmann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417.73464038490249</v>
      </c>
      <c r="T3" s="62">
        <f>IF('Données projet'!E9&gt;30,$R$33-$H$33,LOOKUP('Données projet'!$E$9,$A$3:$A$203,R3:R203)-LOOKUP('Données projet'!$E$9,$A$3:$A$203,$H$3:$H$203))</f>
        <v>330.26301310239984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8.1999999999999993</v>
      </c>
      <c r="N4" s="14">
        <f>IF('Données projet'!$A$36&gt;35,N3+M4-V3,IF(A4&lt;'Données projet'!$A$36,$K$205^A4,IF(A4='Données projet'!$A$36,'Données projet'!$B$36,N3+M4-V3)))</f>
        <v>1.2372861583129209</v>
      </c>
      <c r="O4" s="14">
        <f>N4*VLOOKUP('Données projet'!$B$9,Paramètres!$A$1:$I$89,3,0)*VLOOKUP('Données projet'!$B$9,Paramètres!$A$1:$I$89,5,0)</f>
        <v>0.59513464214851497</v>
      </c>
      <c r="P4" s="14">
        <f>EXP(-1.0587+0.8836*LN(O4)+0.284)</f>
        <v>0.2913413194879188</v>
      </c>
      <c r="Q4" s="22">
        <f t="shared" ref="Q4:Q34" si="2">(O4+P4)*0.475*44/12</f>
        <v>1.5439456331834551</v>
      </c>
      <c r="R4" s="62">
        <f t="shared" si="0"/>
        <v>259.43283452207231</v>
      </c>
      <c r="S4" s="62">
        <f ca="1">AVERAGE(OFFSET($R$3,0,0,'Données projet'!$E$9+1,1))-AVERAGE(OFFSET($H$3,0,0,'Données projet'!$E$9+1,1))</f>
        <v>417.73464038490249</v>
      </c>
      <c r="T4" s="62">
        <f>$T$3</f>
        <v>330.26301310239984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8.1999999999999993</v>
      </c>
      <c r="N5" s="14">
        <f>IF('Données projet'!$A$36&gt;35,N4+M5-V4,IF(A5&lt;'Données projet'!$A$36,$K$205^A5,IF(A5='Données projet'!$A$36,'Données projet'!$B$36,N4+M5-V4)))</f>
        <v>1.5308770375527463</v>
      </c>
      <c r="O5" s="14">
        <f>N5*VLOOKUP('Données projet'!$B$9,Paramètres!$A$1:$I$89,3,0)*VLOOKUP('Données projet'!$B$9,Paramètres!$A$1:$I$89,5,0)</f>
        <v>0.73635185506287104</v>
      </c>
      <c r="P5" s="14">
        <f t="shared" ref="P5:P68" si="33">EXP(-1.0587+0.8836*LN(O5)+0.284)</f>
        <v>0.35164845309163439</v>
      </c>
      <c r="Q5" s="22">
        <f t="shared" si="2"/>
        <v>1.8949338700357636</v>
      </c>
      <c r="R5" s="62">
        <f t="shared" si="0"/>
        <v>261.00604498114689</v>
      </c>
      <c r="S5" s="62">
        <f ca="1">AVERAGE(OFFSET($R$3,0,0,'Données projet'!$E$9+1,1))-AVERAGE(OFFSET($H$3,0,0,'Données projet'!$E$9+1,1))</f>
        <v>417.73464038490249</v>
      </c>
      <c r="T5" s="62">
        <f t="shared" ref="T5:T68" si="34">$T$3</f>
        <v>330.26301310239984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8.1999999999999993</v>
      </c>
      <c r="N6" s="14">
        <f>IF('Données projet'!$A$36&gt;35,N5+M6-V5,IF(A6&lt;'Données projet'!$A$36,$K$205^A6,IF(A6='Données projet'!$A$36,'Données projet'!$B$36,N5+M6-V5)))</f>
        <v>1.8941329686431025</v>
      </c>
      <c r="O6" s="14">
        <f>N6*VLOOKUP('Données projet'!$B$9,Paramètres!$A$1:$I$89,3,0)*VLOOKUP('Données projet'!$B$9,Paramètres!$A$1:$I$89,5,0)</f>
        <v>0.91107795791733226</v>
      </c>
      <c r="P6" s="14">
        <f t="shared" si="33"/>
        <v>0.42443905580947672</v>
      </c>
      <c r="Q6" s="22">
        <f t="shared" si="2"/>
        <v>2.3260254655741921</v>
      </c>
      <c r="R6" s="62">
        <f t="shared" si="0"/>
        <v>262.65935879890753</v>
      </c>
      <c r="S6" s="62">
        <f ca="1">AVERAGE(OFFSET($R$3,0,0,'Données projet'!$E$9+1,1))-AVERAGE(OFFSET($H$3,0,0,'Données projet'!$E$9+1,1))</f>
        <v>417.73464038490249</v>
      </c>
      <c r="T6" s="62">
        <f t="shared" si="34"/>
        <v>330.26301310239984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8.1999999999999993</v>
      </c>
      <c r="N7" s="14">
        <f>IF('Données projet'!$A$36&gt;35,N6+M7-V6,IF(A7&lt;'Données projet'!$A$36,$K$205^A7,IF(A7='Données projet'!$A$36,'Données projet'!$B$36,N6+M7-V6)))</f>
        <v>2.3435845041062726</v>
      </c>
      <c r="O7" s="14">
        <f>N7*VLOOKUP('Données projet'!$B$9,Paramètres!$A$1:$I$89,3,0)*VLOOKUP('Données projet'!$B$9,Paramètres!$A$1:$I$89,5,0)</f>
        <v>1.1272641464751172</v>
      </c>
      <c r="P7" s="14">
        <f t="shared" si="33"/>
        <v>0.51229718348710063</v>
      </c>
      <c r="Q7" s="22">
        <f t="shared" si="2"/>
        <v>2.8555693163508629</v>
      </c>
      <c r="R7" s="62">
        <f t="shared" si="0"/>
        <v>264.4111248719064</v>
      </c>
      <c r="S7" s="62">
        <f ca="1">AVERAGE(OFFSET($R$3,0,0,'Données projet'!$E$9+1,1))-AVERAGE(OFFSET($H$3,0,0,'Données projet'!$E$9+1,1))</f>
        <v>417.73464038490249</v>
      </c>
      <c r="T7" s="62">
        <f t="shared" si="34"/>
        <v>330.26301310239984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8.1999999999999993</v>
      </c>
      <c r="N8" s="14">
        <f>IF('Données projet'!$A$36&gt;35,N7+M8-V7,IF(A8&lt;'Données projet'!$A$36,$K$205^A8,IF(A8='Données projet'!$A$36,'Données projet'!$B$36,N7+M8-V7)))</f>
        <v>2.8996846677673416</v>
      </c>
      <c r="O8" s="14">
        <f>N8*VLOOKUP('Données projet'!$B$9,Paramètres!$A$1:$I$89,3,0)*VLOOKUP('Données projet'!$B$9,Paramètres!$A$1:$I$89,5,0)</f>
        <v>1.3947483251960915</v>
      </c>
      <c r="P8" s="14">
        <f t="shared" si="33"/>
        <v>0.61834178692223019</v>
      </c>
      <c r="Q8" s="22">
        <f t="shared" si="2"/>
        <v>3.5061319452727435</v>
      </c>
      <c r="R8" s="62">
        <f t="shared" si="0"/>
        <v>266.2839097230505</v>
      </c>
      <c r="S8" s="62">
        <f ca="1">AVERAGE(OFFSET($R$3,0,0,'Données projet'!$E$9+1,1))-AVERAGE(OFFSET($H$3,0,0,'Données projet'!$E$9+1,1))</f>
        <v>417.73464038490249</v>
      </c>
      <c r="T8" s="62">
        <f t="shared" si="34"/>
        <v>330.26301310239984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8.1999999999999993</v>
      </c>
      <c r="N9" s="14">
        <f>IF('Données projet'!$A$36&gt;35,N8+M9-V8,IF(A9&lt;'Données projet'!$A$36,$K$205^A9,IF(A9='Données projet'!$A$36,'Données projet'!$B$36,N8+M9-V8)))</f>
        <v>3.5877397029007327</v>
      </c>
      <c r="O9" s="14">
        <f>N9*VLOOKUP('Données projet'!$B$9,Paramètres!$A$1:$I$89,3,0)*VLOOKUP('Données projet'!$B$9,Paramètres!$A$1:$I$89,5,0)</f>
        <v>1.7257027970952523</v>
      </c>
      <c r="P9" s="14">
        <f t="shared" si="33"/>
        <v>0.74633743416589371</v>
      </c>
      <c r="Q9" s="22">
        <f t="shared" si="2"/>
        <v>4.3054700694464954</v>
      </c>
      <c r="R9" s="62">
        <f t="shared" si="0"/>
        <v>268.30547006944647</v>
      </c>
      <c r="S9" s="62">
        <f ca="1">AVERAGE(OFFSET($R$3,0,0,'Données projet'!$E$9+1,1))-AVERAGE(OFFSET($H$3,0,0,'Données projet'!$E$9+1,1))</f>
        <v>417.73464038490249</v>
      </c>
      <c r="T9" s="62">
        <f t="shared" si="34"/>
        <v>330.26301310239984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8.1999999999999993</v>
      </c>
      <c r="N10" s="14">
        <f>IF('Données projet'!$A$36&gt;35,N9+M10-V9,IF(A10&lt;'Données projet'!$A$36,$K$205^A10,IF(A10='Données projet'!$A$36,'Données projet'!$B$36,N9+M10-V9)))</f>
        <v>4.4390606740287879</v>
      </c>
      <c r="O10" s="14">
        <f>N10*VLOOKUP('Données projet'!$B$9,Paramètres!$A$1:$I$89,3,0)*VLOOKUP('Données projet'!$B$9,Paramètres!$A$1:$I$89,5,0)</f>
        <v>2.1351881842078471</v>
      </c>
      <c r="P10" s="14">
        <f t="shared" si="33"/>
        <v>0.90082795214256972</v>
      </c>
      <c r="Q10" s="22">
        <f t="shared" si="2"/>
        <v>5.2877281041436426</v>
      </c>
      <c r="R10" s="62">
        <f t="shared" si="0"/>
        <v>270.50995032636587</v>
      </c>
      <c r="S10" s="62">
        <f ca="1">AVERAGE(OFFSET($R$3,0,0,'Données projet'!$E$9+1,1))-AVERAGE(OFFSET($H$3,0,0,'Données projet'!$E$9+1,1))</f>
        <v>417.73464038490249</v>
      </c>
      <c r="T10" s="62">
        <f t="shared" si="34"/>
        <v>330.26301310239984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8.1999999999999993</v>
      </c>
      <c r="N11" s="14">
        <f>IF('Données projet'!$A$36&gt;35,N10+M11-V10,IF(A11&lt;'Données projet'!$A$36,$K$205^A11,IF(A11='Données projet'!$A$36,'Données projet'!$B$36,N10+M11-V10)))</f>
        <v>5.4923883278870438</v>
      </c>
      <c r="O11" s="14">
        <f>N11*VLOOKUP('Données projet'!$B$9,Paramètres!$A$1:$I$89,3,0)*VLOOKUP('Données projet'!$B$9,Paramètres!$A$1:$I$89,5,0)</f>
        <v>2.6418387857136683</v>
      </c>
      <c r="P11" s="14">
        <f t="shared" si="33"/>
        <v>1.0872977318473884</v>
      </c>
      <c r="Q11" s="22">
        <f t="shared" si="2"/>
        <v>6.4949127680855065</v>
      </c>
      <c r="R11" s="62">
        <f t="shared" si="0"/>
        <v>272.93935721252996</v>
      </c>
      <c r="S11" s="62">
        <f ca="1">AVERAGE(OFFSET($R$3,0,0,'Données projet'!$E$9+1,1))-AVERAGE(OFFSET($H$3,0,0,'Données projet'!$E$9+1,1))</f>
        <v>417.73464038490249</v>
      </c>
      <c r="T11" s="62">
        <f t="shared" si="34"/>
        <v>330.26301310239984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8.1999999999999993</v>
      </c>
      <c r="N12" s="14">
        <f>IF('Données projet'!$A$36&gt;35,N11+M12-V11,IF(A12&lt;'Données projet'!$A$36,$K$205^A12,IF(A12='Données projet'!$A$36,'Données projet'!$B$36,N11+M12-V11)))</f>
        <v>6.7956560541740876</v>
      </c>
      <c r="O12" s="14">
        <f>N12*VLOOKUP('Données projet'!$B$9,Paramètres!$A$1:$I$89,3,0)*VLOOKUP('Données projet'!$B$9,Paramètres!$A$1:$I$89,5,0)</f>
        <v>3.2687105620577364</v>
      </c>
      <c r="P12" s="14">
        <f t="shared" si="33"/>
        <v>1.3123664234315096</v>
      </c>
      <c r="Q12" s="22">
        <f t="shared" si="2"/>
        <v>7.9787090830604361</v>
      </c>
      <c r="R12" s="62">
        <f t="shared" si="0"/>
        <v>275.64537574972712</v>
      </c>
      <c r="S12" s="62">
        <f ca="1">AVERAGE(OFFSET($R$3,0,0,'Données projet'!$E$9+1,1))-AVERAGE(OFFSET($H$3,0,0,'Données projet'!$E$9+1,1))</f>
        <v>417.73464038490249</v>
      </c>
      <c r="T12" s="62">
        <f t="shared" si="34"/>
        <v>330.26301310239984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8.1999999999999993</v>
      </c>
      <c r="N13" s="14">
        <f>IF('Données projet'!$A$36&gt;35,N12+M13-V12,IF(A13&lt;'Données projet'!$A$36,$K$205^A13,IF(A13='Données projet'!$A$36,'Données projet'!$B$36,N12+M13-V12)))</f>
        <v>8.4081711724849999</v>
      </c>
      <c r="O13" s="14">
        <f>N13*VLOOKUP('Données projet'!$B$9,Paramètres!$A$1:$I$89,3,0)*VLOOKUP('Données projet'!$B$9,Paramètres!$A$1:$I$89,5,0)</f>
        <v>4.0443303339652852</v>
      </c>
      <c r="P13" s="14">
        <f t="shared" si="33"/>
        <v>1.5840239328229857</v>
      </c>
      <c r="Q13" s="22">
        <f t="shared" si="2"/>
        <v>9.8027170146562401</v>
      </c>
      <c r="R13" s="62">
        <f t="shared" si="0"/>
        <v>278.69160590354511</v>
      </c>
      <c r="S13" s="62">
        <f ca="1">AVERAGE(OFFSET($R$3,0,0,'Données projet'!$E$9+1,1))-AVERAGE(OFFSET($H$3,0,0,'Données projet'!$E$9+1,1))</f>
        <v>417.73464038490249</v>
      </c>
      <c r="T13" s="62">
        <f t="shared" si="34"/>
        <v>330.26301310239984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8.1999999999999993</v>
      </c>
      <c r="N14" s="14">
        <f>IF('Données projet'!$A$36&gt;35,N13+M14-V13,IF(A14&lt;'Données projet'!$A$36,$K$205^A14,IF(A14='Données projet'!$A$36,'Données projet'!$B$36,N13+M14-V13)))</f>
        <v>10.403313808441412</v>
      </c>
      <c r="O14" s="14">
        <f>N14*VLOOKUP('Données projet'!$B$9,Paramètres!$A$1:$I$89,3,0)*VLOOKUP('Données projet'!$B$9,Paramètres!$A$1:$I$89,5,0)</f>
        <v>5.0039939418603199</v>
      </c>
      <c r="P14" s="14">
        <f t="shared" si="33"/>
        <v>1.9119140622290896</v>
      </c>
      <c r="Q14" s="22">
        <f t="shared" si="2"/>
        <v>12.04520644045572</v>
      </c>
      <c r="R14" s="62">
        <f t="shared" si="0"/>
        <v>282.15631755156687</v>
      </c>
      <c r="S14" s="62">
        <f ca="1">AVERAGE(OFFSET($R$3,0,0,'Données projet'!$E$9+1,1))-AVERAGE(OFFSET($H$3,0,0,'Données projet'!$E$9+1,1))</f>
        <v>417.73464038490249</v>
      </c>
      <c r="T14" s="62">
        <f t="shared" si="34"/>
        <v>330.26301310239984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8.1999999999999993</v>
      </c>
      <c r="N15" s="14">
        <f>IF('Données projet'!$A$36&gt;35,N14+M15-V14,IF(A15&lt;'Données projet'!$A$36,$K$205^A15,IF(A15='Données projet'!$A$36,'Données projet'!$B$36,N14+M15-V14)))</f>
        <v>12.871876175770238</v>
      </c>
      <c r="O15" s="14">
        <f>N15*VLOOKUP('Données projet'!$B$9,Paramètres!$A$1:$I$89,3,0)*VLOOKUP('Données projet'!$B$9,Paramètres!$A$1:$I$89,5,0)</f>
        <v>6.1913724405454849</v>
      </c>
      <c r="P15" s="14">
        <f t="shared" si="33"/>
        <v>2.3076768637168255</v>
      </c>
      <c r="Q15" s="22">
        <f t="shared" si="2"/>
        <v>14.802510871590192</v>
      </c>
      <c r="R15" s="62">
        <f t="shared" si="0"/>
        <v>286.1358442049235</v>
      </c>
      <c r="S15" s="62">
        <f ca="1">AVERAGE(OFFSET($R$3,0,0,'Données projet'!$E$9+1,1))-AVERAGE(OFFSET($H$3,0,0,'Données projet'!$E$9+1,1))</f>
        <v>417.73464038490249</v>
      </c>
      <c r="T15" s="62">
        <f t="shared" si="34"/>
        <v>330.26301310239984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8.1999999999999993</v>
      </c>
      <c r="N16" s="14">
        <f>IF('Données projet'!$A$36&gt;35,N15+M16-V15,IF(A16&lt;'Données projet'!$A$36,$K$205^A16,IF(A16='Données projet'!$A$36,'Données projet'!$B$36,N15+M16-V15)))</f>
        <v>15.926194223798367</v>
      </c>
      <c r="O16" s="14">
        <f>N16*VLOOKUP('Données projet'!$B$9,Paramètres!$A$1:$I$89,3,0)*VLOOKUP('Données projet'!$B$9,Paramètres!$A$1:$I$89,5,0)</f>
        <v>7.6604994216470148</v>
      </c>
      <c r="P16" s="14">
        <f t="shared" si="33"/>
        <v>2.7853618593741087</v>
      </c>
      <c r="Q16" s="22">
        <f t="shared" si="2"/>
        <v>18.193208397778456</v>
      </c>
      <c r="R16" s="62">
        <f t="shared" si="0"/>
        <v>290.74876395333399</v>
      </c>
      <c r="S16" s="62">
        <f ca="1">AVERAGE(OFFSET($R$3,0,0,'Données projet'!$E$9+1,1))-AVERAGE(OFFSET($H$3,0,0,'Données projet'!$E$9+1,1))</f>
        <v>417.73464038490249</v>
      </c>
      <c r="T16" s="62">
        <f t="shared" si="34"/>
        <v>330.26301310239984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8.1999999999999993</v>
      </c>
      <c r="N17" s="14">
        <f>IF('Données projet'!$A$36&gt;35,N16+M17-V16,IF(A17&lt;'Données projet'!$A$36,$K$205^A17,IF(A17='Données projet'!$A$36,'Données projet'!$B$36,N16+M17-V16)))</f>
        <v>19.705259667708916</v>
      </c>
      <c r="O17" s="14">
        <f>N17*VLOOKUP('Données projet'!$B$9,Paramètres!$A$1:$I$89,3,0)*VLOOKUP('Données projet'!$B$9,Paramètres!$A$1:$I$89,5,0)</f>
        <v>9.4782299001679888</v>
      </c>
      <c r="P17" s="14">
        <f t="shared" si="33"/>
        <v>3.3619267973074445</v>
      </c>
      <c r="Q17" s="22">
        <f t="shared" si="2"/>
        <v>22.363272914769713</v>
      </c>
      <c r="R17" s="62">
        <f t="shared" si="0"/>
        <v>296.14105069254748</v>
      </c>
      <c r="S17" s="62">
        <f ca="1">AVERAGE(OFFSET($R$3,0,0,'Données projet'!$E$9+1,1))-AVERAGE(OFFSET($H$3,0,0,'Données projet'!$E$9+1,1))</f>
        <v>417.73464038490249</v>
      </c>
      <c r="T17" s="62">
        <f t="shared" si="34"/>
        <v>330.26301310239984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8.1999999999999993</v>
      </c>
      <c r="N18" s="14">
        <f>IF('Données projet'!$A$36&gt;35,N17+M18-V17,IF(A18&lt;'Données projet'!$A$36,$K$205^A18,IF(A18='Données projet'!$A$36,'Données projet'!$B$36,N17+M18-V17)))</f>
        <v>24.381045032818108</v>
      </c>
      <c r="O18" s="14">
        <f>N18*VLOOKUP('Données projet'!$B$9,Paramètres!$A$1:$I$89,3,0)*VLOOKUP('Données projet'!$B$9,Paramètres!$A$1:$I$89,5,0)</f>
        <v>11.727282660785511</v>
      </c>
      <c r="P18" s="14">
        <f t="shared" si="33"/>
        <v>4.0578396492417177</v>
      </c>
      <c r="Q18" s="22">
        <f t="shared" si="2"/>
        <v>27.492421356630757</v>
      </c>
      <c r="R18" s="62">
        <f t="shared" si="0"/>
        <v>302.49242135663076</v>
      </c>
      <c r="S18" s="62">
        <f ca="1">AVERAGE(OFFSET($R$3,0,0,'Données projet'!$E$9+1,1))-AVERAGE(OFFSET($H$3,0,0,'Données projet'!$E$9+1,1))</f>
        <v>417.73464038490249</v>
      </c>
      <c r="T18" s="62">
        <f t="shared" si="34"/>
        <v>330.26301310239984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8.1999999999999993</v>
      </c>
      <c r="N19" s="14">
        <f>IF('Données projet'!$A$36&gt;35,N18+M19-V18,IF(A19&lt;'Données projet'!$A$36,$K$205^A19,IF(A19='Données projet'!$A$36,'Données projet'!$B$36,N18+M19-V18)))</f>
        <v>30.166329544309836</v>
      </c>
      <c r="O19" s="14">
        <f>N19*VLOOKUP('Données projet'!$B$9,Paramètres!$A$1:$I$89,3,0)*VLOOKUP('Données projet'!$B$9,Paramètres!$A$1:$I$89,5,0)</f>
        <v>14.510004510813031</v>
      </c>
      <c r="P19" s="14">
        <f t="shared" si="33"/>
        <v>4.8978052205496416</v>
      </c>
      <c r="Q19" s="22">
        <f t="shared" si="2"/>
        <v>33.801935282123317</v>
      </c>
      <c r="R19" s="62">
        <f t="shared" si="0"/>
        <v>310.02415750434557</v>
      </c>
      <c r="S19" s="62">
        <f ca="1">AVERAGE(OFFSET($R$3,0,0,'Données projet'!$E$9+1,1))-AVERAGE(OFFSET($H$3,0,0,'Données projet'!$E$9+1,1))</f>
        <v>417.73464038490249</v>
      </c>
      <c r="T19" s="62">
        <f t="shared" si="34"/>
        <v>330.26301310239984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8.1999999999999993</v>
      </c>
      <c r="N20" s="14">
        <f>IF('Données projet'!$A$36&gt;35,N19+M20-V19,IF(A20&lt;'Données projet'!$A$36,$K$205^A20,IF(A20='Données projet'!$A$36,'Données projet'!$B$36,N19+M20-V19)))</f>
        <v>37.324381992280685</v>
      </c>
      <c r="O20" s="14">
        <f>N20*VLOOKUP('Données projet'!$B$9,Paramètres!$A$1:$I$89,3,0)*VLOOKUP('Données projet'!$B$9,Paramètres!$A$1:$I$89,5,0)</f>
        <v>17.953027738287009</v>
      </c>
      <c r="P20" s="14">
        <f t="shared" si="33"/>
        <v>5.9116421672615935</v>
      </c>
      <c r="Q20" s="22">
        <f t="shared" si="2"/>
        <v>41.564300085497145</v>
      </c>
      <c r="R20" s="62">
        <f t="shared" si="0"/>
        <v>319.00874452994162</v>
      </c>
      <c r="S20" s="62">
        <f ca="1">AVERAGE(OFFSET($R$3,0,0,'Données projet'!$E$9+1,1))-AVERAGE(OFFSET($H$3,0,0,'Données projet'!$E$9+1,1))</f>
        <v>417.73464038490249</v>
      </c>
      <c r="T20" s="62">
        <f t="shared" si="34"/>
        <v>330.26301310239984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8.1999999999999993</v>
      </c>
      <c r="N21" s="14">
        <f>IF('Données projet'!$A$36&gt;35,N20+M21-V20,IF(A21&lt;'Données projet'!$A$36,$K$205^A21,IF(A21='Données projet'!$A$36,'Données projet'!$B$36,N20+M21-V20)))</f>
        <v>46.18094120663293</v>
      </c>
      <c r="O21" s="14">
        <f>N21*VLOOKUP('Données projet'!$B$9,Paramètres!$A$1:$I$89,3,0)*VLOOKUP('Données projet'!$B$9,Paramètres!$A$1:$I$89,5,0)</f>
        <v>22.213032720390441</v>
      </c>
      <c r="P21" s="14">
        <f t="shared" si="33"/>
        <v>7.1353415540325331</v>
      </c>
      <c r="Q21" s="22">
        <f t="shared" si="2"/>
        <v>51.115085194620008</v>
      </c>
      <c r="R21" s="62">
        <f t="shared" si="0"/>
        <v>329.78175186128669</v>
      </c>
      <c r="S21" s="62">
        <f ca="1">AVERAGE(OFFSET($R$3,0,0,'Données projet'!$E$9+1,1))-AVERAGE(OFFSET($H$3,0,0,'Données projet'!$E$9+1,1))</f>
        <v>417.73464038490249</v>
      </c>
      <c r="T21" s="62">
        <f t="shared" si="34"/>
        <v>330.26301310239984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8.1999999999999993</v>
      </c>
      <c r="N22" s="14">
        <f>IF('Données projet'!$A$36&gt;35,N21+M22-V21,IF(A22&lt;'Données projet'!$A$36,$K$205^A22,IF(A22='Données projet'!$A$36,'Données projet'!$B$36,N21+M22-V21)))</f>
        <v>57.139039332829718</v>
      </c>
      <c r="O22" s="14">
        <f>N22*VLOOKUP('Données projet'!$B$9,Paramètres!$A$1:$I$89,3,0)*VLOOKUP('Données projet'!$B$9,Paramètres!$A$1:$I$89,5,0)</f>
        <v>27.483877919091096</v>
      </c>
      <c r="P22" s="14">
        <f t="shared" si="33"/>
        <v>8.612344531720451</v>
      </c>
      <c r="Q22" s="22">
        <f t="shared" si="2"/>
        <v>62.867587435163443</v>
      </c>
      <c r="R22" s="62">
        <f t="shared" si="0"/>
        <v>342.7564763240523</v>
      </c>
      <c r="S22" s="62">
        <f ca="1">AVERAGE(OFFSET($R$3,0,0,'Données projet'!$E$9+1,1))-AVERAGE(OFFSET($H$3,0,0,'Données projet'!$E$9+1,1))</f>
        <v>417.73464038490249</v>
      </c>
      <c r="T22" s="62">
        <f t="shared" si="34"/>
        <v>330.26301310239984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8.1999999999999993</v>
      </c>
      <c r="N23" s="14">
        <f>IF('Données projet'!$A$36&gt;35,N22+M23-V22,IF(A23&lt;'Données projet'!$A$36,$K$205^A23,IF(A23='Données projet'!$A$36,'Données projet'!$B$36,N22+M23-V22)))</f>
        <v>70.697342465807765</v>
      </c>
      <c r="O23" s="14">
        <f>N23*VLOOKUP('Données projet'!$B$9,Paramètres!$A$1:$I$89,3,0)*VLOOKUP('Données projet'!$B$9,Paramètres!$A$1:$I$89,5,0)</f>
        <v>34.005421726053534</v>
      </c>
      <c r="P23" s="14">
        <f t="shared" si="33"/>
        <v>10.395084491945113</v>
      </c>
      <c r="Q23" s="22">
        <f t="shared" si="2"/>
        <v>77.330881663014296</v>
      </c>
      <c r="R23" s="62">
        <f t="shared" si="0"/>
        <v>358.44199277412542</v>
      </c>
      <c r="S23" s="62">
        <f ca="1">AVERAGE(OFFSET($R$3,0,0,'Données projet'!$E$9+1,1))-AVERAGE(OFFSET($H$3,0,0,'Données projet'!$E$9+1,1))</f>
        <v>417.73464038490249</v>
      </c>
      <c r="T23" s="62">
        <f t="shared" si="34"/>
        <v>330.26301310239984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8.1999999999999993</v>
      </c>
      <c r="N24" s="14">
        <f>IF('Données projet'!$A$36&gt;35,N23+M24-V23,IF(A24&lt;'Données projet'!$A$36,$K$205^A24,IF(A24='Données projet'!$A$36,'Données projet'!$B$36,N23+M24-V23)))</f>
        <v>87.472843262452201</v>
      </c>
      <c r="O24" s="14">
        <f>N24*VLOOKUP('Données projet'!$B$9,Paramètres!$A$1:$I$89,3,0)*VLOOKUP('Données projet'!$B$9,Paramètres!$A$1:$I$89,5,0)</f>
        <v>42.07443760923951</v>
      </c>
      <c r="P24" s="14">
        <f t="shared" si="33"/>
        <v>12.546848444890488</v>
      </c>
      <c r="Q24" s="22">
        <f t="shared" si="2"/>
        <v>95.132073210943076</v>
      </c>
      <c r="R24" s="62">
        <f t="shared" si="0"/>
        <v>377.46540654427639</v>
      </c>
      <c r="S24" s="62">
        <f ca="1">AVERAGE(OFFSET($R$3,0,0,'Données projet'!$E$9+1,1))-AVERAGE(OFFSET($H$3,0,0,'Données projet'!$E$9+1,1))</f>
        <v>417.73464038490249</v>
      </c>
      <c r="T24" s="62">
        <f t="shared" si="34"/>
        <v>330.26301310239984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8.1999999999999993</v>
      </c>
      <c r="N25" s="14">
        <f>IF('Données projet'!$A$36&gt;35,N24+M25-V24,IF(A25&lt;'Données projet'!$A$36,$K$205^A25,IF(A25='Données projet'!$A$36,'Données projet'!$B$36,N24+M25-V24)))</f>
        <v>108.22893819690776</v>
      </c>
      <c r="O25" s="14">
        <f>N25*VLOOKUP('Données projet'!$B$9,Paramètres!$A$1:$I$89,3,0)*VLOOKUP('Données projet'!$B$9,Paramètres!$A$1:$I$89,5,0)</f>
        <v>52.058119272712631</v>
      </c>
      <c r="P25" s="14">
        <f t="shared" si="33"/>
        <v>15.14402369899295</v>
      </c>
      <c r="Q25" s="22">
        <f t="shared" si="2"/>
        <v>117.04373234238722</v>
      </c>
      <c r="R25" s="62">
        <f t="shared" si="0"/>
        <v>400.59928789794276</v>
      </c>
      <c r="S25" s="62">
        <f ca="1">AVERAGE(OFFSET($R$3,0,0,'Données projet'!$E$9+1,1))-AVERAGE(OFFSET($H$3,0,0,'Données projet'!$E$9+1,1))</f>
        <v>417.73464038490249</v>
      </c>
      <c r="T25" s="62">
        <f t="shared" si="34"/>
        <v>330.26301310239984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8.1999999999999993</v>
      </c>
      <c r="N26" s="14">
        <f>IF('Données projet'!$A$36&gt;35,N25+M26-V25,IF(A26&lt;'Données projet'!$A$36,$K$205^A26,IF(A26='Données projet'!$A$36,'Données projet'!$B$36,N25+M26-V25)))</f>
        <v>133.91016715993857</v>
      </c>
      <c r="O26" s="14">
        <f>N26*VLOOKUP('Données projet'!$B$9,Paramètres!$A$1:$I$89,3,0)*VLOOKUP('Données projet'!$B$9,Paramètres!$A$1:$I$89,5,0)</f>
        <v>64.410790403930463</v>
      </c>
      <c r="P26" s="14">
        <f t="shared" si="33"/>
        <v>18.278809599318613</v>
      </c>
      <c r="Q26" s="22">
        <f t="shared" si="2"/>
        <v>144.01772000565879</v>
      </c>
      <c r="R26" s="62">
        <f t="shared" si="0"/>
        <v>428.79549778343653</v>
      </c>
      <c r="S26" s="62">
        <f ca="1">AVERAGE(OFFSET($R$3,0,0,'Données projet'!$E$9+1,1))-AVERAGE(OFFSET($H$3,0,0,'Données projet'!$E$9+1,1))</f>
        <v>417.73464038490249</v>
      </c>
      <c r="T26" s="62">
        <f t="shared" si="34"/>
        <v>330.26301310239984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8.1999999999999993</v>
      </c>
      <c r="N27" s="14">
        <f>IF('Données projet'!$A$36&gt;35,N26+M27-V26,IF(A27&lt;'Données projet'!$A$36,$K$205^A27,IF(A27='Données projet'!$A$36,'Données projet'!$B$36,N26+M27-V26)))</f>
        <v>165.68519628436144</v>
      </c>
      <c r="O27" s="14">
        <f>N27*VLOOKUP('Données projet'!$B$9,Paramètres!$A$1:$I$89,3,0)*VLOOKUP('Données projet'!$B$9,Paramètres!$A$1:$I$89,5,0)</f>
        <v>79.694579412777856</v>
      </c>
      <c r="P27" s="14">
        <f t="shared" si="33"/>
        <v>22.06249059094911</v>
      </c>
      <c r="Q27" s="22">
        <f t="shared" si="2"/>
        <v>177.2268969231578</v>
      </c>
      <c r="R27" s="62">
        <f t="shared" si="0"/>
        <v>463.22689692315782</v>
      </c>
      <c r="S27" s="62">
        <f ca="1">AVERAGE(OFFSET($R$3,0,0,'Données projet'!$E$9+1,1))-AVERAGE(OFFSET($H$3,0,0,'Données projet'!$E$9+1,1))</f>
        <v>417.73464038490249</v>
      </c>
      <c r="T27" s="62">
        <f t="shared" si="34"/>
        <v>330.26301310239984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205</v>
      </c>
      <c r="L28" s="13">
        <f>VLOOKUP(A28,'Données projet'!$A$35:$I$55,9,0)</f>
        <v>8.1999999999999993</v>
      </c>
      <c r="M28" s="13">
        <f t="array" ref="M28">INDEX(L:L,MIN(IF(ISNUMBER(L28:L224),ROW(L28:L224),"")))</f>
        <v>8.1999999999999993</v>
      </c>
      <c r="N28" s="14">
        <f>IF('Données projet'!$A$36&gt;35,N27+M28-V27,IF(A28&lt;'Données projet'!$A$36,$K$205^A28,IF(A28='Données projet'!$A$36,'Données projet'!$B$36,N27+M28-V27)))</f>
        <v>205</v>
      </c>
      <c r="O28" s="14">
        <f>N28*VLOOKUP('Données projet'!$B$9,Paramètres!$A$1:$I$89,3,0)*VLOOKUP('Données projet'!$B$9,Paramètres!$A$1:$I$89,5,0)</f>
        <v>98.60499999999999</v>
      </c>
      <c r="P28" s="14">
        <f t="shared" si="33"/>
        <v>26.62938680065157</v>
      </c>
      <c r="Q28" s="22">
        <f t="shared" si="2"/>
        <v>218.1165570111348</v>
      </c>
      <c r="R28" s="62">
        <f t="shared" si="0"/>
        <v>505.33877923335706</v>
      </c>
      <c r="S28" s="62">
        <f ca="1">AVERAGE(OFFSET($R$3,0,0,'Données projet'!$E$9+1,1))-AVERAGE(OFFSET($H$3,0,0,'Données projet'!$E$9+1,1))</f>
        <v>417.73464038490249</v>
      </c>
      <c r="T28" s="62">
        <f t="shared" si="34"/>
        <v>330.26301310239984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40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0.27500000000000002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6.9912166369128252</v>
      </c>
      <c r="AB28" s="23">
        <f>EXP(-LN(2)/2)*AB27+(1-EXP(-LN(2)/2))/(LN(2)/2)*V28*Y28*VLOOKUP('Données projet'!$B$9,Paramètres!$A$1:$I$89,3,0)*0.475*44/12</f>
        <v>10.892074702204601</v>
      </c>
      <c r="AC28" s="24">
        <f t="shared" si="3"/>
        <v>17.883291339117427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22.6</v>
      </c>
      <c r="N29" s="14">
        <f>IF('Données projet'!$A$36&gt;35,N28+M29-V28,IF(A29&lt;'Données projet'!$A$36,$K$205^A29,IF(A29='Données projet'!$A$36,'Données projet'!$B$36,N28+M29-V28)))</f>
        <v>187.6</v>
      </c>
      <c r="O29" s="14">
        <f>N29*VLOOKUP('Données projet'!$B$9,Paramètres!$A$1:$I$89,3,0)*VLOOKUP('Données projet'!$B$9,Paramètres!$A$1:$I$89,5,0)</f>
        <v>90.235599999999991</v>
      </c>
      <c r="P29" s="14">
        <f t="shared" si="33"/>
        <v>24.622037392143501</v>
      </c>
      <c r="Q29" s="22">
        <f t="shared" si="2"/>
        <v>200.04371845798323</v>
      </c>
      <c r="R29" s="62">
        <f t="shared" si="0"/>
        <v>488.48816290242769</v>
      </c>
      <c r="S29" s="62">
        <f ca="1">AVERAGE(OFFSET($R$3,0,0,'Données projet'!$E$9+1,1))-AVERAGE(OFFSET($H$3,0,0,'Données projet'!$E$9+1,1))</f>
        <v>417.73464038490249</v>
      </c>
      <c r="T29" s="62">
        <f t="shared" si="34"/>
        <v>330.26301310239984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6.8000414503243398</v>
      </c>
      <c r="AB29" s="23">
        <f>EXP(-LN(2)/2)*AB28+(1-EXP(-LN(2)/2))/(LN(2)/2)*V29*Y29*VLOOKUP('Données projet'!$B$9,Paramètres!$A$1:$I$89,3,0)*0.475*44/12</f>
        <v>7.7018598831193188</v>
      </c>
      <c r="AC29" s="24">
        <f t="shared" si="3"/>
        <v>14.501901333443659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22.6</v>
      </c>
      <c r="N30" s="14">
        <f>IF('Données projet'!$A$36&gt;35,N29+M30-V29,IF(A30&lt;'Données projet'!$A$36,$K$205^A30,IF(A30='Données projet'!$A$36,'Données projet'!$B$36,N29+M30-V29)))</f>
        <v>210.2</v>
      </c>
      <c r="O30" s="14">
        <f>N30*VLOOKUP('Données projet'!$B$9,Paramètres!$A$1:$I$89,3,0)*VLOOKUP('Données projet'!$B$9,Paramètres!$A$1:$I$89,5,0)</f>
        <v>101.1062</v>
      </c>
      <c r="P30" s="14">
        <f t="shared" si="33"/>
        <v>27.225365471340744</v>
      </c>
      <c r="Q30" s="22">
        <f t="shared" si="2"/>
        <v>223.51080986258512</v>
      </c>
      <c r="R30" s="62">
        <f t="shared" si="0"/>
        <v>513.17747652925186</v>
      </c>
      <c r="S30" s="62">
        <f ca="1">AVERAGE(OFFSET($R$3,0,0,'Données projet'!$E$9+1,1))-AVERAGE(OFFSET($H$3,0,0,'Données projet'!$E$9+1,1))</f>
        <v>417.73464038490249</v>
      </c>
      <c r="T30" s="62">
        <f t="shared" si="34"/>
        <v>330.26301310239984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6.6140939592665822</v>
      </c>
      <c r="AB30" s="23">
        <f>EXP(-LN(2)/2)*AB29+(1-EXP(-LN(2)/2))/(LN(2)/2)*V30*Y30*VLOOKUP('Données projet'!$B$9,Paramètres!$A$1:$I$89,3,0)*0.475*44/12</f>
        <v>5.4460373511023006</v>
      </c>
      <c r="AC30" s="24">
        <f t="shared" si="3"/>
        <v>12.060131310368883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22.6</v>
      </c>
      <c r="N31" s="14">
        <f>IF('Données projet'!$A$36&gt;35,N30+M31-V30,IF(A31&lt;'Données projet'!$A$36,$K$205^A31,IF(A31='Données projet'!$A$36,'Données projet'!$B$36,N30+M31-V30)))</f>
        <v>232.79999999999998</v>
      </c>
      <c r="O31" s="14">
        <f>N31*VLOOKUP('Données projet'!$B$9,Paramètres!$A$1:$I$89,3,0)*VLOOKUP('Données projet'!$B$9,Paramètres!$A$1:$I$89,5,0)</f>
        <v>111.9768</v>
      </c>
      <c r="P31" s="14">
        <f t="shared" si="33"/>
        <v>29.796250167500418</v>
      </c>
      <c r="Q31" s="22">
        <f t="shared" si="2"/>
        <v>246.92139570839652</v>
      </c>
      <c r="R31" s="62">
        <f t="shared" si="0"/>
        <v>537.81028459728532</v>
      </c>
      <c r="S31" s="62">
        <f ca="1">AVERAGE(OFFSET($R$3,0,0,'Données projet'!$E$9+1,1))-AVERAGE(OFFSET($H$3,0,0,'Données projet'!$E$9+1,1))</f>
        <v>417.73464038490249</v>
      </c>
      <c r="T31" s="62">
        <f t="shared" si="34"/>
        <v>330.26301310239984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6.4332312121303525</v>
      </c>
      <c r="AB31" s="23">
        <f>EXP(-LN(2)/2)*AB30+(1-EXP(-LN(2)/2))/(LN(2)/2)*V31*Y31*VLOOKUP('Données projet'!$B$9,Paramètres!$A$1:$I$89,3,0)*0.475*44/12</f>
        <v>3.8509299415596594</v>
      </c>
      <c r="AC31" s="24">
        <f t="shared" si="3"/>
        <v>10.284161153690011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22.6</v>
      </c>
      <c r="N32" s="14">
        <f>IF('Données projet'!$A$36&gt;35,N31+M32-V31,IF(A32&lt;'Données projet'!$A$36,$K$205^A32,IF(A32='Données projet'!$A$36,'Données projet'!$B$36,N31+M32-V31)))</f>
        <v>255.39999999999998</v>
      </c>
      <c r="O32" s="14">
        <f>N32*VLOOKUP('Données projet'!$B$9,Paramètres!$A$1:$I$89,3,0)*VLOOKUP('Données projet'!$B$9,Paramètres!$A$1:$I$89,5,0)</f>
        <v>122.84739999999999</v>
      </c>
      <c r="P32" s="14">
        <f t="shared" si="33"/>
        <v>32.338199455021801</v>
      </c>
      <c r="Q32" s="22">
        <f t="shared" si="2"/>
        <v>270.28158571749628</v>
      </c>
      <c r="R32" s="62">
        <f t="shared" si="0"/>
        <v>562.39269682860743</v>
      </c>
      <c r="S32" s="62">
        <f ca="1">AVERAGE(OFFSET($R$3,0,0,'Données projet'!$E$9+1,1))-AVERAGE(OFFSET($H$3,0,0,'Données projet'!$E$9+1,1))</f>
        <v>417.73464038490249</v>
      </c>
      <c r="T32" s="62">
        <f t="shared" si="34"/>
        <v>330.26301310239984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6.2573141663257221</v>
      </c>
      <c r="AB32" s="23">
        <f>EXP(-LN(2)/2)*AB31+(1-EXP(-LN(2)/2))/(LN(2)/2)*V32*Y32*VLOOKUP('Données projet'!$B$9,Paramètres!$A$1:$I$89,3,0)*0.475*44/12</f>
        <v>2.7230186755511503</v>
      </c>
      <c r="AC32" s="24">
        <f t="shared" si="3"/>
        <v>8.9803328418768729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278</v>
      </c>
      <c r="L33" s="13">
        <f>VLOOKUP(A33,'Données projet'!$A$35:$I$55,9,0)</f>
        <v>22.6</v>
      </c>
      <c r="M33" s="13">
        <f t="array" ref="M33">INDEX(L:L,MIN(IF(ISNUMBER(L33:L229),ROW(L33:L229),"")))</f>
        <v>22.6</v>
      </c>
      <c r="N33" s="14">
        <f>IF('Données projet'!$A$36&gt;35,N32+M33-V32,IF(A33&lt;'Données projet'!$A$36,$K$205^A33,IF(A33='Données projet'!$A$36,'Données projet'!$B$36,N32+M33-V32)))</f>
        <v>278</v>
      </c>
      <c r="O33" s="14">
        <f>N33*VLOOKUP('Données projet'!$B$9,Paramètres!$A$1:$I$89,3,0)*VLOOKUP('Données projet'!$B$9,Paramètres!$A$1:$I$89,5,0)</f>
        <v>133.71800000000002</v>
      </c>
      <c r="P33" s="14">
        <f t="shared" si="33"/>
        <v>34.854064939176951</v>
      </c>
      <c r="Q33" s="22">
        <f t="shared" si="2"/>
        <v>293.59634643573321</v>
      </c>
      <c r="R33" s="62">
        <f t="shared" si="0"/>
        <v>586.92967976906652</v>
      </c>
      <c r="S33" s="62">
        <f ca="1">AVERAGE(OFFSET($R$3,0,0,'Données projet'!$E$9+1,1))-AVERAGE(OFFSET($H$3,0,0,'Données projet'!$E$9+1,1))</f>
        <v>417.73464038490249</v>
      </c>
      <c r="T33" s="62">
        <f t="shared" si="34"/>
        <v>330.26301310239984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6.0862075813896945</v>
      </c>
      <c r="AB33" s="23">
        <f>EXP(-LN(2)/2)*AB32+(1-EXP(-LN(2)/2))/(LN(2)/2)*V33*Y33*VLOOKUP('Données projet'!$B$9,Paramètres!$A$1:$I$89,3,0)*0.475*44/12</f>
        <v>1.9254649707798297</v>
      </c>
      <c r="AC33" s="24">
        <f t="shared" si="3"/>
        <v>8.0116725521695251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22.8</v>
      </c>
      <c r="N34" s="14">
        <f>IF('Données projet'!$A$36&gt;35,N33+M34-V33,IF(A34&lt;'Données projet'!$A$36,$K$205^A34,IF(A34='Données projet'!$A$36,'Données projet'!$B$36,N33+M34-V33)))</f>
        <v>300.8</v>
      </c>
      <c r="O34" s="14">
        <f>N34*VLOOKUP('Données projet'!$B$9,Paramètres!$A$1:$I$89,3,0)*VLOOKUP('Données projet'!$B$9,Paramètres!$A$1:$I$89,5,0)</f>
        <v>144.68480000000002</v>
      </c>
      <c r="P34" s="14">
        <f t="shared" si="33"/>
        <v>37.36816282450549</v>
      </c>
      <c r="Q34" s="22">
        <f t="shared" si="2"/>
        <v>317.07557691934716</v>
      </c>
      <c r="R34" s="62">
        <f t="shared" si="0"/>
        <v>610.40891025268047</v>
      </c>
      <c r="S34" s="62">
        <f ca="1">AVERAGE(OFFSET($R$3,0,0,'Données projet'!$E$9+1,1))-AVERAGE(OFFSET($H$3,0,0,'Données projet'!$E$9+1,1))</f>
        <v>417.73464038490249</v>
      </c>
      <c r="T34" s="62">
        <f t="shared" si="34"/>
        <v>330.26301310239984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5.9197799150168464</v>
      </c>
      <c r="AB34" s="23">
        <f>EXP(-LN(2)/2)*AB33+(1-EXP(-LN(2)/2))/(LN(2)/2)*V34*Y34*VLOOKUP('Données projet'!$B$9,Paramètres!$A$1:$I$89,3,0)*0.475*44/12</f>
        <v>1.3615093377755751</v>
      </c>
      <c r="AC34" s="24">
        <f t="shared" si="3"/>
        <v>7.2812892527924218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22.8</v>
      </c>
      <c r="N35" s="14">
        <f>IF('Données projet'!$A$36&gt;35,N34+M35-V34,IF(A35&lt;'Données projet'!$A$36,$K$205^A35,IF(A35='Données projet'!$A$36,'Données projet'!$B$36,N34+M35-V34)))</f>
        <v>323.60000000000002</v>
      </c>
      <c r="O35" s="14">
        <f>N35*VLOOKUP('Données projet'!$B$9,Paramètres!$A$1:$I$89,3,0)*VLOOKUP('Données projet'!$B$9,Paramètres!$A$1:$I$89,5,0)</f>
        <v>155.65160000000003</v>
      </c>
      <c r="P35" s="14">
        <f t="shared" si="33"/>
        <v>39.86015437812145</v>
      </c>
      <c r="Q35" s="22">
        <f t="shared" ref="Q35:Q66" si="53">(O35+P35)*0.475*44/12</f>
        <v>340.51630554189489</v>
      </c>
      <c r="R35" s="62">
        <f t="shared" si="0"/>
        <v>633.84963887522827</v>
      </c>
      <c r="S35" s="62">
        <f ca="1">AVERAGE(OFFSET($R$3,0,0,'Données projet'!$E$9+1,1))-AVERAGE(OFFSET($H$3,0,0,'Données projet'!$E$9+1,1))</f>
        <v>417.73464038490249</v>
      </c>
      <c r="T35" s="62">
        <f t="shared" si="34"/>
        <v>330.26301310239984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5.7579032219330148</v>
      </c>
      <c r="AB35" s="23">
        <f>EXP(-LN(2)/2)*AB34+(1-EXP(-LN(2)/2))/(LN(2)/2)*V35*Y35*VLOOKUP('Données projet'!$B$9,Paramètres!$A$1:$I$89,3,0)*0.475*44/12</f>
        <v>0.96273248538991485</v>
      </c>
      <c r="AC35" s="24">
        <f t="shared" si="3"/>
        <v>6.7206357073229297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22.8</v>
      </c>
      <c r="N36" s="14">
        <f>IF('Données projet'!$A$36&gt;35,N35+M36-V35,IF(A36&lt;'Données projet'!$A$36,$K$205^A36,IF(A36='Données projet'!$A$36,'Données projet'!$B$36,N35+M36-V35)))</f>
        <v>346.40000000000003</v>
      </c>
      <c r="O36" s="14">
        <f>N36*VLOOKUP('Données projet'!$B$9,Paramètres!$A$1:$I$89,3,0)*VLOOKUP('Données projet'!$B$9,Paramètres!$A$1:$I$89,5,0)</f>
        <v>166.61840000000001</v>
      </c>
      <c r="P36" s="14">
        <f t="shared" si="33"/>
        <v>42.331774313771504</v>
      </c>
      <c r="Q36" s="22">
        <f t="shared" si="53"/>
        <v>363.92155359648535</v>
      </c>
      <c r="R36" s="62">
        <f t="shared" si="0"/>
        <v>657.25488692981867</v>
      </c>
      <c r="S36" s="62">
        <f ca="1">AVERAGE(OFFSET($R$3,0,0,'Données projet'!$E$9+1,1))-AVERAGE(OFFSET($H$3,0,0,'Données projet'!$E$9+1,1))</f>
        <v>417.73464038490249</v>
      </c>
      <c r="T36" s="62">
        <f t="shared" si="34"/>
        <v>330.26301310239984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5.6004530555342864</v>
      </c>
      <c r="AB36" s="23">
        <f>EXP(-LN(2)/2)*AB35+(1-EXP(-LN(2)/2))/(LN(2)/2)*V36*Y36*VLOOKUP('Données projet'!$B$9,Paramètres!$A$1:$I$89,3,0)*0.475*44/12</f>
        <v>0.68075466888778757</v>
      </c>
      <c r="AC36" s="24">
        <f t="shared" si="3"/>
        <v>6.2812077244220736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22.8</v>
      </c>
      <c r="N37" s="14">
        <f>IF('Données projet'!$A$36&gt;35,N36+M37-V36,IF(A37&lt;'Données projet'!$A$36,$K$205^A37,IF(A37='Données projet'!$A$36,'Données projet'!$B$36,N36+M37-V36)))</f>
        <v>369.20000000000005</v>
      </c>
      <c r="O37" s="14">
        <f>N37*VLOOKUP('Données projet'!$B$9,Paramètres!$A$1:$I$89,3,0)*VLOOKUP('Données projet'!$B$9,Paramètres!$A$1:$I$89,5,0)</f>
        <v>177.58520000000001</v>
      </c>
      <c r="P37" s="14">
        <f t="shared" si="33"/>
        <v>44.784516071686468</v>
      </c>
      <c r="Q37" s="22">
        <f t="shared" si="53"/>
        <v>387.29392215818729</v>
      </c>
      <c r="R37" s="62">
        <f t="shared" si="0"/>
        <v>680.6272554915206</v>
      </c>
      <c r="S37" s="62">
        <f ca="1">AVERAGE(OFFSET($R$3,0,0,'Données projet'!$E$9+1,1))-AVERAGE(OFFSET($H$3,0,0,'Données projet'!$E$9+1,1))</f>
        <v>417.73464038490249</v>
      </c>
      <c r="T37" s="62">
        <f t="shared" si="34"/>
        <v>330.26301310239984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5.4473083722156748</v>
      </c>
      <c r="AB37" s="23">
        <f>EXP(-LN(2)/2)*AB36+(1-EXP(-LN(2)/2))/(LN(2)/2)*V37*Y37*VLOOKUP('Données projet'!$B$9,Paramètres!$A$1:$I$89,3,0)*0.475*44/12</f>
        <v>0.48136624269495742</v>
      </c>
      <c r="AC37" s="24">
        <f t="shared" si="3"/>
        <v>5.9286746149106317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392</v>
      </c>
      <c r="L38" s="13">
        <f>VLOOKUP(A38,'Données projet'!$A$35:$I$55,9,0)</f>
        <v>22.8</v>
      </c>
      <c r="M38" s="13">
        <f t="array" ref="M38">INDEX(L:L,MIN(IF(ISNUMBER(L38:L234),ROW(L38:L234),"")))</f>
        <v>22.8</v>
      </c>
      <c r="N38" s="14">
        <f>IF('Données projet'!$A$36&gt;35,N37+M38-V37,IF(A38&lt;'Données projet'!$A$36,$K$205^A38,IF(A38='Données projet'!$A$36,'Données projet'!$B$36,N37+M38-V37)))</f>
        <v>392.00000000000006</v>
      </c>
      <c r="O38" s="14">
        <f>N38*VLOOKUP('Données projet'!$B$9,Paramètres!$A$1:$I$89,3,0)*VLOOKUP('Données projet'!$B$9,Paramètres!$A$1:$I$89,5,0)</f>
        <v>188.55200000000002</v>
      </c>
      <c r="P38" s="14">
        <f t="shared" si="33"/>
        <v>47.219678212771932</v>
      </c>
      <c r="Q38" s="22">
        <f t="shared" si="53"/>
        <v>410.63567288724448</v>
      </c>
      <c r="R38" s="62">
        <f t="shared" si="0"/>
        <v>703.96900622057774</v>
      </c>
      <c r="S38" s="62">
        <f ca="1">AVERAGE(OFFSET($R$3,0,0,'Données projet'!$E$9+1,1))-AVERAGE(OFFSET($H$3,0,0,'Données projet'!$E$9+1,1))</f>
        <v>417.73464038490249</v>
      </c>
      <c r="T38" s="62">
        <f t="shared" si="34"/>
        <v>330.26301310239984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112</v>
      </c>
      <c r="W38" s="17">
        <f>IF(ISNA(VLOOKUP(A38,'Données projet'!$A$35:$I$55,5,0)),0%,VLOOKUP(A38,'Données projet'!$A$35:$I$55,5,0)*VLOOKUP('Données projet'!$B$9,Paramètres!$A$1:$I$89,7,0))</f>
        <v>0.18150000000000002</v>
      </c>
      <c r="X38" s="17">
        <f>IF(ISNA(VLOOKUP(A38,'Données projet'!$A$35:$I$55,6,0)),0%,VLOOKUP(A38,'Données projet'!$A$35:$I$55,6,0)*VLOOKUP('Données projet'!$B$9,Paramètres!$A$1:$I$89,7,0))</f>
        <v>0.18150000000000002</v>
      </c>
      <c r="Y38" s="17">
        <f>IF(ISNA(VLOOKUP(A38,'Données projet'!$A$35:$I$55,7,0)),0%,VLOOKUP(A38,'Données projet'!$A$35:$I$55,7,0))</f>
        <v>0.33</v>
      </c>
      <c r="Z38" s="23">
        <f>EXP(-LN(2)/35)*Z37+(1-EXP(-LN(2)/35))/(LN(2)/35)*V38*W38*VLOOKUP('Données projet'!$B$9,Paramètres!$A$1:$I$89,3,0)*0.475*44/12</f>
        <v>12.970839482334164</v>
      </c>
      <c r="AA38" s="23">
        <f>EXP(-LN(2)/25)*AA37+(1-EXP(-LN(2)/25))/(LN(2)/25)*Calculateur!V38*Calculateur!X38*VLOOKUP('Données projet'!$B$9,Paramètres!$A$1:$I$89,3,0)*0.475*44/12</f>
        <v>18.218119783330842</v>
      </c>
      <c r="AB38" s="23">
        <f>EXP(-LN(2)/2)*AB37+(1-EXP(-LN(2)/2))/(LN(2)/2)*V38*Y38*VLOOKUP('Données projet'!$B$9,Paramètres!$A$1:$I$89,3,0)*0.475*44/12</f>
        <v>20.468931384117997</v>
      </c>
      <c r="AC38" s="24">
        <f t="shared" si="3"/>
        <v>51.657890649782999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21.733333333333334</v>
      </c>
      <c r="N39" s="14">
        <f>IF('Données projet'!$A$36&gt;35,N38+M39-V38,IF(A39&lt;'Données projet'!$A$36,$K$205^A39,IF(A39='Données projet'!$A$36,'Données projet'!$B$36,N38+M39-V38)))</f>
        <v>301.73333333333341</v>
      </c>
      <c r="O39" s="14">
        <f>N39*VLOOKUP('Données projet'!$B$9,Paramètres!$A$1:$I$89,3,0)*VLOOKUP('Données projet'!$B$9,Paramètres!$A$1:$I$89,5,0)</f>
        <v>145.13373333333337</v>
      </c>
      <c r="P39" s="14">
        <f t="shared" si="33"/>
        <v>37.470595391110599</v>
      </c>
      <c r="Q39" s="22">
        <f t="shared" si="53"/>
        <v>318.03587252840657</v>
      </c>
      <c r="R39" s="62">
        <f t="shared" si="0"/>
        <v>611.36920586173983</v>
      </c>
      <c r="S39" s="62">
        <f ca="1">AVERAGE(OFFSET($R$3,0,0,'Données projet'!$E$9+1,1))-AVERAGE(OFFSET($H$3,0,0,'Données projet'!$E$9+1,1))</f>
        <v>417.73464038490249</v>
      </c>
      <c r="T39" s="62">
        <f t="shared" si="34"/>
        <v>330.26301310239984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12.716489231516485</v>
      </c>
      <c r="AA39" s="23">
        <f>EXP(-LN(2)/25)*AA38+(1-EXP(-LN(2)/25))/(LN(2)/25)*Calculateur!V39*Calculateur!X39*VLOOKUP('Données projet'!$B$9,Paramètres!$A$1:$I$89,3,0)*0.475*44/12</f>
        <v>17.719944339806379</v>
      </c>
      <c r="AB39" s="23">
        <f>EXP(-LN(2)/2)*AB38+(1-EXP(-LN(2)/2))/(LN(2)/2)*V39*Y39*VLOOKUP('Données projet'!$B$9,Paramètres!$A$1:$I$89,3,0)*0.475*44/12</f>
        <v>14.473720185351981</v>
      </c>
      <c r="AC39" s="24">
        <f t="shared" si="3"/>
        <v>44.910153756674845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21.733333333333334</v>
      </c>
      <c r="N40" s="14">
        <f>IF('Données projet'!$A$36&gt;35,N39+M40-V39,IF(A40&lt;'Données projet'!$A$36,$K$205^A40,IF(A40='Données projet'!$A$36,'Données projet'!$B$36,N39+M40-V39)))</f>
        <v>323.46666666666675</v>
      </c>
      <c r="O40" s="14">
        <f>N40*VLOOKUP('Données projet'!$B$9,Paramètres!$A$1:$I$89,3,0)*VLOOKUP('Données projet'!$B$9,Paramètres!$A$1:$I$89,5,0)</f>
        <v>155.5874666666667</v>
      </c>
      <c r="P40" s="14">
        <f t="shared" si="33"/>
        <v>39.845642109010662</v>
      </c>
      <c r="Q40" s="22">
        <f t="shared" si="53"/>
        <v>340.37933111763806</v>
      </c>
      <c r="R40" s="62">
        <f t="shared" si="0"/>
        <v>633.71266445097137</v>
      </c>
      <c r="S40" s="62">
        <f ca="1">AVERAGE(OFFSET($R$3,0,0,'Données projet'!$E$9+1,1))-AVERAGE(OFFSET($H$3,0,0,'Données projet'!$E$9+1,1))</f>
        <v>417.73464038490249</v>
      </c>
      <c r="T40" s="62">
        <f t="shared" si="34"/>
        <v>330.26301310239984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12.467126633979008</v>
      </c>
      <c r="AA40" s="23">
        <f>EXP(-LN(2)/25)*AA39+(1-EXP(-LN(2)/25))/(LN(2)/25)*Calculateur!V40*Calculateur!X40*VLOOKUP('Données projet'!$B$9,Paramètres!$A$1:$I$89,3,0)*0.475*44/12</f>
        <v>17.235391529983001</v>
      </c>
      <c r="AB40" s="23">
        <f>EXP(-LN(2)/2)*AB39+(1-EXP(-LN(2)/2))/(LN(2)/2)*V40*Y40*VLOOKUP('Données projet'!$B$9,Paramètres!$A$1:$I$89,3,0)*0.475*44/12</f>
        <v>10.234465692059</v>
      </c>
      <c r="AC40" s="24">
        <f t="shared" si="3"/>
        <v>39.936983856021016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21.733333333333334</v>
      </c>
      <c r="N41" s="14">
        <f>IF('Données projet'!$A$36&gt;35,N40+M41-V40,IF(A41&lt;'Données projet'!$A$36,$K$205^A41,IF(A41='Données projet'!$A$36,'Données projet'!$B$36,N40+M41-V40)))</f>
        <v>345.2000000000001</v>
      </c>
      <c r="O41" s="14">
        <f>N41*VLOOKUP('Données projet'!$B$9,Paramètres!$A$1:$I$89,3,0)*VLOOKUP('Données projet'!$B$9,Paramètres!$A$1:$I$89,5,0)</f>
        <v>166.04120000000006</v>
      </c>
      <c r="P41" s="14">
        <f t="shared" si="33"/>
        <v>42.202171865052783</v>
      </c>
      <c r="Q41" s="22">
        <f t="shared" si="53"/>
        <v>362.6905393316336</v>
      </c>
      <c r="R41" s="62">
        <f t="shared" si="0"/>
        <v>656.02387266496692</v>
      </c>
      <c r="S41" s="62">
        <f ca="1">AVERAGE(OFFSET($R$3,0,0,'Données projet'!$E$9+1,1))-AVERAGE(OFFSET($H$3,0,0,'Données projet'!$E$9+1,1))</f>
        <v>417.73464038490249</v>
      </c>
      <c r="T41" s="62">
        <f t="shared" si="34"/>
        <v>330.26301310239984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12.222653884883075</v>
      </c>
      <c r="AA41" s="23">
        <f>EXP(-LN(2)/25)*AA40+(1-EXP(-LN(2)/25))/(LN(2)/25)*Calculateur!V41*Calculateur!X41*VLOOKUP('Données projet'!$B$9,Paramètres!$A$1:$I$89,3,0)*0.475*44/12</f>
        <v>16.764088842225767</v>
      </c>
      <c r="AB41" s="23">
        <f>EXP(-LN(2)/2)*AB40+(1-EXP(-LN(2)/2))/(LN(2)/2)*V41*Y41*VLOOKUP('Données projet'!$B$9,Paramètres!$A$1:$I$89,3,0)*0.475*44/12</f>
        <v>7.2368600926759914</v>
      </c>
      <c r="AC41" s="24">
        <f t="shared" si="3"/>
        <v>36.22360281978483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21.733333333333334</v>
      </c>
      <c r="N42" s="14">
        <f>IF('Données projet'!$A$36&gt;35,N41+M42-V41,IF(A42&lt;'Données projet'!$A$36,$K$205^A42,IF(A42='Données projet'!$A$36,'Données projet'!$B$36,N41+M42-V41)))</f>
        <v>366.93333333333345</v>
      </c>
      <c r="O42" s="14">
        <f>N42*VLOOKUP('Données projet'!$B$9,Paramètres!$A$1:$I$89,3,0)*VLOOKUP('Données projet'!$B$9,Paramètres!$A$1:$I$89,5,0)</f>
        <v>176.49493333333342</v>
      </c>
      <c r="P42" s="14">
        <f t="shared" si="33"/>
        <v>44.541483173730377</v>
      </c>
      <c r="Q42" s="22">
        <f t="shared" si="53"/>
        <v>384.9717587498028</v>
      </c>
      <c r="R42" s="62">
        <f t="shared" si="0"/>
        <v>678.30509208313606</v>
      </c>
      <c r="S42" s="62">
        <f ca="1">AVERAGE(OFFSET($R$3,0,0,'Données projet'!$E$9+1,1))-AVERAGE(OFFSET($H$3,0,0,'Données projet'!$E$9+1,1))</f>
        <v>417.73464038490249</v>
      </c>
      <c r="T42" s="62">
        <f t="shared" si="34"/>
        <v>330.26301310239984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11.982975097283258</v>
      </c>
      <c r="AA42" s="23">
        <f>EXP(-LN(2)/25)*AA41+(1-EXP(-LN(2)/25))/(LN(2)/25)*Calculateur!V42*Calculateur!X42*VLOOKUP('Données projet'!$B$9,Paramètres!$A$1:$I$89,3,0)*0.475*44/12</f>
        <v>16.305673951249986</v>
      </c>
      <c r="AB42" s="23">
        <f>EXP(-LN(2)/2)*AB41+(1-EXP(-LN(2)/2))/(LN(2)/2)*V42*Y42*VLOOKUP('Données projet'!$B$9,Paramètres!$A$1:$I$89,3,0)*0.475*44/12</f>
        <v>5.1172328460295002</v>
      </c>
      <c r="AC42" s="24">
        <f t="shared" si="3"/>
        <v>33.405881894562746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21.733333333333334</v>
      </c>
      <c r="N43" s="14">
        <f>IF('Données projet'!$A$36&gt;35,N42+M43-V42,IF(A43&lt;'Données projet'!$A$36,$K$205^A43,IF(A43='Données projet'!$A$36,'Données projet'!$B$36,N42+M43-V42)))</f>
        <v>388.6666666666668</v>
      </c>
      <c r="O43" s="14">
        <f>N43*VLOOKUP('Données projet'!$B$9,Paramètres!$A$1:$I$89,3,0)*VLOOKUP('Données projet'!$B$9,Paramètres!$A$1:$I$89,5,0)</f>
        <v>186.94866666666672</v>
      </c>
      <c r="P43" s="14">
        <f t="shared" si="33"/>
        <v>46.864712038578503</v>
      </c>
      <c r="Q43" s="22">
        <f t="shared" si="53"/>
        <v>407.22496791163536</v>
      </c>
      <c r="R43" s="62">
        <f t="shared" si="0"/>
        <v>700.55830124496867</v>
      </c>
      <c r="S43" s="62">
        <f ca="1">AVERAGE(OFFSET($R$3,0,0,'Données projet'!$E$9+1,1))-AVERAGE(OFFSET($H$3,0,0,'Données projet'!$E$9+1,1))</f>
        <v>417.73464038490249</v>
      </c>
      <c r="T43" s="62">
        <f t="shared" si="34"/>
        <v>330.26301310239984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11.747996264518649</v>
      </c>
      <c r="AA43" s="23">
        <f>EXP(-LN(2)/25)*AA42+(1-EXP(-LN(2)/25))/(LN(2)/25)*Calculateur!V43*Calculateur!X43*VLOOKUP('Données projet'!$B$9,Paramètres!$A$1:$I$89,3,0)*0.475*44/12</f>
        <v>15.859794439574928</v>
      </c>
      <c r="AB43" s="23">
        <f>EXP(-LN(2)/2)*AB42+(1-EXP(-LN(2)/2))/(LN(2)/2)*V43*Y43*VLOOKUP('Données projet'!$B$9,Paramètres!$A$1:$I$89,3,0)*0.475*44/12</f>
        <v>3.6184300463379957</v>
      </c>
      <c r="AC43" s="24">
        <f t="shared" si="3"/>
        <v>31.226220750431573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21.733333333333334</v>
      </c>
      <c r="N44" s="14">
        <f>IF('Données projet'!$A$36&gt;35,N43+M44-V43,IF(A44&lt;'Données projet'!$A$36,$K$205^A44,IF(A44='Données projet'!$A$36,'Données projet'!$B$36,N43+M44-V43)))</f>
        <v>410.40000000000015</v>
      </c>
      <c r="O44" s="14">
        <f>N44*VLOOKUP('Données projet'!$B$9,Paramètres!$A$1:$I$89,3,0)*VLOOKUP('Données projet'!$B$9,Paramètres!$A$1:$I$89,5,0)</f>
        <v>197.40240000000006</v>
      </c>
      <c r="P44" s="14">
        <f t="shared" si="33"/>
        <v>49.172860242328476</v>
      </c>
      <c r="Q44" s="22">
        <f t="shared" si="53"/>
        <v>429.45191158872217</v>
      </c>
      <c r="R44" s="62">
        <f t="shared" si="0"/>
        <v>722.78524492205543</v>
      </c>
      <c r="S44" s="62">
        <f ca="1">AVERAGE(OFFSET($R$3,0,0,'Données projet'!$E$9+1,1))-AVERAGE(OFFSET($H$3,0,0,'Données projet'!$E$9+1,1))</f>
        <v>417.73464038490249</v>
      </c>
      <c r="T44" s="62">
        <f t="shared" si="34"/>
        <v>330.26301310239984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11.517625223341618</v>
      </c>
      <c r="AA44" s="23">
        <f>EXP(-LN(2)/25)*AA43+(1-EXP(-LN(2)/25))/(LN(2)/25)*Calculateur!V44*Calculateur!X44*VLOOKUP('Données projet'!$B$9,Paramètres!$A$1:$I$89,3,0)*0.475*44/12</f>
        <v>15.426107526594411</v>
      </c>
      <c r="AB44" s="23">
        <f>EXP(-LN(2)/2)*AB43+(1-EXP(-LN(2)/2))/(LN(2)/2)*V44*Y44*VLOOKUP('Données projet'!$B$9,Paramètres!$A$1:$I$89,3,0)*0.475*44/12</f>
        <v>2.5586164230147501</v>
      </c>
      <c r="AC44" s="24">
        <f t="shared" si="3"/>
        <v>29.50234917295078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21.733333333333334</v>
      </c>
      <c r="N45" s="14">
        <f>IF('Données projet'!$A$36&gt;35,N44+M45-V44,IF(A45&lt;'Données projet'!$A$36,$K$205^A45,IF(A45='Données projet'!$A$36,'Données projet'!$B$36,N44+M45-V44)))</f>
        <v>432.1333333333335</v>
      </c>
      <c r="O45" s="14">
        <f>N45*VLOOKUP('Données projet'!$B$9,Paramètres!$A$1:$I$89,3,0)*VLOOKUP('Données projet'!$B$9,Paramètres!$A$1:$I$89,5,0)</f>
        <v>207.85613333333342</v>
      </c>
      <c r="P45" s="14">
        <f t="shared" si="33"/>
        <v>51.466817473433231</v>
      </c>
      <c r="Q45" s="22">
        <f t="shared" si="53"/>
        <v>451.65413932178518</v>
      </c>
      <c r="R45" s="62">
        <f t="shared" si="0"/>
        <v>744.98747265511849</v>
      </c>
      <c r="S45" s="62">
        <f ca="1">AVERAGE(OFFSET($R$3,0,0,'Données projet'!$E$9+1,1))-AVERAGE(OFFSET($H$3,0,0,'Données projet'!$E$9+1,1))</f>
        <v>417.73464038490249</v>
      </c>
      <c r="T45" s="62">
        <f t="shared" si="34"/>
        <v>330.26301310239984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11.291771617769609</v>
      </c>
      <c r="AA45" s="23">
        <f>EXP(-LN(2)/25)*AA44+(1-EXP(-LN(2)/25))/(LN(2)/25)*Calculateur!V45*Calculateur!X45*VLOOKUP('Données projet'!$B$9,Paramètres!$A$1:$I$89,3,0)*0.475*44/12</f>
        <v>15.004279805055949</v>
      </c>
      <c r="AB45" s="23">
        <f>EXP(-LN(2)/2)*AB44+(1-EXP(-LN(2)/2))/(LN(2)/2)*V45*Y45*VLOOKUP('Données projet'!$B$9,Paramètres!$A$1:$I$89,3,0)*0.475*44/12</f>
        <v>1.8092150231689978</v>
      </c>
      <c r="AC45" s="24">
        <f t="shared" si="3"/>
        <v>28.105266445994555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21.733333333333334</v>
      </c>
      <c r="N46" s="14">
        <f>IF('Données projet'!$A$36&gt;35,N45+M46-V45,IF(A46&lt;'Données projet'!$A$36,$K$205^A46,IF(A46='Données projet'!$A$36,'Données projet'!$B$36,N45+M46-V45)))</f>
        <v>453.86666666666684</v>
      </c>
      <c r="O46" s="14">
        <f>N46*VLOOKUP('Données projet'!$B$9,Paramètres!$A$1:$I$89,3,0)*VLOOKUP('Données projet'!$B$9,Paramètres!$A$1:$I$89,5,0)</f>
        <v>218.30986666666675</v>
      </c>
      <c r="P46" s="14">
        <f t="shared" si="33"/>
        <v>53.747378874796937</v>
      </c>
      <c r="Q46" s="22">
        <f t="shared" si="53"/>
        <v>473.83303598471588</v>
      </c>
      <c r="R46" s="62">
        <f t="shared" si="0"/>
        <v>767.16636931804919</v>
      </c>
      <c r="S46" s="62">
        <f ca="1">AVERAGE(OFFSET($R$3,0,0,'Données projet'!$E$9+1,1))-AVERAGE(OFFSET($H$3,0,0,'Données projet'!$E$9+1,1))</f>
        <v>417.73464038490249</v>
      </c>
      <c r="T46" s="62">
        <f t="shared" si="34"/>
        <v>330.26301310239984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11.070346863645769</v>
      </c>
      <c r="AA46" s="23">
        <f>EXP(-LN(2)/25)*AA45+(1-EXP(-LN(2)/25))/(LN(2)/25)*Calculateur!V46*Calculateur!X46*VLOOKUP('Données projet'!$B$9,Paramètres!$A$1:$I$89,3,0)*0.475*44/12</f>
        <v>14.593986984745912</v>
      </c>
      <c r="AB46" s="23">
        <f>EXP(-LN(2)/2)*AB45+(1-EXP(-LN(2)/2))/(LN(2)/2)*V46*Y46*VLOOKUP('Données projet'!$B$9,Paramètres!$A$1:$I$89,3,0)*0.475*44/12</f>
        <v>1.2793082115073751</v>
      </c>
      <c r="AC46" s="24">
        <f t="shared" si="3"/>
        <v>26.943642059899055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21.733333333333334</v>
      </c>
      <c r="N47" s="14">
        <f>IF('Données projet'!$A$36&gt;35,N46+M47-V46,IF(A47&lt;'Données projet'!$A$36,$K$205^A47,IF(A47='Données projet'!$A$36,'Données projet'!$B$36,N46+M47-V46)))</f>
        <v>475.60000000000019</v>
      </c>
      <c r="O47" s="14">
        <f>N47*VLOOKUP('Données projet'!$B$9,Paramètres!$A$1:$I$89,3,0)*VLOOKUP('Données projet'!$B$9,Paramètres!$A$1:$I$89,5,0)</f>
        <v>228.76360000000008</v>
      </c>
      <c r="P47" s="14">
        <f t="shared" si="33"/>
        <v>56.015259135966751</v>
      </c>
      <c r="Q47" s="22">
        <f t="shared" si="53"/>
        <v>495.98984632847555</v>
      </c>
      <c r="R47" s="62">
        <f t="shared" si="0"/>
        <v>789.32317966180881</v>
      </c>
      <c r="S47" s="62">
        <f ca="1">AVERAGE(OFFSET($R$3,0,0,'Données projet'!$E$9+1,1))-AVERAGE(OFFSET($H$3,0,0,'Données projet'!$E$9+1,1))</f>
        <v>417.73464038490249</v>
      </c>
      <c r="T47" s="62">
        <f t="shared" si="34"/>
        <v>330.26301310239984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10.853264113894534</v>
      </c>
      <c r="AA47" s="23">
        <f>EXP(-LN(2)/25)*AA46+(1-EXP(-LN(2)/25))/(LN(2)/25)*Calculateur!V47*Calculateur!X47*VLOOKUP('Données projet'!$B$9,Paramètres!$A$1:$I$89,3,0)*0.475*44/12</f>
        <v>14.194913643183614</v>
      </c>
      <c r="AB47" s="23">
        <f>EXP(-LN(2)/2)*AB46+(1-EXP(-LN(2)/2))/(LN(2)/2)*V47*Y47*VLOOKUP('Données projet'!$B$9,Paramètres!$A$1:$I$89,3,0)*0.475*44/12</f>
        <v>0.90460751158449892</v>
      </c>
      <c r="AC47" s="24">
        <f t="shared" si="3"/>
        <v>25.952785268662648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21.733333333333334</v>
      </c>
      <c r="N48" s="14">
        <f>IF('Données projet'!$A$36&gt;35,N47+M48-V47,IF(A48&lt;'Données projet'!$A$36,$K$205^A48,IF(A48='Données projet'!$A$36,'Données projet'!$B$36,N47+M48-V47)))</f>
        <v>497.33333333333354</v>
      </c>
      <c r="O48" s="14">
        <f>N48*VLOOKUP('Données projet'!$B$9,Paramètres!$A$1:$I$89,3,0)*VLOOKUP('Données projet'!$B$9,Paramètres!$A$1:$I$89,5,0)</f>
        <v>239.21733333333344</v>
      </c>
      <c r="P48" s="14">
        <f t="shared" si="33"/>
        <v>58.271103936627988</v>
      </c>
      <c r="Q48" s="22">
        <f t="shared" si="53"/>
        <v>518.12569491184945</v>
      </c>
      <c r="R48" s="62">
        <f t="shared" si="0"/>
        <v>811.45902824518271</v>
      </c>
      <c r="S48" s="62">
        <f ca="1">AVERAGE(OFFSET($R$3,0,0,'Données projet'!$E$9+1,1))-AVERAGE(OFFSET($H$3,0,0,'Données projet'!$E$9+1,1))</f>
        <v>417.73464038490249</v>
      </c>
      <c r="T48" s="62">
        <f t="shared" si="34"/>
        <v>330.26301310239984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10.640438224458517</v>
      </c>
      <c r="AA48" s="23">
        <f>EXP(-LN(2)/25)*AA47+(1-EXP(-LN(2)/25))/(LN(2)/25)*Calculateur!V48*Calculateur!X48*VLOOKUP('Données projet'!$B$9,Paramètres!$A$1:$I$89,3,0)*0.475*44/12</f>
        <v>13.806752983132693</v>
      </c>
      <c r="AB48" s="23">
        <f>EXP(-LN(2)/2)*AB47+(1-EXP(-LN(2)/2))/(LN(2)/2)*V48*Y48*VLOOKUP('Données projet'!$B$9,Paramètres!$A$1:$I$89,3,0)*0.475*44/12</f>
        <v>0.63965410575368753</v>
      </c>
      <c r="AC48" s="24">
        <f t="shared" si="3"/>
        <v>25.086845313344899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21.733333333333334</v>
      </c>
      <c r="N49" s="14">
        <f>IF('Données projet'!$A$36&gt;35,N48+M49-V48,IF(A49&lt;'Données projet'!$A$36,$K$205^A49,IF(A49='Données projet'!$A$36,'Données projet'!$B$36,N48+M49-V48)))</f>
        <v>519.06666666666683</v>
      </c>
      <c r="O49" s="14">
        <f>N49*VLOOKUP('Données projet'!$B$9,Paramètres!$A$1:$I$89,3,0)*VLOOKUP('Données projet'!$B$9,Paramètres!$A$1:$I$89,5,0)</f>
        <v>249.67106666666675</v>
      </c>
      <c r="P49" s="14">
        <f t="shared" si="33"/>
        <v>60.515499333335676</v>
      </c>
      <c r="Q49" s="22">
        <f t="shared" si="53"/>
        <v>540.24160245000428</v>
      </c>
      <c r="R49" s="62">
        <f t="shared" si="0"/>
        <v>833.57493578333765</v>
      </c>
      <c r="S49" s="62">
        <f ca="1">AVERAGE(OFFSET($R$3,0,0,'Données projet'!$E$9+1,1))-AVERAGE(OFFSET($H$3,0,0,'Données projet'!$E$9+1,1))</f>
        <v>417.73464038490249</v>
      </c>
      <c r="T49" s="62">
        <f t="shared" si="34"/>
        <v>330.26301310239984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10.431785720903365</v>
      </c>
      <c r="AA49" s="23">
        <f>EXP(-LN(2)/25)*AA48+(1-EXP(-LN(2)/25))/(LN(2)/25)*Calculateur!V49*Calculateur!X49*VLOOKUP('Données projet'!$B$9,Paramètres!$A$1:$I$89,3,0)*0.475*44/12</f>
        <v>13.429206596743345</v>
      </c>
      <c r="AB49" s="23">
        <f>EXP(-LN(2)/2)*AB48+(1-EXP(-LN(2)/2))/(LN(2)/2)*V49*Y49*VLOOKUP('Données projet'!$B$9,Paramètres!$A$1:$I$89,3,0)*0.475*44/12</f>
        <v>0.45230375579224946</v>
      </c>
      <c r="AC49" s="24">
        <f t="shared" si="3"/>
        <v>24.313296073438963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21.733333333333334</v>
      </c>
      <c r="N50" s="14">
        <f>IF('Données projet'!$A$36&gt;35,N49+M50-V49,IF(A50&lt;'Données projet'!$A$36,$K$205^A50,IF(A50='Données projet'!$A$36,'Données projet'!$B$36,N49+M50-V49)))</f>
        <v>540.80000000000018</v>
      </c>
      <c r="O50" s="14">
        <f>N50*VLOOKUP('Données projet'!$B$9,Paramètres!$A$1:$I$89,3,0)*VLOOKUP('Données projet'!$B$9,Paramètres!$A$1:$I$89,5,0)</f>
        <v>260.12480000000011</v>
      </c>
      <c r="P50" s="14">
        <f t="shared" si="33"/>
        <v>62.748979529850907</v>
      </c>
      <c r="Q50" s="22">
        <f t="shared" si="53"/>
        <v>562.33849934782381</v>
      </c>
      <c r="R50" s="62">
        <f t="shared" si="0"/>
        <v>855.67183268115718</v>
      </c>
      <c r="S50" s="62">
        <f ca="1">AVERAGE(OFFSET($R$3,0,0,'Données projet'!$E$9+1,1))-AVERAGE(OFFSET($H$3,0,0,'Données projet'!$E$9+1,1))</f>
        <v>417.73464038490249</v>
      </c>
      <c r="T50" s="62">
        <f t="shared" si="34"/>
        <v>330.26301310239984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10.22722476567747</v>
      </c>
      <c r="AA50" s="23">
        <f>EXP(-LN(2)/25)*AA49+(1-EXP(-LN(2)/25))/(LN(2)/25)*Calculateur!V50*Calculateur!X50*VLOOKUP('Données projet'!$B$9,Paramètres!$A$1:$I$89,3,0)*0.475*44/12</f>
        <v>13.061984236144117</v>
      </c>
      <c r="AB50" s="23">
        <f>EXP(-LN(2)/2)*AB49+(1-EXP(-LN(2)/2))/(LN(2)/2)*V50*Y50*VLOOKUP('Données projet'!$B$9,Paramètres!$A$1:$I$89,3,0)*0.475*44/12</f>
        <v>0.31982705287684376</v>
      </c>
      <c r="AC50" s="24">
        <f t="shared" si="3"/>
        <v>23.609036054698429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21.733333333333334</v>
      </c>
      <c r="N51" s="14">
        <f>IF('Données projet'!$A$36&gt;35,N50+M51-V50,IF(A51&lt;'Données projet'!$A$36,$K$205^A51,IF(A51='Données projet'!$A$36,'Données projet'!$B$36,N50+M51-V50)))</f>
        <v>562.53333333333353</v>
      </c>
      <c r="O51" s="14">
        <f>N51*VLOOKUP('Données projet'!$B$9,Paramètres!$A$1:$I$89,3,0)*VLOOKUP('Données projet'!$B$9,Paramètres!$A$1:$I$89,5,0)</f>
        <v>270.57853333333344</v>
      </c>
      <c r="P51" s="14">
        <f t="shared" si="33"/>
        <v>64.972033363234885</v>
      </c>
      <c r="Q51" s="22">
        <f t="shared" si="53"/>
        <v>584.41723699652323</v>
      </c>
      <c r="R51" s="62">
        <f t="shared" si="0"/>
        <v>877.7505703298566</v>
      </c>
      <c r="S51" s="62">
        <f ca="1">AVERAGE(OFFSET($R$3,0,0,'Données projet'!$E$9+1,1))-AVERAGE(OFFSET($H$3,0,0,'Données projet'!$E$9+1,1))</f>
        <v>417.73464038490249</v>
      </c>
      <c r="T51" s="62">
        <f t="shared" si="34"/>
        <v>330.26301310239984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10.026675126013691</v>
      </c>
      <c r="AA51" s="23">
        <f>EXP(-LN(2)/25)*AA50+(1-EXP(-LN(2)/25))/(LN(2)/25)*Calculateur!V51*Calculateur!X51*VLOOKUP('Données projet'!$B$9,Paramètres!$A$1:$I$89,3,0)*0.475*44/12</f>
        <v>12.704803590306858</v>
      </c>
      <c r="AB51" s="23">
        <f>EXP(-LN(2)/2)*AB50+(1-EXP(-LN(2)/2))/(LN(2)/2)*V51*Y51*VLOOKUP('Données projet'!$B$9,Paramètres!$A$1:$I$89,3,0)*0.475*44/12</f>
        <v>0.22615187789612473</v>
      </c>
      <c r="AC51" s="24">
        <f t="shared" si="3"/>
        <v>22.957630594216674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21.733333333333334</v>
      </c>
      <c r="N52" s="14">
        <f>IF('Données projet'!$A$36&gt;35,N51+M52-V51,IF(A52&lt;'Données projet'!$A$36,$K$205^A52,IF(A52='Données projet'!$A$36,'Données projet'!$B$36,N51+M52-V51)))</f>
        <v>584.26666666666688</v>
      </c>
      <c r="O52" s="14">
        <f>N52*VLOOKUP('Données projet'!$B$9,Paramètres!$A$1:$I$89,3,0)*VLOOKUP('Données projet'!$B$9,Paramètres!$A$1:$I$89,5,0)</f>
        <v>281.03226666666677</v>
      </c>
      <c r="P52" s="14">
        <f t="shared" si="33"/>
        <v>67.185109759393654</v>
      </c>
      <c r="Q52" s="22">
        <f t="shared" si="53"/>
        <v>606.47859727538855</v>
      </c>
      <c r="R52" s="62">
        <f t="shared" si="0"/>
        <v>899.81193060872192</v>
      </c>
      <c r="S52" s="62">
        <f ca="1">AVERAGE(OFFSET($R$3,0,0,'Données projet'!$E$9+1,1))-AVERAGE(OFFSET($H$3,0,0,'Données projet'!$E$9+1,1))</f>
        <v>417.73464038490249</v>
      </c>
      <c r="T52" s="62">
        <f t="shared" si="34"/>
        <v>330.26301310239984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9.8300581424605173</v>
      </c>
      <c r="AA52" s="23">
        <f>EXP(-LN(2)/25)*AA51+(1-EXP(-LN(2)/25))/(LN(2)/25)*Calculateur!V52*Calculateur!X52*VLOOKUP('Données projet'!$B$9,Paramètres!$A$1:$I$89,3,0)*0.475*44/12</f>
        <v>12.357390068013332</v>
      </c>
      <c r="AB52" s="23">
        <f>EXP(-LN(2)/2)*AB51+(1-EXP(-LN(2)/2))/(LN(2)/2)*V52*Y52*VLOOKUP('Données projet'!$B$9,Paramètres!$A$1:$I$89,3,0)*0.475*44/12</f>
        <v>0.15991352643842188</v>
      </c>
      <c r="AC52" s="24">
        <f t="shared" si="3"/>
        <v>22.347361736912273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606</v>
      </c>
      <c r="L53" s="13">
        <f>VLOOKUP(A53,'Données projet'!$A$35:$I$55,9,0)</f>
        <v>21.733333333333334</v>
      </c>
      <c r="M53" s="13">
        <f t="array" ref="M53">INDEX(L:L,MIN(IF(ISNUMBER(L53:L249),ROW(L53:L249),"")))</f>
        <v>21.733333333333334</v>
      </c>
      <c r="N53" s="14">
        <f>IF('Données projet'!$A$36&gt;35,N52+M53-V52,IF(A53&lt;'Données projet'!$A$36,$K$205^A53,IF(A53='Données projet'!$A$36,'Données projet'!$B$36,N52+M53-V52)))</f>
        <v>606.00000000000023</v>
      </c>
      <c r="O53" s="14">
        <f>N53*VLOOKUP('Données projet'!$B$9,Paramètres!$A$1:$I$89,3,0)*VLOOKUP('Données projet'!$B$9,Paramètres!$A$1:$I$89,5,0)</f>
        <v>291.4860000000001</v>
      </c>
      <c r="P53" s="14">
        <f t="shared" si="33"/>
        <v>69.388622354068417</v>
      </c>
      <c r="Q53" s="22">
        <f t="shared" si="53"/>
        <v>628.52330060000259</v>
      </c>
      <c r="R53" s="62">
        <f t="shared" si="0"/>
        <v>921.85663393333584</v>
      </c>
      <c r="S53" s="62">
        <f ca="1">AVERAGE(OFFSET($R$3,0,0,'Données projet'!$E$9+1,1))-AVERAGE(OFFSET($H$3,0,0,'Données projet'!$E$9+1,1))</f>
        <v>417.73464038490249</v>
      </c>
      <c r="T53" s="62">
        <f t="shared" si="34"/>
        <v>330.26301310239984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168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0.13750000000000001</v>
      </c>
      <c r="Y53" s="17">
        <f>IF(ISNA(VLOOKUP(A53,'Données projet'!$A$35:$I$55,7,0)),0%,VLOOKUP(A53,'Données projet'!$A$35:$I$55,7,0))</f>
        <v>0.25</v>
      </c>
      <c r="Z53" s="23">
        <f>EXP(-LN(2)/35)*Z52+(1-EXP(-LN(2)/35))/(LN(2)/35)*V53*W53*VLOOKUP('Données projet'!$B$9,Paramètres!$A$1:$I$89,3,0)*0.475*44/12</f>
        <v>39.116477339698854</v>
      </c>
      <c r="AA53" s="23">
        <f>EXP(-LN(2)/25)*AA52+(1-EXP(-LN(2)/25))/(LN(2)/25)*Calculateur!V53*Calculateur!X53*VLOOKUP('Données projet'!$B$9,Paramètres!$A$1:$I$89,3,0)*0.475*44/12</f>
        <v>26.701031524273539</v>
      </c>
      <c r="AB53" s="23">
        <f>EXP(-LN(2)/2)*AB52+(1-EXP(-LN(2)/2))/(LN(2)/2)*V53*Y53*VLOOKUP('Données projet'!$B$9,Paramètres!$A$1:$I$89,3,0)*0.475*44/12</f>
        <v>22.986432813577721</v>
      </c>
      <c r="AC53" s="24">
        <f t="shared" si="3"/>
        <v>88.803941677550114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18.100000000000001</v>
      </c>
      <c r="N54" s="14">
        <f>IF('Données projet'!$A$36&gt;35,N53+M54-V53,IF(A54&lt;'Données projet'!$A$36,$K$205^A54,IF(A54='Données projet'!$A$36,'Données projet'!$B$36,N53+M54-V53)))</f>
        <v>456.10000000000025</v>
      </c>
      <c r="O54" s="14">
        <f>N54*VLOOKUP('Données projet'!$B$9,Paramètres!$A$1:$I$89,3,0)*VLOOKUP('Données projet'!$B$9,Paramètres!$A$1:$I$89,5,0)</f>
        <v>219.38410000000013</v>
      </c>
      <c r="P54" s="14">
        <f t="shared" si="33"/>
        <v>53.981001065137875</v>
      </c>
      <c r="Q54" s="22">
        <f t="shared" si="53"/>
        <v>476.11088435511527</v>
      </c>
      <c r="R54" s="62">
        <f t="shared" si="0"/>
        <v>769.44421768844859</v>
      </c>
      <c r="S54" s="62">
        <f ca="1">AVERAGE(OFFSET($R$3,0,0,'Données projet'!$E$9+1,1))-AVERAGE(OFFSET($H$3,0,0,'Données projet'!$E$9+1,1))</f>
        <v>417.73464038490249</v>
      </c>
      <c r="T54" s="62">
        <f t="shared" si="34"/>
        <v>330.26301310239984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38.349427077762684</v>
      </c>
      <c r="AA54" s="23">
        <f>EXP(-LN(2)/25)*AA53+(1-EXP(-LN(2)/25))/(LN(2)/25)*Calculateur!V54*Calculateur!X54*VLOOKUP('Données projet'!$B$9,Paramètres!$A$1:$I$89,3,0)*0.475*44/12</f>
        <v>25.970890413096058</v>
      </c>
      <c r="AB54" s="23">
        <f>EXP(-LN(2)/2)*AB53+(1-EXP(-LN(2)/2))/(LN(2)/2)*V54*Y54*VLOOKUP('Données projet'!$B$9,Paramètres!$A$1:$I$89,3,0)*0.475*44/12</f>
        <v>16.253862517769779</v>
      </c>
      <c r="AC54" s="24">
        <f t="shared" si="3"/>
        <v>80.574180008628517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18.100000000000001</v>
      </c>
      <c r="N55" s="14">
        <f>IF('Données projet'!$A$36&gt;35,N54+M55-V54,IF(A55&lt;'Données projet'!$A$36,$K$205^A55,IF(A55='Données projet'!$A$36,'Données projet'!$B$36,N54+M55-V54)))</f>
        <v>474.20000000000027</v>
      </c>
      <c r="O55" s="14">
        <f>N55*VLOOKUP('Données projet'!$B$9,Paramètres!$A$1:$I$89,3,0)*VLOOKUP('Données projet'!$B$9,Paramètres!$A$1:$I$89,5,0)</f>
        <v>228.09020000000012</v>
      </c>
      <c r="P55" s="14">
        <f t="shared" si="33"/>
        <v>55.869537940607188</v>
      </c>
      <c r="Q55" s="22">
        <f t="shared" si="53"/>
        <v>494.56321024655767</v>
      </c>
      <c r="R55" s="62">
        <f t="shared" si="0"/>
        <v>787.89654357989093</v>
      </c>
      <c r="S55" s="62">
        <f ca="1">AVERAGE(OFFSET($R$3,0,0,'Données projet'!$E$9+1,1))-AVERAGE(OFFSET($H$3,0,0,'Données projet'!$E$9+1,1))</f>
        <v>417.73464038490249</v>
      </c>
      <c r="T55" s="62">
        <f t="shared" si="34"/>
        <v>330.26301310239984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37.597418203608619</v>
      </c>
      <c r="AA55" s="23">
        <f>EXP(-LN(2)/25)*AA54+(1-EXP(-LN(2)/25))/(LN(2)/25)*Calculateur!V55*Calculateur!X55*VLOOKUP('Données projet'!$B$9,Paramètres!$A$1:$I$89,3,0)*0.475*44/12</f>
        <v>25.260715049000176</v>
      </c>
      <c r="AB55" s="23">
        <f>EXP(-LN(2)/2)*AB54+(1-EXP(-LN(2)/2))/(LN(2)/2)*V55*Y55*VLOOKUP('Données projet'!$B$9,Paramètres!$A$1:$I$89,3,0)*0.475*44/12</f>
        <v>11.493216406788862</v>
      </c>
      <c r="AC55" s="24">
        <f t="shared" si="3"/>
        <v>74.351349659397656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18.100000000000001</v>
      </c>
      <c r="N56" s="14">
        <f>IF('Données projet'!$A$36&gt;35,N55+M56-V55,IF(A56&lt;'Données projet'!$A$36,$K$205^A56,IF(A56='Données projet'!$A$36,'Données projet'!$B$36,N55+M56-V55)))</f>
        <v>492.3000000000003</v>
      </c>
      <c r="O56" s="14">
        <f>N56*VLOOKUP('Données projet'!$B$9,Paramètres!$A$1:$I$89,3,0)*VLOOKUP('Données projet'!$B$9,Paramètres!$A$1:$I$89,5,0)</f>
        <v>236.79630000000014</v>
      </c>
      <c r="P56" s="14">
        <f t="shared" si="33"/>
        <v>57.749700632845887</v>
      </c>
      <c r="Q56" s="22">
        <f t="shared" si="53"/>
        <v>513.00095110220684</v>
      </c>
      <c r="R56" s="62">
        <f t="shared" si="0"/>
        <v>806.33428443554021</v>
      </c>
      <c r="S56" s="62">
        <f ca="1">AVERAGE(OFFSET($R$3,0,0,'Données projet'!$E$9+1,1))-AVERAGE(OFFSET($H$3,0,0,'Données projet'!$E$9+1,1))</f>
        <v>417.73464038490249</v>
      </c>
      <c r="T56" s="62">
        <f t="shared" si="34"/>
        <v>330.26301310239984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36.860155764796595</v>
      </c>
      <c r="AA56" s="23">
        <f>EXP(-LN(2)/25)*AA55+(1-EXP(-LN(2)/25))/(LN(2)/25)*Calculateur!V56*Calculateur!X56*VLOOKUP('Données projet'!$B$9,Paramètres!$A$1:$I$89,3,0)*0.475*44/12</f>
        <v>24.569959467581995</v>
      </c>
      <c r="AB56" s="23">
        <f>EXP(-LN(2)/2)*AB55+(1-EXP(-LN(2)/2))/(LN(2)/2)*V56*Y56*VLOOKUP('Données projet'!$B$9,Paramètres!$A$1:$I$89,3,0)*0.475*44/12</f>
        <v>8.1269312588848912</v>
      </c>
      <c r="AC56" s="24">
        <f t="shared" si="3"/>
        <v>69.557046491263478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18.100000000000001</v>
      </c>
      <c r="N57" s="14">
        <f>IF('Données projet'!$A$36&gt;35,N56+M57-V56,IF(A57&lt;'Données projet'!$A$36,$K$205^A57,IF(A57='Données projet'!$A$36,'Données projet'!$B$36,N56+M57-V56)))</f>
        <v>510.40000000000032</v>
      </c>
      <c r="O57" s="14">
        <f>N57*VLOOKUP('Données projet'!$B$9,Paramètres!$A$1:$I$89,3,0)*VLOOKUP('Données projet'!$B$9,Paramètres!$A$1:$I$89,5,0)</f>
        <v>245.50240000000016</v>
      </c>
      <c r="P57" s="14">
        <f t="shared" si="33"/>
        <v>59.621832289617871</v>
      </c>
      <c r="Q57" s="22">
        <f t="shared" si="53"/>
        <v>531.42470457108482</v>
      </c>
      <c r="R57" s="62">
        <f t="shared" si="0"/>
        <v>824.75803790441819</v>
      </c>
      <c r="S57" s="62">
        <f ca="1">AVERAGE(OFFSET($R$3,0,0,'Données projet'!$E$9+1,1))-AVERAGE(OFFSET($H$3,0,0,'Données projet'!$E$9+1,1))</f>
        <v>417.73464038490249</v>
      </c>
      <c r="T57" s="62">
        <f t="shared" si="34"/>
        <v>330.26301310239984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36.13735059272399</v>
      </c>
      <c r="AA57" s="23">
        <f>EXP(-LN(2)/25)*AA56+(1-EXP(-LN(2)/25))/(LN(2)/25)*Calculateur!V57*Calculateur!X57*VLOOKUP('Données projet'!$B$9,Paramètres!$A$1:$I$89,3,0)*0.475*44/12</f>
        <v>23.898092633862952</v>
      </c>
      <c r="AB57" s="23">
        <f>EXP(-LN(2)/2)*AB56+(1-EXP(-LN(2)/2))/(LN(2)/2)*V57*Y57*VLOOKUP('Données projet'!$B$9,Paramètres!$A$1:$I$89,3,0)*0.475*44/12</f>
        <v>5.7466082033944321</v>
      </c>
      <c r="AC57" s="24">
        <f t="shared" si="3"/>
        <v>65.782051429981379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18.100000000000001</v>
      </c>
      <c r="N58" s="14">
        <f>IF('Données projet'!$A$36&gt;35,N57+M58-V57,IF(A58&lt;'Données projet'!$A$36,$K$205^A58,IF(A58='Données projet'!$A$36,'Données projet'!$B$36,N57+M58-V57)))</f>
        <v>528.50000000000034</v>
      </c>
      <c r="O58" s="14">
        <f>N58*VLOOKUP('Données projet'!$B$9,Paramètres!$A$1:$I$89,3,0)*VLOOKUP('Données projet'!$B$9,Paramètres!$A$1:$I$89,5,0)</f>
        <v>254.20850000000019</v>
      </c>
      <c r="P58" s="14">
        <f t="shared" si="33"/>
        <v>61.486250341213399</v>
      </c>
      <c r="Q58" s="22">
        <f t="shared" si="53"/>
        <v>549.83502351094694</v>
      </c>
      <c r="R58" s="62">
        <f t="shared" si="0"/>
        <v>843.1683568442802</v>
      </c>
      <c r="S58" s="62">
        <f ca="1">AVERAGE(OFFSET($R$3,0,0,'Données projet'!$E$9+1,1))-AVERAGE(OFFSET($H$3,0,0,'Données projet'!$E$9+1,1))</f>
        <v>417.73464038490249</v>
      </c>
      <c r="T58" s="62">
        <f t="shared" si="34"/>
        <v>330.26301310239984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35.42871918920811</v>
      </c>
      <c r="AA58" s="23">
        <f>EXP(-LN(2)/25)*AA57+(1-EXP(-LN(2)/25))/(LN(2)/25)*Calculateur!V58*Calculateur!X58*VLOOKUP('Données projet'!$B$9,Paramètres!$A$1:$I$89,3,0)*0.475*44/12</f>
        <v>23.244598034043896</v>
      </c>
      <c r="AB58" s="23">
        <f>EXP(-LN(2)/2)*AB57+(1-EXP(-LN(2)/2))/(LN(2)/2)*V58*Y58*VLOOKUP('Données projet'!$B$9,Paramètres!$A$1:$I$89,3,0)*0.475*44/12</f>
        <v>4.0634656294424456</v>
      </c>
      <c r="AC58" s="24">
        <f t="shared" si="3"/>
        <v>62.736782852694454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18.100000000000001</v>
      </c>
      <c r="N59" s="14">
        <f>IF('Données projet'!$A$36&gt;35,N58+M59-V58,IF(A59&lt;'Données projet'!$A$36,$K$205^A59,IF(A59='Données projet'!$A$36,'Données projet'!$B$36,N58+M59-V58)))</f>
        <v>546.60000000000036</v>
      </c>
      <c r="O59" s="14">
        <f>N59*VLOOKUP('Données projet'!$B$9,Paramètres!$A$1:$I$89,3,0)*VLOOKUP('Données projet'!$B$9,Paramètres!$A$1:$I$89,5,0)</f>
        <v>262.91460000000018</v>
      </c>
      <c r="P59" s="14">
        <f t="shared" si="33"/>
        <v>63.343249242007055</v>
      </c>
      <c r="Q59" s="22">
        <f t="shared" si="53"/>
        <v>568.23242076316262</v>
      </c>
      <c r="R59" s="62">
        <f t="shared" si="0"/>
        <v>861.56575409649599</v>
      </c>
      <c r="S59" s="62">
        <f ca="1">AVERAGE(OFFSET($R$3,0,0,'Données projet'!$E$9+1,1))-AVERAGE(OFFSET($H$3,0,0,'Données projet'!$E$9+1,1))</f>
        <v>417.73464038490249</v>
      </c>
      <c r="T59" s="62">
        <f t="shared" si="34"/>
        <v>330.26301310239984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34.733983615292694</v>
      </c>
      <c r="AA59" s="23">
        <f>EXP(-LN(2)/25)*AA58+(1-EXP(-LN(2)/25))/(LN(2)/25)*Calculateur!V59*Calculateur!X59*VLOOKUP('Données projet'!$B$9,Paramètres!$A$1:$I$89,3,0)*0.475*44/12</f>
        <v>22.608973278422681</v>
      </c>
      <c r="AB59" s="23">
        <f>EXP(-LN(2)/2)*AB58+(1-EXP(-LN(2)/2))/(LN(2)/2)*V59*Y59*VLOOKUP('Données projet'!$B$9,Paramètres!$A$1:$I$89,3,0)*0.475*44/12</f>
        <v>2.8733041016972161</v>
      </c>
      <c r="AC59" s="24">
        <f t="shared" si="3"/>
        <v>60.21626099541259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18.100000000000001</v>
      </c>
      <c r="N60" s="14">
        <f>IF('Données projet'!$A$36&gt;35,N59+M60-V59,IF(A60&lt;'Données projet'!$A$36,$K$205^A60,IF(A60='Données projet'!$A$36,'Données projet'!$B$36,N59+M60-V59)))</f>
        <v>564.70000000000039</v>
      </c>
      <c r="O60" s="14">
        <f>N60*VLOOKUP('Données projet'!$B$9,Paramètres!$A$1:$I$89,3,0)*VLOOKUP('Données projet'!$B$9,Paramètres!$A$1:$I$89,5,0)</f>
        <v>271.62070000000017</v>
      </c>
      <c r="P60" s="14">
        <f t="shared" si="33"/>
        <v>65.19310283868154</v>
      </c>
      <c r="Q60" s="22">
        <f t="shared" si="53"/>
        <v>586.61737327737058</v>
      </c>
      <c r="R60" s="62">
        <f t="shared" si="0"/>
        <v>879.95070661070395</v>
      </c>
      <c r="S60" s="62">
        <f ca="1">AVERAGE(OFFSET($R$3,0,0,'Données projet'!$E$9+1,1))-AVERAGE(OFFSET($H$3,0,0,'Données projet'!$E$9+1,1))</f>
        <v>417.73464038490249</v>
      </c>
      <c r="T60" s="62">
        <f t="shared" si="34"/>
        <v>330.26301310239984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34.052871382234898</v>
      </c>
      <c r="AA60" s="23">
        <f>EXP(-LN(2)/25)*AA59+(1-EXP(-LN(2)/25))/(LN(2)/25)*Calculateur!V60*Calculateur!X60*VLOOKUP('Données projet'!$B$9,Paramètres!$A$1:$I$89,3,0)*0.475*44/12</f>
        <v>21.99072971516998</v>
      </c>
      <c r="AB60" s="23">
        <f>EXP(-LN(2)/2)*AB59+(1-EXP(-LN(2)/2))/(LN(2)/2)*V60*Y60*VLOOKUP('Données projet'!$B$9,Paramètres!$A$1:$I$89,3,0)*0.475*44/12</f>
        <v>2.0317328147212228</v>
      </c>
      <c r="AC60" s="24">
        <f t="shared" si="3"/>
        <v>58.075333912126098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18.100000000000001</v>
      </c>
      <c r="N61" s="14">
        <f>IF('Données projet'!$A$36&gt;35,N60+M61-V60,IF(A61&lt;'Données projet'!$A$36,$K$205^A61,IF(A61='Données projet'!$A$36,'Données projet'!$B$36,N60+M61-V60)))</f>
        <v>582.80000000000041</v>
      </c>
      <c r="O61" s="14">
        <f>N61*VLOOKUP('Données projet'!$B$9,Paramètres!$A$1:$I$89,3,0)*VLOOKUP('Données projet'!$B$9,Paramètres!$A$1:$I$89,5,0)</f>
        <v>280.32680000000016</v>
      </c>
      <c r="P61" s="14">
        <f t="shared" si="33"/>
        <v>67.03606642629272</v>
      </c>
      <c r="Q61" s="22">
        <f t="shared" si="53"/>
        <v>604.99032569246003</v>
      </c>
      <c r="R61" s="62">
        <f t="shared" si="0"/>
        <v>898.3236590257934</v>
      </c>
      <c r="S61" s="62">
        <f ca="1">AVERAGE(OFFSET($R$3,0,0,'Données projet'!$E$9+1,1))-AVERAGE(OFFSET($H$3,0,0,'Données projet'!$E$9+1,1))</f>
        <v>417.73464038490249</v>
      </c>
      <c r="T61" s="62">
        <f t="shared" si="34"/>
        <v>330.26301310239984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33.385115344629931</v>
      </c>
      <c r="AA61" s="23">
        <f>EXP(-LN(2)/25)*AA60+(1-EXP(-LN(2)/25))/(LN(2)/25)*Calculateur!V61*Calculateur!X61*VLOOKUP('Données projet'!$B$9,Paramètres!$A$1:$I$89,3,0)*0.475*44/12</f>
        <v>21.389392054666441</v>
      </c>
      <c r="AB61" s="23">
        <f>EXP(-LN(2)/2)*AB60+(1-EXP(-LN(2)/2))/(LN(2)/2)*V61*Y61*VLOOKUP('Données projet'!$B$9,Paramètres!$A$1:$I$89,3,0)*0.475*44/12</f>
        <v>1.436652050848608</v>
      </c>
      <c r="AC61" s="24">
        <f t="shared" si="3"/>
        <v>56.211159450144976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18.100000000000001</v>
      </c>
      <c r="N62" s="14">
        <f>IF('Données projet'!$A$36&gt;35,N61+M62-V61,IF(A62&lt;'Données projet'!$A$36,$K$205^A62,IF(A62='Données projet'!$A$36,'Données projet'!$B$36,N61+M62-V61)))</f>
        <v>600.90000000000043</v>
      </c>
      <c r="O62" s="14">
        <f>N62*VLOOKUP('Données projet'!$B$9,Paramètres!$A$1:$I$89,3,0)*VLOOKUP('Données projet'!$B$9,Paramètres!$A$1:$I$89,5,0)</f>
        <v>289.03290000000021</v>
      </c>
      <c r="P62" s="14">
        <f t="shared" si="33"/>
        <v>68.872378541738783</v>
      </c>
      <c r="Q62" s="22">
        <f t="shared" si="53"/>
        <v>623.35169346019541</v>
      </c>
      <c r="R62" s="62">
        <f t="shared" si="0"/>
        <v>916.68502679352878</v>
      </c>
      <c r="S62" s="62">
        <f ca="1">AVERAGE(OFFSET($R$3,0,0,'Données projet'!$E$9+1,1))-AVERAGE(OFFSET($H$3,0,0,'Données projet'!$E$9+1,1))</f>
        <v>417.73464038490249</v>
      </c>
      <c r="T62" s="62">
        <f t="shared" si="34"/>
        <v>330.26301310239984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32.730453595631431</v>
      </c>
      <c r="AA62" s="23">
        <f>EXP(-LN(2)/25)*AA61+(1-EXP(-LN(2)/25))/(LN(2)/25)*Calculateur!V62*Calculateur!X62*VLOOKUP('Données projet'!$B$9,Paramètres!$A$1:$I$89,3,0)*0.475*44/12</f>
        <v>20.804498004112347</v>
      </c>
      <c r="AB62" s="23">
        <f>EXP(-LN(2)/2)*AB61+(1-EXP(-LN(2)/2))/(LN(2)/2)*V62*Y62*VLOOKUP('Données projet'!$B$9,Paramètres!$A$1:$I$89,3,0)*0.475*44/12</f>
        <v>1.0158664073606114</v>
      </c>
      <c r="AC62" s="24">
        <f t="shared" si="3"/>
        <v>54.55081800710439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18.100000000000001</v>
      </c>
      <c r="N63" s="14">
        <f>IF('Données projet'!$A$36&gt;35,N62+M63-V62,IF(A63&lt;'Données projet'!$A$36,$K$205^A63,IF(A63='Données projet'!$A$36,'Données projet'!$B$36,N62+M63-V62)))</f>
        <v>619.00000000000045</v>
      </c>
      <c r="O63" s="14">
        <f>N63*VLOOKUP('Données projet'!$B$9,Paramètres!$A$1:$I$89,3,0)*VLOOKUP('Données projet'!$B$9,Paramètres!$A$1:$I$89,5,0)</f>
        <v>297.73900000000026</v>
      </c>
      <c r="P63" s="14">
        <f t="shared" si="33"/>
        <v>70.702262535070076</v>
      </c>
      <c r="Q63" s="22">
        <f t="shared" si="53"/>
        <v>641.70186558191415</v>
      </c>
      <c r="R63" s="62">
        <f t="shared" si="0"/>
        <v>935.03519891524752</v>
      </c>
      <c r="S63" s="62">
        <f ca="1">AVERAGE(OFFSET($R$3,0,0,'Données projet'!$E$9+1,1))-AVERAGE(OFFSET($H$3,0,0,'Données projet'!$E$9+1,1))</f>
        <v>417.73464038490249</v>
      </c>
      <c r="T63" s="62">
        <f t="shared" si="34"/>
        <v>330.26301310239984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32.088629364226549</v>
      </c>
      <c r="AA63" s="23">
        <f>EXP(-LN(2)/25)*AA62+(1-EXP(-LN(2)/25))/(LN(2)/25)*Calculateur!V63*Calculateur!X63*VLOOKUP('Données projet'!$B$9,Paramètres!$A$1:$I$89,3,0)*0.475*44/12</f>
        <v>20.235597912128895</v>
      </c>
      <c r="AB63" s="23">
        <f>EXP(-LN(2)/2)*AB62+(1-EXP(-LN(2)/2))/(LN(2)/2)*V63*Y63*VLOOKUP('Données projet'!$B$9,Paramètres!$A$1:$I$89,3,0)*0.475*44/12</f>
        <v>0.71832602542430402</v>
      </c>
      <c r="AC63" s="24">
        <f t="shared" si="3"/>
        <v>53.042553301779748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18.100000000000001</v>
      </c>
      <c r="N64" s="14">
        <f>IF('Données projet'!$A$36&gt;35,N63+M64-V63,IF(A64&lt;'Données projet'!$A$36,$K$205^A64,IF(A64='Données projet'!$A$36,'Données projet'!$B$36,N63+M64-V63)))</f>
        <v>637.10000000000048</v>
      </c>
      <c r="O64" s="14">
        <f>N64*VLOOKUP('Données projet'!$B$9,Paramètres!$A$1:$I$89,3,0)*VLOOKUP('Données projet'!$B$9,Paramètres!$A$1:$I$89,5,0)</f>
        <v>306.44510000000025</v>
      </c>
      <c r="P64" s="14">
        <f t="shared" si="33"/>
        <v>72.52592795184944</v>
      </c>
      <c r="Q64" s="22">
        <f t="shared" si="53"/>
        <v>660.04120701613817</v>
      </c>
      <c r="R64" s="62">
        <f t="shared" si="0"/>
        <v>953.37454034947154</v>
      </c>
      <c r="S64" s="62">
        <f ca="1">AVERAGE(OFFSET($R$3,0,0,'Données projet'!$E$9+1,1))-AVERAGE(OFFSET($H$3,0,0,'Données projet'!$E$9+1,1))</f>
        <v>417.73464038490249</v>
      </c>
      <c r="T64" s="62">
        <f t="shared" si="34"/>
        <v>330.26301310239984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31.45939091452539</v>
      </c>
      <c r="AA64" s="23">
        <f>EXP(-LN(2)/25)*AA63+(1-EXP(-LN(2)/25))/(LN(2)/25)*Calculateur!V64*Calculateur!X64*VLOOKUP('Données projet'!$B$9,Paramètres!$A$1:$I$89,3,0)*0.475*44/12</f>
        <v>19.682254423077886</v>
      </c>
      <c r="AB64" s="23">
        <f>EXP(-LN(2)/2)*AB63+(1-EXP(-LN(2)/2))/(LN(2)/2)*V64*Y64*VLOOKUP('Données projet'!$B$9,Paramètres!$A$1:$I$89,3,0)*0.475*44/12</f>
        <v>0.5079332036803057</v>
      </c>
      <c r="AC64" s="24">
        <f t="shared" si="3"/>
        <v>51.649578541283582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18.100000000000001</v>
      </c>
      <c r="N65" s="14">
        <f>IF('Données projet'!$A$36&gt;35,N64+M65-V64,IF(A65&lt;'Données projet'!$A$36,$K$205^A65,IF(A65='Données projet'!$A$36,'Données projet'!$B$36,N64+M65-V64)))</f>
        <v>655.2000000000005</v>
      </c>
      <c r="O65" s="14">
        <f>N65*VLOOKUP('Données projet'!$B$9,Paramètres!$A$1:$I$89,3,0)*VLOOKUP('Données projet'!$B$9,Paramètres!$A$1:$I$89,5,0)</f>
        <v>315.15120000000024</v>
      </c>
      <c r="P65" s="14">
        <f t="shared" si="33"/>
        <v>74.34357175400595</v>
      </c>
      <c r="Q65" s="22">
        <f t="shared" si="53"/>
        <v>678.37006080489414</v>
      </c>
      <c r="R65" s="62">
        <f t="shared" si="0"/>
        <v>971.7033941382274</v>
      </c>
      <c r="S65" s="62">
        <f ca="1">AVERAGE(OFFSET($R$3,0,0,'Données projet'!$E$9+1,1))-AVERAGE(OFFSET($H$3,0,0,'Données projet'!$E$9+1,1))</f>
        <v>417.73464038490249</v>
      </c>
      <c r="T65" s="62">
        <f t="shared" si="34"/>
        <v>330.26301310239984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30.842491447025314</v>
      </c>
      <c r="AA65" s="23">
        <f>EXP(-LN(2)/25)*AA64+(1-EXP(-LN(2)/25))/(LN(2)/25)*Calculateur!V65*Calculateur!X65*VLOOKUP('Données projet'!$B$9,Paramètres!$A$1:$I$89,3,0)*0.475*44/12</f>
        <v>19.144042140834046</v>
      </c>
      <c r="AB65" s="23">
        <f>EXP(-LN(2)/2)*AB64+(1-EXP(-LN(2)/2))/(LN(2)/2)*V65*Y65*VLOOKUP('Données projet'!$B$9,Paramètres!$A$1:$I$89,3,0)*0.475*44/12</f>
        <v>0.35916301271215201</v>
      </c>
      <c r="AC65" s="24">
        <f t="shared" si="3"/>
        <v>50.345696600571507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18.100000000000001</v>
      </c>
      <c r="N66" s="14">
        <f>IF('Données projet'!$A$36&gt;35,N65+M66-V65,IF(A66&lt;'Données projet'!$A$36,$K$205^A66,IF(A66='Données projet'!$A$36,'Données projet'!$B$36,N65+M66-V65)))</f>
        <v>673.30000000000052</v>
      </c>
      <c r="O66" s="14">
        <f>N66*VLOOKUP('Données projet'!$B$9,Paramètres!$A$1:$I$89,3,0)*VLOOKUP('Données projet'!$B$9,Paramètres!$A$1:$I$89,5,0)</f>
        <v>323.85730000000024</v>
      </c>
      <c r="P66" s="14">
        <f t="shared" si="33"/>
        <v>76.15537940198999</v>
      </c>
      <c r="Q66" s="22">
        <f t="shared" si="53"/>
        <v>696.68874995846625</v>
      </c>
      <c r="R66" s="62">
        <f t="shared" si="0"/>
        <v>990.02208329179962</v>
      </c>
      <c r="S66" s="62">
        <f ca="1">AVERAGE(OFFSET($R$3,0,0,'Données projet'!$E$9+1,1))-AVERAGE(OFFSET($H$3,0,0,'Données projet'!$E$9+1,1))</f>
        <v>417.73464038490249</v>
      </c>
      <c r="T66" s="62">
        <f t="shared" si="34"/>
        <v>330.26301310239984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30.237689001811393</v>
      </c>
      <c r="AA66" s="23">
        <f>EXP(-LN(2)/25)*AA65+(1-EXP(-LN(2)/25))/(LN(2)/25)*Calculateur!V66*Calculateur!X66*VLOOKUP('Données projet'!$B$9,Paramètres!$A$1:$I$89,3,0)*0.475*44/12</f>
        <v>18.620547301751518</v>
      </c>
      <c r="AB66" s="23">
        <f>EXP(-LN(2)/2)*AB65+(1-EXP(-LN(2)/2))/(LN(2)/2)*V66*Y66*VLOOKUP('Données projet'!$B$9,Paramètres!$A$1:$I$89,3,0)*0.475*44/12</f>
        <v>0.25396660184015285</v>
      </c>
      <c r="AC66" s="24">
        <f t="shared" si="3"/>
        <v>49.112202905403066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18.100000000000001</v>
      </c>
      <c r="N67" s="14">
        <f>IF('Données projet'!$A$36&gt;35,N66+M67-V66,IF(A67&lt;'Données projet'!$A$36,$K$205^A67,IF(A67='Données projet'!$A$36,'Données projet'!$B$36,N66+M67-V66)))</f>
        <v>691.40000000000055</v>
      </c>
      <c r="O67" s="14">
        <f>N67*VLOOKUP('Données projet'!$B$9,Paramètres!$A$1:$I$89,3,0)*VLOOKUP('Données projet'!$B$9,Paramètres!$A$1:$I$89,5,0)</f>
        <v>332.56340000000029</v>
      </c>
      <c r="P67" s="14">
        <f t="shared" si="33"/>
        <v>77.961525817292298</v>
      </c>
      <c r="Q67" s="22">
        <f t="shared" ref="Q67:Q98" si="54">(O67+P67)*0.475*44/12</f>
        <v>714.99757913178439</v>
      </c>
      <c r="R67" s="62">
        <f t="shared" ref="R67:R130" si="55">Q67+(I67+J67)*44/12</f>
        <v>1008.3309124651178</v>
      </c>
      <c r="S67" s="62">
        <f ca="1">AVERAGE(OFFSET($R$3,0,0,'Données projet'!$E$9+1,1))-AVERAGE(OFFSET($H$3,0,0,'Données projet'!$E$9+1,1))</f>
        <v>417.73464038490249</v>
      </c>
      <c r="T67" s="62">
        <f t="shared" si="34"/>
        <v>330.26301310239984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29.644746363655052</v>
      </c>
      <c r="AA67" s="23">
        <f>EXP(-LN(2)/25)*AA66+(1-EXP(-LN(2)/25))/(LN(2)/25)*Calculateur!V67*Calculateur!X67*VLOOKUP('Données projet'!$B$9,Paramètres!$A$1:$I$89,3,0)*0.475*44/12</f>
        <v>18.111367456573099</v>
      </c>
      <c r="AB67" s="23">
        <f>EXP(-LN(2)/2)*AB66+(1-EXP(-LN(2)/2))/(LN(2)/2)*V67*Y67*VLOOKUP('Données projet'!$B$9,Paramètres!$A$1:$I$89,3,0)*0.475*44/12</f>
        <v>0.179581506356076</v>
      </c>
      <c r="AC67" s="24">
        <f t="shared" si="3"/>
        <v>47.935695326584231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18.100000000000001</v>
      </c>
      <c r="N68" s="14">
        <f>IF('Données projet'!$A$36&gt;35,N67+M68-V67,IF(A68&lt;'Données projet'!$A$36,$K$205^A68,IF(A68='Données projet'!$A$36,'Données projet'!$B$36,N67+M68-V67)))</f>
        <v>709.50000000000057</v>
      </c>
      <c r="O68" s="14">
        <f>N68*VLOOKUP('Données projet'!$B$9,Paramètres!$A$1:$I$89,3,0)*VLOOKUP('Données projet'!$B$9,Paramètres!$A$1:$I$89,5,0)</f>
        <v>341.26950000000028</v>
      </c>
      <c r="P68" s="14">
        <f t="shared" si="33"/>
        <v>79.762176241336746</v>
      </c>
      <c r="Q68" s="22">
        <f t="shared" si="54"/>
        <v>733.29683612032852</v>
      </c>
      <c r="R68" s="62">
        <f t="shared" si="55"/>
        <v>1026.6301694536619</v>
      </c>
      <c r="S68" s="62">
        <f ca="1">AVERAGE(OFFSET($R$3,0,0,'Données projet'!$E$9+1,1))-AVERAGE(OFFSET($H$3,0,0,'Données projet'!$E$9+1,1))</f>
        <v>417.73464038490249</v>
      </c>
      <c r="T68" s="62">
        <f t="shared" si="34"/>
        <v>330.26301310239984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29.063430968973659</v>
      </c>
      <c r="AA68" s="23">
        <f>EXP(-LN(2)/25)*AA67+(1-EXP(-LN(2)/25))/(LN(2)/25)*Calculateur!V68*Calculateur!X68*VLOOKUP('Données projet'!$B$9,Paramètres!$A$1:$I$89,3,0)*0.475*44/12</f>
        <v>17.616111161037686</v>
      </c>
      <c r="AB68" s="23">
        <f>EXP(-LN(2)/2)*AB67+(1-EXP(-LN(2)/2))/(LN(2)/2)*V68*Y68*VLOOKUP('Données projet'!$B$9,Paramètres!$A$1:$I$89,3,0)*0.475*44/12</f>
        <v>0.12698330092007643</v>
      </c>
      <c r="AC68" s="24">
        <f t="shared" ref="AC68:AC131" si="57">SUM(Z68:AB68)</f>
        <v>46.806525430931416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18.100000000000001</v>
      </c>
      <c r="N69" s="14">
        <f>IF('Données projet'!$A$36&gt;35,N68+M69-V68,IF(A69&lt;'Données projet'!$A$36,$K$205^A69,IF(A69='Données projet'!$A$36,'Données projet'!$B$36,N68+M69-V68)))</f>
        <v>727.60000000000059</v>
      </c>
      <c r="O69" s="14">
        <f>N69*VLOOKUP('Données projet'!$B$9,Paramètres!$A$1:$I$89,3,0)*VLOOKUP('Données projet'!$B$9,Paramètres!$A$1:$I$89,5,0)</f>
        <v>349.97560000000027</v>
      </c>
      <c r="P69" s="14">
        <f t="shared" ref="P69:P132" si="87">EXP(-1.0587+0.8836*LN(O69)+0.284)</f>
        <v>81.557487004262853</v>
      </c>
      <c r="Q69" s="22">
        <f t="shared" si="54"/>
        <v>751.58679319909152</v>
      </c>
      <c r="R69" s="62">
        <f t="shared" si="55"/>
        <v>1044.9201265324248</v>
      </c>
      <c r="S69" s="62">
        <f ca="1">AVERAGE(OFFSET($R$3,0,0,'Données projet'!$E$9+1,1))-AVERAGE(OFFSET($H$3,0,0,'Données projet'!$E$9+1,1))</f>
        <v>417.73464038490249</v>
      </c>
      <c r="T69" s="62">
        <f t="shared" ref="T69:T132" si="88">$T$3</f>
        <v>330.26301310239984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28.493514814614585</v>
      </c>
      <c r="AA69" s="23">
        <f>EXP(-LN(2)/25)*AA68+(1-EXP(-LN(2)/25))/(LN(2)/25)*Calculateur!V69*Calculateur!X69*VLOOKUP('Données projet'!$B$9,Paramètres!$A$1:$I$89,3,0)*0.475*44/12</f>
        <v>17.134397674948087</v>
      </c>
      <c r="AB69" s="23">
        <f>EXP(-LN(2)/2)*AB68+(1-EXP(-LN(2)/2))/(LN(2)/2)*V69*Y69*VLOOKUP('Données projet'!$B$9,Paramètres!$A$1:$I$89,3,0)*0.475*44/12</f>
        <v>8.9790753178038002E-2</v>
      </c>
      <c r="AC69" s="24">
        <f t="shared" si="57"/>
        <v>45.717703242740711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18.100000000000001</v>
      </c>
      <c r="N70" s="14">
        <f>IF('Données projet'!$A$36&gt;35,N69+M70-V69,IF(A70&lt;'Données projet'!$A$36,$K$205^A70,IF(A70='Données projet'!$A$36,'Données projet'!$B$36,N69+M70-V69)))</f>
        <v>745.70000000000061</v>
      </c>
      <c r="O70" s="14">
        <f>N70*VLOOKUP('Données projet'!$B$9,Paramètres!$A$1:$I$89,3,0)*VLOOKUP('Données projet'!$B$9,Paramètres!$A$1:$I$89,5,0)</f>
        <v>358.68170000000032</v>
      </c>
      <c r="P70" s="14">
        <f t="shared" si="87"/>
        <v>83.347606215056103</v>
      </c>
      <c r="Q70" s="22">
        <f t="shared" si="54"/>
        <v>769.86770832455659</v>
      </c>
      <c r="R70" s="62">
        <f t="shared" si="55"/>
        <v>1063.2010416578898</v>
      </c>
      <c r="S70" s="62">
        <f ca="1">AVERAGE(OFFSET($R$3,0,0,'Données projet'!$E$9+1,1))-AVERAGE(OFFSET($H$3,0,0,'Données projet'!$E$9+1,1))</f>
        <v>417.73464038490249</v>
      </c>
      <c r="T70" s="62">
        <f t="shared" si="88"/>
        <v>330.26301310239984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27.934774368427963</v>
      </c>
      <c r="AA70" s="23">
        <f>EXP(-LN(2)/25)*AA69+(1-EXP(-LN(2)/25))/(LN(2)/25)*Calculateur!V70*Calculateur!X70*VLOOKUP('Données projet'!$B$9,Paramètres!$A$1:$I$89,3,0)*0.475*44/12</f>
        <v>16.665856669467818</v>
      </c>
      <c r="AB70" s="23">
        <f>EXP(-LN(2)/2)*AB69+(1-EXP(-LN(2)/2))/(LN(2)/2)*V70*Y70*VLOOKUP('Données projet'!$B$9,Paramètres!$A$1:$I$89,3,0)*0.475*44/12</f>
        <v>6.3491650460038213E-2</v>
      </c>
      <c r="AC70" s="24">
        <f t="shared" si="57"/>
        <v>44.664122688355818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18.100000000000001</v>
      </c>
      <c r="N71" s="14">
        <f>IF('Données projet'!$A$36&gt;35,N70+M71-V70,IF(A71&lt;'Données projet'!$A$36,$K$205^A71,IF(A71='Données projet'!$A$36,'Données projet'!$B$36,N70+M71-V70)))</f>
        <v>763.80000000000064</v>
      </c>
      <c r="O71" s="14">
        <f>N71*VLOOKUP('Données projet'!$B$9,Paramètres!$A$1:$I$89,3,0)*VLOOKUP('Données projet'!$B$9,Paramètres!$A$1:$I$89,5,0)</f>
        <v>367.38780000000031</v>
      </c>
      <c r="P71" s="14">
        <f t="shared" si="87"/>
        <v>85.132674382787556</v>
      </c>
      <c r="Q71" s="22">
        <f t="shared" si="54"/>
        <v>788.1398262166889</v>
      </c>
      <c r="R71" s="62">
        <f t="shared" si="55"/>
        <v>1081.4731595500223</v>
      </c>
      <c r="S71" s="62">
        <f ca="1">AVERAGE(OFFSET($R$3,0,0,'Données projet'!$E$9+1,1))-AVERAGE(OFFSET($H$3,0,0,'Données projet'!$E$9+1,1))</f>
        <v>417.73464038490249</v>
      </c>
      <c r="T71" s="62">
        <f t="shared" si="88"/>
        <v>330.26301310239984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27.386990481593042</v>
      </c>
      <c r="AA71" s="23">
        <f>EXP(-LN(2)/25)*AA70+(1-EXP(-LN(2)/25))/(LN(2)/25)*Calculateur!V71*Calculateur!X71*VLOOKUP('Données projet'!$B$9,Paramètres!$A$1:$I$89,3,0)*0.475*44/12</f>
        <v>16.210127942421909</v>
      </c>
      <c r="AB71" s="23">
        <f>EXP(-LN(2)/2)*AB70+(1-EXP(-LN(2)/2))/(LN(2)/2)*V71*Y71*VLOOKUP('Données projet'!$B$9,Paramètres!$A$1:$I$89,3,0)*0.475*44/12</f>
        <v>4.4895376589019001E-2</v>
      </c>
      <c r="AC71" s="24">
        <f t="shared" si="57"/>
        <v>43.642013800603969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18.100000000000001</v>
      </c>
      <c r="N72" s="14">
        <f>IF('Données projet'!$A$36&gt;35,N71+M72-V71,IF(A72&lt;'Données projet'!$A$36,$K$205^A72,IF(A72='Données projet'!$A$36,'Données projet'!$B$36,N71+M72-V71)))</f>
        <v>781.90000000000066</v>
      </c>
      <c r="O72" s="14">
        <f>N72*VLOOKUP('Données projet'!$B$9,Paramètres!$A$1:$I$89,3,0)*VLOOKUP('Données projet'!$B$9,Paramètres!$A$1:$I$89,5,0)</f>
        <v>376.0939000000003</v>
      </c>
      <c r="P72" s="14">
        <f t="shared" si="87"/>
        <v>86.912824977307494</v>
      </c>
      <c r="Q72" s="22">
        <f t="shared" si="54"/>
        <v>806.40337933547778</v>
      </c>
      <c r="R72" s="62">
        <f t="shared" si="55"/>
        <v>1099.7367126688112</v>
      </c>
      <c r="S72" s="62">
        <f ca="1">AVERAGE(OFFSET($R$3,0,0,'Données projet'!$E$9+1,1))-AVERAGE(OFFSET($H$3,0,0,'Données projet'!$E$9+1,1))</f>
        <v>417.73464038490249</v>
      </c>
      <c r="T72" s="62">
        <f t="shared" si="88"/>
        <v>330.26301310239984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26.849948302663773</v>
      </c>
      <c r="AA72" s="23">
        <f>EXP(-LN(2)/25)*AA71+(1-EXP(-LN(2)/25))/(LN(2)/25)*Calculateur!V72*Calculateur!X72*VLOOKUP('Données projet'!$B$9,Paramètres!$A$1:$I$89,3,0)*0.475*44/12</f>
        <v>15.766861141382803</v>
      </c>
      <c r="AB72" s="23">
        <f>EXP(-LN(2)/2)*AB71+(1-EXP(-LN(2)/2))/(LN(2)/2)*V72*Y72*VLOOKUP('Données projet'!$B$9,Paramètres!$A$1:$I$89,3,0)*0.475*44/12</f>
        <v>3.1745825230019106E-2</v>
      </c>
      <c r="AC72" s="24">
        <f t="shared" si="57"/>
        <v>42.648555269276592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800</v>
      </c>
      <c r="L73" s="13">
        <f>VLOOKUP(A73,'Données projet'!$A$35:$I$55,9,0)</f>
        <v>18.100000000000001</v>
      </c>
      <c r="M73" s="13">
        <f t="array" ref="M73">INDEX(L:L,MIN(IF(ISNUMBER(L73:L269),ROW(L73:L269),"")))</f>
        <v>18.100000000000001</v>
      </c>
      <c r="N73" s="14">
        <f>IF('Données projet'!$A$36&gt;35,N72+M73-V72,IF(A73&lt;'Données projet'!$A$36,$K$205^A73,IF(A73='Données projet'!$A$36,'Données projet'!$B$36,N72+M73-V72)))</f>
        <v>800.00000000000068</v>
      </c>
      <c r="O73" s="14">
        <f>N73*VLOOKUP('Données projet'!$B$9,Paramètres!$A$1:$I$89,3,0)*VLOOKUP('Données projet'!$B$9,Paramètres!$A$1:$I$89,5,0)</f>
        <v>384.8000000000003</v>
      </c>
      <c r="P73" s="14">
        <f t="shared" si="87"/>
        <v>88.688184936558073</v>
      </c>
      <c r="Q73" s="22">
        <f t="shared" si="54"/>
        <v>824.65858876450568</v>
      </c>
      <c r="R73" s="62">
        <f t="shared" si="55"/>
        <v>1117.9919220978391</v>
      </c>
      <c r="S73" s="62">
        <f ca="1">AVERAGE(OFFSET($R$3,0,0,'Données projet'!$E$9+1,1))-AVERAGE(OFFSET($H$3,0,0,'Données projet'!$E$9+1,1))</f>
        <v>417.73464038490249</v>
      </c>
      <c r="T73" s="62">
        <f t="shared" si="88"/>
        <v>330.26301310239984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194</v>
      </c>
      <c r="W73" s="17">
        <f>IF(ISNA(VLOOKUP(A73,'Données projet'!$A$35:$I$55,5,0)),0%,VLOOKUP(A73,'Données projet'!$A$35:$I$55,5,0)*VLOOKUP('Données projet'!$B$9,Paramètres!$A$1:$I$89,7,0))</f>
        <v>0.41250000000000003</v>
      </c>
      <c r="X73" s="17">
        <f>IF(ISNA(VLOOKUP(A73,'Données projet'!$A$35:$I$55,6,0)),0%,VLOOKUP(A73,'Données projet'!$A$35:$I$55,6,0)*VLOOKUP('Données projet'!$B$9,Paramètres!$A$1:$I$89,7,0))</f>
        <v>6.8750000000000006E-2</v>
      </c>
      <c r="Y73" s="17">
        <f>IF(ISNA(VLOOKUP(A73,'Données projet'!$A$35:$I$55,7,0)),0%,VLOOKUP(A73,'Données projet'!$A$35:$I$55,7,0))</f>
        <v>0.125</v>
      </c>
      <c r="Z73" s="23">
        <f>EXP(-LN(2)/35)*Z72+(1-EXP(-LN(2)/35))/(LN(2)/35)*V73*W73*VLOOKUP('Données projet'!$B$9,Paramètres!$A$1:$I$89,3,0)*0.475*44/12</f>
        <v>77.385589376190083</v>
      </c>
      <c r="AA73" s="23">
        <f>EXP(-LN(2)/25)*AA72+(1-EXP(-LN(2)/25))/(LN(2)/25)*Calculateur!V73*Calculateur!X73*VLOOKUP('Données projet'!$B$9,Paramètres!$A$1:$I$89,3,0)*0.475*44/12</f>
        <v>23.8125656665853</v>
      </c>
      <c r="AB73" s="23">
        <f>EXP(-LN(2)/2)*AB72+(1-EXP(-LN(2)/2))/(LN(2)/2)*V73*Y73*VLOOKUP('Données projet'!$B$9,Paramètres!$A$1:$I$89,3,0)*0.475*44/12</f>
        <v>13.229088264717587</v>
      </c>
      <c r="AC73" s="24">
        <f t="shared" si="57"/>
        <v>114.42724330749297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14.7</v>
      </c>
      <c r="N74" s="14">
        <f>IF('Données projet'!$A$36&gt;35,N73+M74-V73,IF(A74&lt;'Données projet'!$A$36,$K$205^A74,IF(A74='Données projet'!$A$36,'Données projet'!$B$36,N73+M74-V73)))</f>
        <v>620.70000000000073</v>
      </c>
      <c r="O74" s="14">
        <f>N74*VLOOKUP('Données projet'!$B$9,Paramètres!$A$1:$I$89,3,0)*VLOOKUP('Données projet'!$B$9,Paramètres!$A$1:$I$89,5,0)</f>
        <v>298.55670000000038</v>
      </c>
      <c r="P74" s="14">
        <f t="shared" si="87"/>
        <v>70.873807485886047</v>
      </c>
      <c r="Q74" s="22">
        <f t="shared" si="54"/>
        <v>643.42480053791883</v>
      </c>
      <c r="R74" s="62">
        <f t="shared" si="55"/>
        <v>936.75813387125208</v>
      </c>
      <c r="S74" s="62">
        <f ca="1">AVERAGE(OFFSET($R$3,0,0,'Données projet'!$E$9+1,1))-AVERAGE(OFFSET($H$3,0,0,'Données projet'!$E$9+1,1))</f>
        <v>417.73464038490249</v>
      </c>
      <c r="T74" s="62">
        <f t="shared" si="88"/>
        <v>330.26301310239984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75.868105169071853</v>
      </c>
      <c r="AA74" s="23">
        <f>EXP(-LN(2)/25)*AA73+(1-EXP(-LN(2)/25))/(LN(2)/25)*Calculateur!V74*Calculateur!X74*VLOOKUP('Données projet'!$B$9,Paramètres!$A$1:$I$89,3,0)*0.475*44/12</f>
        <v>23.161409806184121</v>
      </c>
      <c r="AB74" s="23">
        <f>EXP(-LN(2)/2)*AB73+(1-EXP(-LN(2)/2))/(LN(2)/2)*V74*Y74*VLOOKUP('Données projet'!$B$9,Paramètres!$A$1:$I$89,3,0)*0.475*44/12</f>
        <v>9.3543780208971832</v>
      </c>
      <c r="AC74" s="24">
        <f t="shared" si="57"/>
        <v>108.38389299615316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14.7</v>
      </c>
      <c r="N75" s="14">
        <f>IF('Données projet'!$A$36&gt;35,N74+M75-V74,IF(A75&lt;'Données projet'!$A$36,$K$205^A75,IF(A75='Données projet'!$A$36,'Données projet'!$B$36,N74+M75-V74)))</f>
        <v>635.40000000000077</v>
      </c>
      <c r="O75" s="14">
        <f>N75*VLOOKUP('Données projet'!$B$9,Paramètres!$A$1:$I$89,3,0)*VLOOKUP('Données projet'!$B$9,Paramètres!$A$1:$I$89,5,0)</f>
        <v>305.62740000000042</v>
      </c>
      <c r="P75" s="14">
        <f t="shared" si="87"/>
        <v>72.354903650746294</v>
      </c>
      <c r="Q75" s="22">
        <f t="shared" si="54"/>
        <v>658.31917885838379</v>
      </c>
      <c r="R75" s="62">
        <f t="shared" si="55"/>
        <v>951.65251219171705</v>
      </c>
      <c r="S75" s="62">
        <f ca="1">AVERAGE(OFFSET($R$3,0,0,'Données projet'!$E$9+1,1))-AVERAGE(OFFSET($H$3,0,0,'Données projet'!$E$9+1,1))</f>
        <v>417.73464038490249</v>
      </c>
      <c r="T75" s="62">
        <f t="shared" si="88"/>
        <v>330.26301310239984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74.380377901681229</v>
      </c>
      <c r="AA75" s="23">
        <f>EXP(-LN(2)/25)*AA74+(1-EXP(-LN(2)/25))/(LN(2)/25)*Calculateur!V75*Calculateur!X75*VLOOKUP('Données projet'!$B$9,Paramètres!$A$1:$I$89,3,0)*0.475*44/12</f>
        <v>22.528059837028412</v>
      </c>
      <c r="AB75" s="23">
        <f>EXP(-LN(2)/2)*AB74+(1-EXP(-LN(2)/2))/(LN(2)/2)*V75*Y75*VLOOKUP('Données projet'!$B$9,Paramètres!$A$1:$I$89,3,0)*0.475*44/12</f>
        <v>6.6145441323587946</v>
      </c>
      <c r="AC75" s="24">
        <f t="shared" si="57"/>
        <v>103.52298187106842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14.7</v>
      </c>
      <c r="N76" s="14">
        <f>IF('Données projet'!$A$36&gt;35,N75+M76-V75,IF(A76&lt;'Données projet'!$A$36,$K$205^A76,IF(A76='Données projet'!$A$36,'Données projet'!$B$36,N75+M76-V75)))</f>
        <v>650.10000000000082</v>
      </c>
      <c r="O76" s="14">
        <f>N76*VLOOKUP('Données projet'!$B$9,Paramètres!$A$1:$I$89,3,0)*VLOOKUP('Données projet'!$B$9,Paramètres!$A$1:$I$89,5,0)</f>
        <v>312.69810000000041</v>
      </c>
      <c r="P76" s="14">
        <f t="shared" si="87"/>
        <v>73.832016335235082</v>
      </c>
      <c r="Q76" s="22">
        <f t="shared" si="54"/>
        <v>673.20661928386846</v>
      </c>
      <c r="R76" s="62">
        <f t="shared" si="55"/>
        <v>966.53995261720183</v>
      </c>
      <c r="S76" s="62">
        <f ca="1">AVERAGE(OFFSET($R$3,0,0,'Données projet'!$E$9+1,1))-AVERAGE(OFFSET($H$3,0,0,'Données projet'!$E$9+1,1))</f>
        <v>417.73464038490249</v>
      </c>
      <c r="T76" s="62">
        <f t="shared" si="88"/>
        <v>330.26301310239984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72.9218240585801</v>
      </c>
      <c r="AA76" s="23">
        <f>EXP(-LN(2)/25)*AA75+(1-EXP(-LN(2)/25))/(LN(2)/25)*Calculateur!V76*Calculateur!X76*VLOOKUP('Données projet'!$B$9,Paramètres!$A$1:$I$89,3,0)*0.475*44/12</f>
        <v>21.912028856085691</v>
      </c>
      <c r="AB76" s="23">
        <f>EXP(-LN(2)/2)*AB75+(1-EXP(-LN(2)/2))/(LN(2)/2)*V76*Y76*VLOOKUP('Données projet'!$B$9,Paramètres!$A$1:$I$89,3,0)*0.475*44/12</f>
        <v>4.6771890104485925</v>
      </c>
      <c r="AC76" s="24">
        <f t="shared" si="57"/>
        <v>99.51104192511437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14.7</v>
      </c>
      <c r="N77" s="14">
        <f>IF('Données projet'!$A$36&gt;35,N76+M77-V76,IF(A77&lt;'Données projet'!$A$36,$K$205^A77,IF(A77='Données projet'!$A$36,'Données projet'!$B$36,N76+M77-V76)))</f>
        <v>664.80000000000086</v>
      </c>
      <c r="O77" s="14">
        <f>N77*VLOOKUP('Données projet'!$B$9,Paramètres!$A$1:$I$89,3,0)*VLOOKUP('Données projet'!$B$9,Paramètres!$A$1:$I$89,5,0)</f>
        <v>319.7688000000004</v>
      </c>
      <c r="P77" s="14">
        <f t="shared" si="87"/>
        <v>75.305245983134625</v>
      </c>
      <c r="Q77" s="22">
        <f t="shared" si="54"/>
        <v>688.08729675396023</v>
      </c>
      <c r="R77" s="62">
        <f t="shared" si="55"/>
        <v>981.4206300872936</v>
      </c>
      <c r="S77" s="62">
        <f ca="1">AVERAGE(OFFSET($R$3,0,0,'Données projet'!$E$9+1,1))-AVERAGE(OFFSET($H$3,0,0,'Données projet'!$E$9+1,1))</f>
        <v>417.73464038490249</v>
      </c>
      <c r="T77" s="62">
        <f t="shared" si="88"/>
        <v>330.26301310239984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71.491871566712192</v>
      </c>
      <c r="AA77" s="23">
        <f>EXP(-LN(2)/25)*AA76+(1-EXP(-LN(2)/25))/(LN(2)/25)*Calculateur!V77*Calculateur!X77*VLOOKUP('Données projet'!$B$9,Paramètres!$A$1:$I$89,3,0)*0.475*44/12</f>
        <v>21.31284327471251</v>
      </c>
      <c r="AB77" s="23">
        <f>EXP(-LN(2)/2)*AB76+(1-EXP(-LN(2)/2))/(LN(2)/2)*V77*Y77*VLOOKUP('Données projet'!$B$9,Paramètres!$A$1:$I$89,3,0)*0.475*44/12</f>
        <v>3.3072720661793977</v>
      </c>
      <c r="AC77" s="24">
        <f t="shared" si="57"/>
        <v>96.111986907604091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14.7</v>
      </c>
      <c r="N78" s="14">
        <f>IF('Données projet'!$A$36&gt;35,N77+M78-V77,IF(A78&lt;'Données projet'!$A$36,$K$205^A78,IF(A78='Données projet'!$A$36,'Données projet'!$B$36,N77+M78-V77)))</f>
        <v>679.50000000000091</v>
      </c>
      <c r="O78" s="14">
        <f>N78*VLOOKUP('Données projet'!$B$9,Paramètres!$A$1:$I$89,3,0)*VLOOKUP('Données projet'!$B$9,Paramètres!$A$1:$I$89,5,0)</f>
        <v>326.83950000000044</v>
      </c>
      <c r="P78" s="14">
        <f t="shared" si="87"/>
        <v>76.774688342587766</v>
      </c>
      <c r="Q78" s="22">
        <f t="shared" si="54"/>
        <v>702.96137803000772</v>
      </c>
      <c r="R78" s="62">
        <f t="shared" si="55"/>
        <v>996.29471136334109</v>
      </c>
      <c r="S78" s="62">
        <f ca="1">AVERAGE(OFFSET($R$3,0,0,'Données projet'!$E$9+1,1))-AVERAGE(OFFSET($H$3,0,0,'Données projet'!$E$9+1,1))</f>
        <v>417.73464038490249</v>
      </c>
      <c r="T78" s="62">
        <f t="shared" si="88"/>
        <v>330.26301310239984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70.089959571024906</v>
      </c>
      <c r="AA78" s="23">
        <f>EXP(-LN(2)/25)*AA77+(1-EXP(-LN(2)/25))/(LN(2)/25)*Calculateur!V78*Calculateur!X78*VLOOKUP('Données projet'!$B$9,Paramètres!$A$1:$I$89,3,0)*0.475*44/12</f>
        <v>20.73004245457178</v>
      </c>
      <c r="AB78" s="23">
        <f>EXP(-LN(2)/2)*AB77+(1-EXP(-LN(2)/2))/(LN(2)/2)*V78*Y78*VLOOKUP('Données projet'!$B$9,Paramètres!$A$1:$I$89,3,0)*0.475*44/12</f>
        <v>2.3385945052242967</v>
      </c>
      <c r="AC78" s="24">
        <f t="shared" si="57"/>
        <v>93.158596530820986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14.7</v>
      </c>
      <c r="N79" s="14">
        <f>IF('Données projet'!$A$36&gt;35,N78+M79-V78,IF(A79&lt;'Données projet'!$A$36,$K$205^A79,IF(A79='Données projet'!$A$36,'Données projet'!$B$36,N78+M79-V78)))</f>
        <v>694.20000000000095</v>
      </c>
      <c r="O79" s="14">
        <f>N79*VLOOKUP('Données projet'!$B$9,Paramètres!$A$1:$I$89,3,0)*VLOOKUP('Données projet'!$B$9,Paramètres!$A$1:$I$89,5,0)</f>
        <v>333.91020000000043</v>
      </c>
      <c r="P79" s="14">
        <f t="shared" si="87"/>
        <v>78.240434782372787</v>
      </c>
      <c r="Q79" s="22">
        <f t="shared" si="54"/>
        <v>717.82902224596671</v>
      </c>
      <c r="R79" s="62">
        <f t="shared" si="55"/>
        <v>1011.1623555793001</v>
      </c>
      <c r="S79" s="62">
        <f ca="1">AVERAGE(OFFSET($R$3,0,0,'Données projet'!$E$9+1,1))-AVERAGE(OFFSET($H$3,0,0,'Données projet'!$E$9+1,1))</f>
        <v>417.73464038490249</v>
      </c>
      <c r="T79" s="62">
        <f t="shared" si="88"/>
        <v>330.26301310239984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68.715538214491175</v>
      </c>
      <c r="AA79" s="23">
        <f>EXP(-LN(2)/25)*AA78+(1-EXP(-LN(2)/25))/(LN(2)/25)*Calculateur!V79*Calculateur!X79*VLOOKUP('Données projet'!$B$9,Paramètres!$A$1:$I$89,3,0)*0.475*44/12</f>
        <v>20.163178353505963</v>
      </c>
      <c r="AB79" s="23">
        <f>EXP(-LN(2)/2)*AB78+(1-EXP(-LN(2)/2))/(LN(2)/2)*V79*Y79*VLOOKUP('Données projet'!$B$9,Paramètres!$A$1:$I$89,3,0)*0.475*44/12</f>
        <v>1.6536360330896993</v>
      </c>
      <c r="AC79" s="24">
        <f t="shared" si="57"/>
        <v>90.532352601086842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14.7</v>
      </c>
      <c r="N80" s="14">
        <f>IF('Données projet'!$A$36&gt;35,N79+M80-V79,IF(A80&lt;'Données projet'!$A$36,$K$205^A80,IF(A80='Données projet'!$A$36,'Données projet'!$B$36,N79+M80-V79)))</f>
        <v>708.900000000001</v>
      </c>
      <c r="O80" s="14">
        <f>N80*VLOOKUP('Données projet'!$B$9,Paramètres!$A$1:$I$89,3,0)*VLOOKUP('Données projet'!$B$9,Paramètres!$A$1:$I$89,5,0)</f>
        <v>340.98090000000047</v>
      </c>
      <c r="P80" s="14">
        <f t="shared" si="87"/>
        <v>79.702572580633912</v>
      </c>
      <c r="Q80" s="22">
        <f t="shared" si="54"/>
        <v>732.69038141127157</v>
      </c>
      <c r="R80" s="62">
        <f t="shared" si="55"/>
        <v>1026.0237147446048</v>
      </c>
      <c r="S80" s="62">
        <f ca="1">AVERAGE(OFFSET($R$3,0,0,'Données projet'!$E$9+1,1))-AVERAGE(OFFSET($H$3,0,0,'Données projet'!$E$9+1,1))</f>
        <v>417.73464038490249</v>
      </c>
      <c r="T80" s="62">
        <f t="shared" si="88"/>
        <v>330.26301310239984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67.368068422444821</v>
      </c>
      <c r="AA80" s="23">
        <f>EXP(-LN(2)/25)*AA79+(1-EXP(-LN(2)/25))/(LN(2)/25)*Calculateur!V80*Calculateur!X80*VLOOKUP('Données projet'!$B$9,Paramètres!$A$1:$I$89,3,0)*0.475*44/12</f>
        <v>19.611815181093878</v>
      </c>
      <c r="AB80" s="23">
        <f>EXP(-LN(2)/2)*AB79+(1-EXP(-LN(2)/2))/(LN(2)/2)*V80*Y80*VLOOKUP('Données projet'!$B$9,Paramètres!$A$1:$I$89,3,0)*0.475*44/12</f>
        <v>1.1692972526121486</v>
      </c>
      <c r="AC80" s="24">
        <f t="shared" si="57"/>
        <v>88.149180856150849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14.7</v>
      </c>
      <c r="N81" s="14">
        <f>IF('Données projet'!$A$36&gt;35,N80+M81-V80,IF(A81&lt;'Données projet'!$A$36,$K$205^A81,IF(A81='Données projet'!$A$36,'Données projet'!$B$36,N80+M81-V80)))</f>
        <v>723.60000000000105</v>
      </c>
      <c r="O81" s="14">
        <f>N81*VLOOKUP('Données projet'!$B$9,Paramètres!$A$1:$I$89,3,0)*VLOOKUP('Données projet'!$B$9,Paramètres!$A$1:$I$89,5,0)</f>
        <v>348.05160000000052</v>
      </c>
      <c r="P81" s="14">
        <f t="shared" si="87"/>
        <v>81.161185188985897</v>
      </c>
      <c r="Q81" s="22">
        <f t="shared" si="54"/>
        <v>747.54560087081791</v>
      </c>
      <c r="R81" s="62">
        <f t="shared" si="55"/>
        <v>1040.8789342041512</v>
      </c>
      <c r="S81" s="62">
        <f ca="1">AVERAGE(OFFSET($R$3,0,0,'Données projet'!$E$9+1,1))-AVERAGE(OFFSET($H$3,0,0,'Données projet'!$E$9+1,1))</f>
        <v>417.73464038490249</v>
      </c>
      <c r="T81" s="62">
        <f t="shared" si="88"/>
        <v>330.26301310239984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66.047021691145076</v>
      </c>
      <c r="AA81" s="23">
        <f>EXP(-LN(2)/25)*AA80+(1-EXP(-LN(2)/25))/(LN(2)/25)*Calculateur!V81*Calculateur!X81*VLOOKUP('Données projet'!$B$9,Paramètres!$A$1:$I$89,3,0)*0.475*44/12</f>
        <v>19.07552906362633</v>
      </c>
      <c r="AB81" s="23">
        <f>EXP(-LN(2)/2)*AB80+(1-EXP(-LN(2)/2))/(LN(2)/2)*V81*Y81*VLOOKUP('Données projet'!$B$9,Paramètres!$A$1:$I$89,3,0)*0.475*44/12</f>
        <v>0.82681801654484977</v>
      </c>
      <c r="AC81" s="24">
        <f t="shared" si="57"/>
        <v>85.949368771316259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14.7</v>
      </c>
      <c r="N82" s="14">
        <f>IF('Données projet'!$A$36&gt;35,N81+M82-V81,IF(A82&lt;'Données projet'!$A$36,$K$205^A82,IF(A82='Données projet'!$A$36,'Données projet'!$B$36,N81+M82-V81)))</f>
        <v>738.30000000000109</v>
      </c>
      <c r="O82" s="14">
        <f>N82*VLOOKUP('Données projet'!$B$9,Paramètres!$A$1:$I$89,3,0)*VLOOKUP('Données projet'!$B$9,Paramètres!$A$1:$I$89,5,0)</f>
        <v>355.12230000000051</v>
      </c>
      <c r="P82" s="14">
        <f t="shared" si="87"/>
        <v>82.616352474552613</v>
      </c>
      <c r="Q82" s="22">
        <f t="shared" si="54"/>
        <v>762.39481972651345</v>
      </c>
      <c r="R82" s="62">
        <f t="shared" si="55"/>
        <v>1055.7281530598468</v>
      </c>
      <c r="S82" s="62">
        <f ca="1">AVERAGE(OFFSET($R$3,0,0,'Données projet'!$E$9+1,1))-AVERAGE(OFFSET($H$3,0,0,'Données projet'!$E$9+1,1))</f>
        <v>417.73464038490249</v>
      </c>
      <c r="T82" s="62">
        <f t="shared" si="88"/>
        <v>330.26301310239984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64.751879880487166</v>
      </c>
      <c r="AA82" s="23">
        <f>EXP(-LN(2)/25)*AA81+(1-EXP(-LN(2)/25))/(LN(2)/25)*Calculateur!V82*Calculateur!X82*VLOOKUP('Données projet'!$B$9,Paramètres!$A$1:$I$89,3,0)*0.475*44/12</f>
        <v>18.553907718242993</v>
      </c>
      <c r="AB82" s="23">
        <f>EXP(-LN(2)/2)*AB81+(1-EXP(-LN(2)/2))/(LN(2)/2)*V82*Y82*VLOOKUP('Données projet'!$B$9,Paramètres!$A$1:$I$89,3,0)*0.475*44/12</f>
        <v>0.58464862630607439</v>
      </c>
      <c r="AC82" s="24">
        <f t="shared" si="57"/>
        <v>83.89043622503624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753</v>
      </c>
      <c r="L83" s="13">
        <f>VLOOKUP(A83,'Données projet'!$A$35:$I$55,9,0)</f>
        <v>14.7</v>
      </c>
      <c r="M83" s="13">
        <f t="array" ref="M83">INDEX(L:L,MIN(IF(ISNUMBER(L83:L279),ROW(L83:L279),"")))</f>
        <v>14.7</v>
      </c>
      <c r="N83" s="14">
        <f>IF('Données projet'!$A$36&gt;35,N82+M83-V82,IF(A83&lt;'Données projet'!$A$36,$K$205^A83,IF(A83='Données projet'!$A$36,'Données projet'!$B$36,N82+M83-V82)))</f>
        <v>753.00000000000114</v>
      </c>
      <c r="O83" s="14">
        <f>N83*VLOOKUP('Données projet'!$B$9,Paramètres!$A$1:$I$89,3,0)*VLOOKUP('Données projet'!$B$9,Paramètres!$A$1:$I$89,5,0)</f>
        <v>362.19300000000055</v>
      </c>
      <c r="P83" s="14">
        <f t="shared" si="87"/>
        <v>84.068150942182967</v>
      </c>
      <c r="Q83" s="22">
        <f t="shared" si="54"/>
        <v>777.23817122430307</v>
      </c>
      <c r="R83" s="62">
        <f t="shared" si="55"/>
        <v>1070.5715045576364</v>
      </c>
      <c r="S83" s="62">
        <f ca="1">AVERAGE(OFFSET($R$3,0,0,'Données projet'!$E$9+1,1))-AVERAGE(OFFSET($H$3,0,0,'Données projet'!$E$9+1,1))</f>
        <v>417.73464038490249</v>
      </c>
      <c r="T83" s="62">
        <f t="shared" si="88"/>
        <v>330.26301310239984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753</v>
      </c>
      <c r="W83" s="17">
        <f>IF(ISNA(VLOOKUP(A83,'Données projet'!$A$35:$I$55,5,0)),0%,VLOOKUP(A83,'Données projet'!$A$35:$I$55,5,0)*VLOOKUP('Données projet'!$B$9,Paramètres!$A$1:$I$89,7,0))</f>
        <v>0.44000000000000006</v>
      </c>
      <c r="X83" s="17">
        <f>IF(ISNA(VLOOKUP(A83,'Données projet'!$A$35:$I$55,6,0)),0%,VLOOKUP(A83,'Données projet'!$A$35:$I$55,6,0)*VLOOKUP('Données projet'!$B$9,Paramètres!$A$1:$I$89,7,0))</f>
        <v>5.5000000000000007E-2</v>
      </c>
      <c r="Y83" s="17">
        <f>IF(ISNA(VLOOKUP(A83,'Données projet'!$A$35:$I$55,7,0)),0%,VLOOKUP(A83,'Données projet'!$A$35:$I$55,7,0))</f>
        <v>0.1</v>
      </c>
      <c r="Z83" s="23">
        <f>EXP(-LN(2)/35)*Z82+(1-EXP(-LN(2)/35))/(LN(2)/35)*V83*W83*VLOOKUP('Données projet'!$B$9,Paramètres!$A$1:$I$89,3,0)*0.475*44/12</f>
        <v>274.88997332674364</v>
      </c>
      <c r="AA83" s="23">
        <f>EXP(-LN(2)/25)*AA82+(1-EXP(-LN(2)/25))/(LN(2)/25)*Calculateur!V83*Calculateur!X83*VLOOKUP('Données projet'!$B$9,Paramètres!$A$1:$I$89,3,0)*0.475*44/12</f>
        <v>44.368480773956833</v>
      </c>
      <c r="AB83" s="23">
        <f>EXP(-LN(2)/2)*AB82+(1-EXP(-LN(2)/2))/(LN(2)/2)*V83*Y83*VLOOKUP('Données projet'!$B$9,Paramètres!$A$1:$I$89,3,0)*0.475*44/12</f>
        <v>41.422070262072751</v>
      </c>
      <c r="AC83" s="24">
        <f t="shared" si="57"/>
        <v>360.68052436277321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1.1368683772161603E-12</v>
      </c>
      <c r="O84" s="14">
        <f>N84*VLOOKUP('Données projet'!$B$9,Paramètres!$A$1:$I$89,3,0)*VLOOKUP('Données projet'!$B$9,Paramètres!$A$1:$I$89,5,0)</f>
        <v>5.4683368944097316E-13</v>
      </c>
      <c r="P84" s="14">
        <f t="shared" si="87"/>
        <v>6.7409479707670667E-12</v>
      </c>
      <c r="Q84" s="22">
        <f t="shared" si="54"/>
        <v>1.2692886391529001E-11</v>
      </c>
      <c r="R84" s="62">
        <f t="shared" si="55"/>
        <v>293.33333333334599</v>
      </c>
      <c r="S84" s="62">
        <f ca="1">AVERAGE(OFFSET($R$3,0,0,'Données projet'!$E$9+1,1))-AVERAGE(OFFSET($H$3,0,0,'Données projet'!$E$9+1,1))</f>
        <v>417.73464038490249</v>
      </c>
      <c r="T84" s="62">
        <f t="shared" si="88"/>
        <v>330.26301310239984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269.49954861613423</v>
      </c>
      <c r="AA84" s="23">
        <f>EXP(-LN(2)/25)*AA83+(1-EXP(-LN(2)/25))/(LN(2)/25)*Calculateur!V84*Calculateur!X84*VLOOKUP('Données projet'!$B$9,Paramètres!$A$1:$I$89,3,0)*0.475*44/12</f>
        <v>43.155222333955983</v>
      </c>
      <c r="AB84" s="23">
        <f>EXP(-LN(2)/2)*AB83+(1-EXP(-LN(2)/2))/(LN(2)/2)*V84*Y84*VLOOKUP('Données projet'!$B$9,Paramètres!$A$1:$I$89,3,0)*0.475*44/12</f>
        <v>29.289826773097275</v>
      </c>
      <c r="AC84" s="24">
        <f t="shared" si="57"/>
        <v>341.94459772318748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1.1368683772161603E-12</v>
      </c>
      <c r="O85" s="14">
        <f>N85*VLOOKUP('Données projet'!$B$9,Paramètres!$A$1:$I$89,3,0)*VLOOKUP('Données projet'!$B$9,Paramètres!$A$1:$I$89,5,0)</f>
        <v>5.4683368944097316E-13</v>
      </c>
      <c r="P85" s="14">
        <f t="shared" si="87"/>
        <v>6.7409479707670667E-12</v>
      </c>
      <c r="Q85" s="22">
        <f t="shared" si="54"/>
        <v>1.2692886391529001E-11</v>
      </c>
      <c r="R85" s="62">
        <f t="shared" si="55"/>
        <v>293.33333333334599</v>
      </c>
      <c r="S85" s="62">
        <f ca="1">AVERAGE(OFFSET($R$3,0,0,'Données projet'!$E$9+1,1))-AVERAGE(OFFSET($H$3,0,0,'Données projet'!$E$9+1,1))</f>
        <v>417.73464038490249</v>
      </c>
      <c r="T85" s="62">
        <f t="shared" si="88"/>
        <v>330.26301310239984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264.21482684626545</v>
      </c>
      <c r="AA85" s="23">
        <f>EXP(-LN(2)/25)*AA84+(1-EXP(-LN(2)/25))/(LN(2)/25)*Calculateur!V85*Calculateur!X85*VLOOKUP('Données projet'!$B$9,Paramètres!$A$1:$I$89,3,0)*0.475*44/12</f>
        <v>41.975140509799445</v>
      </c>
      <c r="AB85" s="23">
        <f>EXP(-LN(2)/2)*AB84+(1-EXP(-LN(2)/2))/(LN(2)/2)*V85*Y85*VLOOKUP('Données projet'!$B$9,Paramètres!$A$1:$I$89,3,0)*0.475*44/12</f>
        <v>20.711035131036379</v>
      </c>
      <c r="AC85" s="24">
        <f t="shared" si="57"/>
        <v>326.90100248710132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1.1368683772161603E-12</v>
      </c>
      <c r="O86" s="14">
        <f>N86*VLOOKUP('Données projet'!$B$9,Paramètres!$A$1:$I$89,3,0)*VLOOKUP('Données projet'!$B$9,Paramètres!$A$1:$I$89,5,0)</f>
        <v>5.4683368944097316E-13</v>
      </c>
      <c r="P86" s="14">
        <f t="shared" si="87"/>
        <v>6.7409479707670667E-12</v>
      </c>
      <c r="Q86" s="22">
        <f t="shared" si="54"/>
        <v>1.2692886391529001E-11</v>
      </c>
      <c r="R86" s="62">
        <f t="shared" si="55"/>
        <v>293.33333333334599</v>
      </c>
      <c r="S86" s="62">
        <f ca="1">AVERAGE(OFFSET($R$3,0,0,'Données projet'!$E$9+1,1))-AVERAGE(OFFSET($H$3,0,0,'Données projet'!$E$9+1,1))</f>
        <v>417.73464038490249</v>
      </c>
      <c r="T86" s="62">
        <f t="shared" si="88"/>
        <v>330.26301310239984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259.03373524694183</v>
      </c>
      <c r="AA86" s="23">
        <f>EXP(-LN(2)/25)*AA85+(1-EXP(-LN(2)/25))/(LN(2)/25)*Calculateur!V86*Calculateur!X86*VLOOKUP('Données projet'!$B$9,Paramètres!$A$1:$I$89,3,0)*0.475*44/12</f>
        <v>40.827328085182273</v>
      </c>
      <c r="AB86" s="23">
        <f>EXP(-LN(2)/2)*AB85+(1-EXP(-LN(2)/2))/(LN(2)/2)*V86*Y86*VLOOKUP('Données projet'!$B$9,Paramètres!$A$1:$I$89,3,0)*0.475*44/12</f>
        <v>14.644913386548641</v>
      </c>
      <c r="AC86" s="24">
        <f t="shared" si="57"/>
        <v>314.50597671867274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1.1368683772161603E-12</v>
      </c>
      <c r="O87" s="14">
        <f>N87*VLOOKUP('Données projet'!$B$9,Paramètres!$A$1:$I$89,3,0)*VLOOKUP('Données projet'!$B$9,Paramètres!$A$1:$I$89,5,0)</f>
        <v>5.4683368944097316E-13</v>
      </c>
      <c r="P87" s="14">
        <f t="shared" si="87"/>
        <v>6.7409479707670667E-12</v>
      </c>
      <c r="Q87" s="22">
        <f t="shared" si="54"/>
        <v>1.2692886391529001E-11</v>
      </c>
      <c r="R87" s="62">
        <f t="shared" si="55"/>
        <v>293.33333333334599</v>
      </c>
      <c r="S87" s="62">
        <f ca="1">AVERAGE(OFFSET($R$3,0,0,'Données projet'!$E$9+1,1))-AVERAGE(OFFSET($H$3,0,0,'Données projet'!$E$9+1,1))</f>
        <v>417.73464038490249</v>
      </c>
      <c r="T87" s="62">
        <f t="shared" si="88"/>
        <v>330.26301310239984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253.95424169372708</v>
      </c>
      <c r="AA87" s="23">
        <f>EXP(-LN(2)/25)*AA86+(1-EXP(-LN(2)/25))/(LN(2)/25)*Calculateur!V87*Calculateur!X87*VLOOKUP('Données projet'!$B$9,Paramètres!$A$1:$I$89,3,0)*0.475*44/12</f>
        <v>39.710902651677095</v>
      </c>
      <c r="AB87" s="23">
        <f>EXP(-LN(2)/2)*AB86+(1-EXP(-LN(2)/2))/(LN(2)/2)*V87*Y87*VLOOKUP('Données projet'!$B$9,Paramètres!$A$1:$I$89,3,0)*0.475*44/12</f>
        <v>10.355517565518191</v>
      </c>
      <c r="AC87" s="24">
        <f t="shared" si="57"/>
        <v>304.0206619109224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1.1368683772161603E-12</v>
      </c>
      <c r="O88" s="14">
        <f>N88*VLOOKUP('Données projet'!$B$9,Paramètres!$A$1:$I$89,3,0)*VLOOKUP('Données projet'!$B$9,Paramètres!$A$1:$I$89,5,0)</f>
        <v>5.4683368944097316E-13</v>
      </c>
      <c r="P88" s="14">
        <f t="shared" si="87"/>
        <v>6.7409479707670667E-12</v>
      </c>
      <c r="Q88" s="22">
        <f t="shared" si="54"/>
        <v>1.2692886391529001E-11</v>
      </c>
      <c r="R88" s="62">
        <f t="shared" si="55"/>
        <v>293.33333333334599</v>
      </c>
      <c r="S88" s="62">
        <f ca="1">AVERAGE(OFFSET($R$3,0,0,'Données projet'!$E$9+1,1))-AVERAGE(OFFSET($H$3,0,0,'Données projet'!$E$9+1,1))</f>
        <v>417.73464038490249</v>
      </c>
      <c r="T88" s="62">
        <f t="shared" si="88"/>
        <v>330.26301310239984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248.97435391090573</v>
      </c>
      <c r="AA88" s="23">
        <f>EXP(-LN(2)/25)*AA87+(1-EXP(-LN(2)/25))/(LN(2)/25)*Calculateur!V88*Calculateur!X88*VLOOKUP('Données projet'!$B$9,Paramètres!$A$1:$I$89,3,0)*0.475*44/12</f>
        <v>38.625005930361375</v>
      </c>
      <c r="AB88" s="23">
        <f>EXP(-LN(2)/2)*AB87+(1-EXP(-LN(2)/2))/(LN(2)/2)*V88*Y88*VLOOKUP('Données projet'!$B$9,Paramètres!$A$1:$I$89,3,0)*0.475*44/12</f>
        <v>7.3224566932743214</v>
      </c>
      <c r="AC88" s="24">
        <f t="shared" si="57"/>
        <v>294.92181653454145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1.1368683772161603E-12</v>
      </c>
      <c r="O89" s="14">
        <f>N89*VLOOKUP('Données projet'!$B$9,Paramètres!$A$1:$I$89,3,0)*VLOOKUP('Données projet'!$B$9,Paramètres!$A$1:$I$89,5,0)</f>
        <v>5.4683368944097316E-13</v>
      </c>
      <c r="P89" s="14">
        <f t="shared" si="87"/>
        <v>6.7409479707670667E-12</v>
      </c>
      <c r="Q89" s="22">
        <f t="shared" si="54"/>
        <v>1.2692886391529001E-11</v>
      </c>
      <c r="R89" s="62">
        <f t="shared" si="55"/>
        <v>293.33333333334599</v>
      </c>
      <c r="S89" s="62">
        <f ca="1">AVERAGE(OFFSET($R$3,0,0,'Données projet'!$E$9+1,1))-AVERAGE(OFFSET($H$3,0,0,'Données projet'!$E$9+1,1))</f>
        <v>417.73464038490249</v>
      </c>
      <c r="T89" s="62">
        <f t="shared" si="88"/>
        <v>330.26301310239984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244.0921186900739</v>
      </c>
      <c r="AA89" s="23">
        <f>EXP(-LN(2)/25)*AA88+(1-EXP(-LN(2)/25))/(LN(2)/25)*Calculateur!V89*Calculateur!X89*VLOOKUP('Données projet'!$B$9,Paramètres!$A$1:$I$89,3,0)*0.475*44/12</f>
        <v>37.56880311199486</v>
      </c>
      <c r="AB89" s="23">
        <f>EXP(-LN(2)/2)*AB88+(1-EXP(-LN(2)/2))/(LN(2)/2)*V89*Y89*VLOOKUP('Données projet'!$B$9,Paramètres!$A$1:$I$89,3,0)*0.475*44/12</f>
        <v>5.1777587827590965</v>
      </c>
      <c r="AC89" s="24">
        <f t="shared" si="57"/>
        <v>286.83868058482784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1.1368683772161603E-12</v>
      </c>
      <c r="O90" s="14">
        <f>N90*VLOOKUP('Données projet'!$B$9,Paramètres!$A$1:$I$89,3,0)*VLOOKUP('Données projet'!$B$9,Paramètres!$A$1:$I$89,5,0)</f>
        <v>5.4683368944097316E-13</v>
      </c>
      <c r="P90" s="14">
        <f t="shared" si="87"/>
        <v>6.7409479707670667E-12</v>
      </c>
      <c r="Q90" s="22">
        <f t="shared" si="54"/>
        <v>1.2692886391529001E-11</v>
      </c>
      <c r="R90" s="62">
        <f t="shared" si="55"/>
        <v>293.33333333334599</v>
      </c>
      <c r="S90" s="62">
        <f ca="1">AVERAGE(OFFSET($R$3,0,0,'Données projet'!$E$9+1,1))-AVERAGE(OFFSET($H$3,0,0,'Données projet'!$E$9+1,1))</f>
        <v>417.73464038490249</v>
      </c>
      <c r="T90" s="62">
        <f t="shared" si="88"/>
        <v>330.26301310239984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239.30562112405312</v>
      </c>
      <c r="AA90" s="23">
        <f>EXP(-LN(2)/25)*AA89+(1-EXP(-LN(2)/25))/(LN(2)/25)*Calculateur!V90*Calculateur!X90*VLOOKUP('Données projet'!$B$9,Paramètres!$A$1:$I$89,3,0)*0.475*44/12</f>
        <v>36.541482215239867</v>
      </c>
      <c r="AB90" s="23">
        <f>EXP(-LN(2)/2)*AB89+(1-EXP(-LN(2)/2))/(LN(2)/2)*V90*Y90*VLOOKUP('Données projet'!$B$9,Paramètres!$A$1:$I$89,3,0)*0.475*44/12</f>
        <v>3.6612283466371616</v>
      </c>
      <c r="AC90" s="24">
        <f t="shared" si="57"/>
        <v>279.50833168593016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1.1368683772161603E-12</v>
      </c>
      <c r="O91" s="14">
        <f>N91*VLOOKUP('Données projet'!$B$9,Paramètres!$A$1:$I$89,3,0)*VLOOKUP('Données projet'!$B$9,Paramètres!$A$1:$I$89,5,0)</f>
        <v>5.4683368944097316E-13</v>
      </c>
      <c r="P91" s="14">
        <f t="shared" si="87"/>
        <v>6.7409479707670667E-12</v>
      </c>
      <c r="Q91" s="22">
        <f t="shared" si="54"/>
        <v>1.2692886391529001E-11</v>
      </c>
      <c r="R91" s="62">
        <f t="shared" si="55"/>
        <v>293.33333333334599</v>
      </c>
      <c r="S91" s="62">
        <f ca="1">AVERAGE(OFFSET($R$3,0,0,'Données projet'!$E$9+1,1))-AVERAGE(OFFSET($H$3,0,0,'Données projet'!$E$9+1,1))</f>
        <v>417.73464038490249</v>
      </c>
      <c r="T91" s="62">
        <f t="shared" si="88"/>
        <v>330.26301310239984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234.61298385582677</v>
      </c>
      <c r="AA91" s="23">
        <f>EXP(-LN(2)/25)*AA90+(1-EXP(-LN(2)/25))/(LN(2)/25)*Calculateur!V91*Calculateur!X91*VLOOKUP('Données projet'!$B$9,Paramètres!$A$1:$I$89,3,0)*0.475*44/12</f>
        <v>35.542253462431098</v>
      </c>
      <c r="AB91" s="23">
        <f>EXP(-LN(2)/2)*AB90+(1-EXP(-LN(2)/2))/(LN(2)/2)*V91*Y91*VLOOKUP('Données projet'!$B$9,Paramètres!$A$1:$I$89,3,0)*0.475*44/12</f>
        <v>2.5888793913795487</v>
      </c>
      <c r="AC91" s="24">
        <f t="shared" si="57"/>
        <v>272.74411670963741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1.1368683772161603E-12</v>
      </c>
      <c r="O92" s="14">
        <f>N92*VLOOKUP('Données projet'!$B$9,Paramètres!$A$1:$I$89,3,0)*VLOOKUP('Données projet'!$B$9,Paramètres!$A$1:$I$89,5,0)</f>
        <v>5.4683368944097316E-13</v>
      </c>
      <c r="P92" s="14">
        <f t="shared" si="87"/>
        <v>6.7409479707670667E-12</v>
      </c>
      <c r="Q92" s="22">
        <f t="shared" si="54"/>
        <v>1.2692886391529001E-11</v>
      </c>
      <c r="R92" s="62">
        <f t="shared" si="55"/>
        <v>293.33333333334599</v>
      </c>
      <c r="S92" s="62">
        <f ca="1">AVERAGE(OFFSET($R$3,0,0,'Données projet'!$E$9+1,1))-AVERAGE(OFFSET($H$3,0,0,'Données projet'!$E$9+1,1))</f>
        <v>417.73464038490249</v>
      </c>
      <c r="T92" s="62">
        <f t="shared" si="88"/>
        <v>330.26301310239984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230.01236634220422</v>
      </c>
      <c r="AA92" s="23">
        <f>EXP(-LN(2)/25)*AA91+(1-EXP(-LN(2)/25))/(LN(2)/25)*Calculateur!V92*Calculateur!X92*VLOOKUP('Données projet'!$B$9,Paramètres!$A$1:$I$89,3,0)*0.475*44/12</f>
        <v>34.570348672415044</v>
      </c>
      <c r="AB92" s="23">
        <f>EXP(-LN(2)/2)*AB91+(1-EXP(-LN(2)/2))/(LN(2)/2)*V92*Y92*VLOOKUP('Données projet'!$B$9,Paramètres!$A$1:$I$89,3,0)*0.475*44/12</f>
        <v>1.830614173318581</v>
      </c>
      <c r="AC92" s="24">
        <f t="shared" si="57"/>
        <v>266.41332918793785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1.1368683772161603E-12</v>
      </c>
      <c r="O93" s="14">
        <f>N93*VLOOKUP('Données projet'!$B$9,Paramètres!$A$1:$I$89,3,0)*VLOOKUP('Données projet'!$B$9,Paramètres!$A$1:$I$89,5,0)</f>
        <v>5.4683368944097316E-13</v>
      </c>
      <c r="P93" s="14">
        <f t="shared" si="87"/>
        <v>6.7409479707670667E-12</v>
      </c>
      <c r="Q93" s="22">
        <f t="shared" si="54"/>
        <v>1.2692886391529001E-11</v>
      </c>
      <c r="R93" s="62">
        <f t="shared" si="55"/>
        <v>293.33333333334599</v>
      </c>
      <c r="S93" s="62">
        <f ca="1">AVERAGE(OFFSET($R$3,0,0,'Données projet'!$E$9+1,1))-AVERAGE(OFFSET($H$3,0,0,'Données projet'!$E$9+1,1))</f>
        <v>417.73464038490249</v>
      </c>
      <c r="T93" s="62">
        <f t="shared" si="88"/>
        <v>330.26301310239984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225.50196413192421</v>
      </c>
      <c r="AA93" s="23">
        <f>EXP(-LN(2)/25)*AA92+(1-EXP(-LN(2)/25))/(LN(2)/25)*Calculateur!V93*Calculateur!X93*VLOOKUP('Données projet'!$B$9,Paramètres!$A$1:$I$89,3,0)*0.475*44/12</f>
        <v>33.625020669992232</v>
      </c>
      <c r="AB93" s="23">
        <f>EXP(-LN(2)/2)*AB92+(1-EXP(-LN(2)/2))/(LN(2)/2)*V93*Y93*VLOOKUP('Données projet'!$B$9,Paramètres!$A$1:$I$89,3,0)*0.475*44/12</f>
        <v>1.2944396956897746</v>
      </c>
      <c r="AC93" s="24">
        <f t="shared" si="57"/>
        <v>260.42142449760621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1.1368683772161603E-12</v>
      </c>
      <c r="O94" s="14">
        <f>N94*VLOOKUP('Données projet'!$B$9,Paramètres!$A$1:$I$89,3,0)*VLOOKUP('Données projet'!$B$9,Paramètres!$A$1:$I$89,5,0)</f>
        <v>5.4683368944097316E-13</v>
      </c>
      <c r="P94" s="14">
        <f t="shared" si="87"/>
        <v>6.7409479707670667E-12</v>
      </c>
      <c r="Q94" s="22">
        <f t="shared" si="54"/>
        <v>1.2692886391529001E-11</v>
      </c>
      <c r="R94" s="62">
        <f t="shared" si="55"/>
        <v>293.33333333334599</v>
      </c>
      <c r="S94" s="62">
        <f ca="1">AVERAGE(OFFSET($R$3,0,0,'Données projet'!$E$9+1,1))-AVERAGE(OFFSET($H$3,0,0,'Données projet'!$E$9+1,1))</f>
        <v>417.73464038490249</v>
      </c>
      <c r="T94" s="62">
        <f t="shared" si="88"/>
        <v>330.26301310239984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221.08000815791408</v>
      </c>
      <c r="AA94" s="23">
        <f>EXP(-LN(2)/25)*AA93+(1-EXP(-LN(2)/25))/(LN(2)/25)*Calculateur!V94*Calculateur!X94*VLOOKUP('Données projet'!$B$9,Paramètres!$A$1:$I$89,3,0)*0.475*44/12</f>
        <v>32.705542711508308</v>
      </c>
      <c r="AB94" s="23">
        <f>EXP(-LN(2)/2)*AB93+(1-EXP(-LN(2)/2))/(LN(2)/2)*V94*Y94*VLOOKUP('Données projet'!$B$9,Paramètres!$A$1:$I$89,3,0)*0.475*44/12</f>
        <v>0.91530708665929061</v>
      </c>
      <c r="AC94" s="24">
        <f t="shared" si="57"/>
        <v>254.70085795608168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1.1368683772161603E-12</v>
      </c>
      <c r="O95" s="14">
        <f>N95*VLOOKUP('Données projet'!$B$9,Paramètres!$A$1:$I$89,3,0)*VLOOKUP('Données projet'!$B$9,Paramètres!$A$1:$I$89,5,0)</f>
        <v>5.4683368944097316E-13</v>
      </c>
      <c r="P95" s="14">
        <f t="shared" si="87"/>
        <v>6.7409479707670667E-12</v>
      </c>
      <c r="Q95" s="22">
        <f t="shared" si="54"/>
        <v>1.2692886391529001E-11</v>
      </c>
      <c r="R95" s="62">
        <f t="shared" si="55"/>
        <v>293.33333333334599</v>
      </c>
      <c r="S95" s="62">
        <f ca="1">AVERAGE(OFFSET($R$3,0,0,'Données projet'!$E$9+1,1))-AVERAGE(OFFSET($H$3,0,0,'Données projet'!$E$9+1,1))</f>
        <v>417.73464038490249</v>
      </c>
      <c r="T95" s="62">
        <f t="shared" si="88"/>
        <v>330.26301310239984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216.74476404342747</v>
      </c>
      <c r="AA95" s="23">
        <f>EXP(-LN(2)/25)*AA94+(1-EXP(-LN(2)/25))/(LN(2)/25)*Calculateur!V95*Calculateur!X95*VLOOKUP('Données projet'!$B$9,Paramètres!$A$1:$I$89,3,0)*0.475*44/12</f>
        <v>31.81120792615237</v>
      </c>
      <c r="AB95" s="23">
        <f>EXP(-LN(2)/2)*AB94+(1-EXP(-LN(2)/2))/(LN(2)/2)*V95*Y95*VLOOKUP('Données projet'!$B$9,Paramètres!$A$1:$I$89,3,0)*0.475*44/12</f>
        <v>0.6472198478448874</v>
      </c>
      <c r="AC95" s="24">
        <f t="shared" si="57"/>
        <v>249.20319181742474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1.1368683772161603E-12</v>
      </c>
      <c r="O96" s="14">
        <f>N96*VLOOKUP('Données projet'!$B$9,Paramètres!$A$1:$I$89,3,0)*VLOOKUP('Données projet'!$B$9,Paramètres!$A$1:$I$89,5,0)</f>
        <v>5.4683368944097316E-13</v>
      </c>
      <c r="P96" s="14">
        <f t="shared" si="87"/>
        <v>6.7409479707670667E-12</v>
      </c>
      <c r="Q96" s="22">
        <f t="shared" si="54"/>
        <v>1.2692886391529001E-11</v>
      </c>
      <c r="R96" s="62">
        <f t="shared" si="55"/>
        <v>293.33333333334599</v>
      </c>
      <c r="S96" s="62">
        <f ca="1">AVERAGE(OFFSET($R$3,0,0,'Données projet'!$E$9+1,1))-AVERAGE(OFFSET($H$3,0,0,'Données projet'!$E$9+1,1))</f>
        <v>417.73464038490249</v>
      </c>
      <c r="T96" s="62">
        <f t="shared" si="88"/>
        <v>330.26301310239984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212.49453142178814</v>
      </c>
      <c r="AA96" s="23">
        <f>EXP(-LN(2)/25)*AA95+(1-EXP(-LN(2)/25))/(LN(2)/25)*Calculateur!V96*Calculateur!X96*VLOOKUP('Données projet'!$B$9,Paramètres!$A$1:$I$89,3,0)*0.475*44/12</f>
        <v>30.941328772533016</v>
      </c>
      <c r="AB96" s="23">
        <f>EXP(-LN(2)/2)*AB95+(1-EXP(-LN(2)/2))/(LN(2)/2)*V96*Y96*VLOOKUP('Données projet'!$B$9,Paramètres!$A$1:$I$89,3,0)*0.475*44/12</f>
        <v>0.45765354332964542</v>
      </c>
      <c r="AC96" s="24">
        <f t="shared" si="57"/>
        <v>243.89351373765081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1.1368683772161603E-12</v>
      </c>
      <c r="O97" s="14">
        <f>N97*VLOOKUP('Données projet'!$B$9,Paramètres!$A$1:$I$89,3,0)*VLOOKUP('Données projet'!$B$9,Paramètres!$A$1:$I$89,5,0)</f>
        <v>5.4683368944097316E-13</v>
      </c>
      <c r="P97" s="14">
        <f t="shared" si="87"/>
        <v>6.7409479707670667E-12</v>
      </c>
      <c r="Q97" s="22">
        <f t="shared" si="54"/>
        <v>1.2692886391529001E-11</v>
      </c>
      <c r="R97" s="62">
        <f t="shared" si="55"/>
        <v>293.33333333334599</v>
      </c>
      <c r="S97" s="62">
        <f ca="1">AVERAGE(OFFSET($R$3,0,0,'Données projet'!$E$9+1,1))-AVERAGE(OFFSET($H$3,0,0,'Données projet'!$E$9+1,1))</f>
        <v>417.73464038490249</v>
      </c>
      <c r="T97" s="62">
        <f t="shared" si="88"/>
        <v>330.26301310239984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208.32764326947324</v>
      </c>
      <c r="AA97" s="23">
        <f>EXP(-LN(2)/25)*AA96+(1-EXP(-LN(2)/25))/(LN(2)/25)*Calculateur!V97*Calculateur!X97*VLOOKUP('Données projet'!$B$9,Paramètres!$A$1:$I$89,3,0)*0.475*44/12</f>
        <v>30.095236510114336</v>
      </c>
      <c r="AB97" s="23">
        <f>EXP(-LN(2)/2)*AB96+(1-EXP(-LN(2)/2))/(LN(2)/2)*V97*Y97*VLOOKUP('Données projet'!$B$9,Paramètres!$A$1:$I$89,3,0)*0.475*44/12</f>
        <v>0.32360992392244375</v>
      </c>
      <c r="AC97" s="24">
        <f t="shared" si="57"/>
        <v>238.74648970351004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1.1368683772161603E-12</v>
      </c>
      <c r="O98" s="14">
        <f>N98*VLOOKUP('Données projet'!$B$9,Paramètres!$A$1:$I$89,3,0)*VLOOKUP('Données projet'!$B$9,Paramètres!$A$1:$I$89,5,0)</f>
        <v>5.4683368944097316E-13</v>
      </c>
      <c r="P98" s="14">
        <f t="shared" si="87"/>
        <v>6.7409479707670667E-12</v>
      </c>
      <c r="Q98" s="22">
        <f t="shared" si="54"/>
        <v>1.2692886391529001E-11</v>
      </c>
      <c r="R98" s="62">
        <f t="shared" si="55"/>
        <v>293.33333333334599</v>
      </c>
      <c r="S98" s="62">
        <f ca="1">AVERAGE(OFFSET($R$3,0,0,'Données projet'!$E$9+1,1))-AVERAGE(OFFSET($H$3,0,0,'Données projet'!$E$9+1,1))</f>
        <v>417.73464038490249</v>
      </c>
      <c r="T98" s="62">
        <f t="shared" si="88"/>
        <v>330.26301310239984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204.2424652522744</v>
      </c>
      <c r="AA98" s="23">
        <f>EXP(-LN(2)/25)*AA97+(1-EXP(-LN(2)/25))/(LN(2)/25)*Calculateur!V98*Calculateur!X98*VLOOKUP('Données projet'!$B$9,Paramètres!$A$1:$I$89,3,0)*0.475*44/12</f>
        <v>29.272280685105557</v>
      </c>
      <c r="AB98" s="23">
        <f>EXP(-LN(2)/2)*AB97+(1-EXP(-LN(2)/2))/(LN(2)/2)*V98*Y98*VLOOKUP('Données projet'!$B$9,Paramètres!$A$1:$I$89,3,0)*0.475*44/12</f>
        <v>0.22882677166482274</v>
      </c>
      <c r="AC98" s="24">
        <f t="shared" si="57"/>
        <v>233.74357270904477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1.1368683772161603E-12</v>
      </c>
      <c r="O99" s="14">
        <f>N99*VLOOKUP('Données projet'!$B$9,Paramètres!$A$1:$I$89,3,0)*VLOOKUP('Données projet'!$B$9,Paramètres!$A$1:$I$89,5,0)</f>
        <v>5.4683368944097316E-13</v>
      </c>
      <c r="P99" s="14">
        <f t="shared" si="87"/>
        <v>6.7409479707670667E-12</v>
      </c>
      <c r="Q99" s="22">
        <f t="shared" ref="Q99:Q130" si="107">(O99+P99)*0.475*44/12</f>
        <v>1.2692886391529001E-11</v>
      </c>
      <c r="R99" s="62">
        <f t="shared" si="55"/>
        <v>293.33333333334599</v>
      </c>
      <c r="S99" s="62">
        <f ca="1">AVERAGE(OFFSET($R$3,0,0,'Données projet'!$E$9+1,1))-AVERAGE(OFFSET($H$3,0,0,'Données projet'!$E$9+1,1))</f>
        <v>417.73464038490249</v>
      </c>
      <c r="T99" s="62">
        <f t="shared" si="88"/>
        <v>330.26301310239984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200.23739508428028</v>
      </c>
      <c r="AA99" s="23">
        <f>EXP(-LN(2)/25)*AA98+(1-EXP(-LN(2)/25))/(LN(2)/25)*Calculateur!V99*Calculateur!X99*VLOOKUP('Données projet'!$B$9,Paramètres!$A$1:$I$89,3,0)*0.475*44/12</f>
        <v>28.471828630409007</v>
      </c>
      <c r="AB99" s="23">
        <f>EXP(-LN(2)/2)*AB98+(1-EXP(-LN(2)/2))/(LN(2)/2)*V99*Y99*VLOOKUP('Données projet'!$B$9,Paramètres!$A$1:$I$89,3,0)*0.475*44/12</f>
        <v>0.1618049619612219</v>
      </c>
      <c r="AC99" s="24">
        <f t="shared" si="57"/>
        <v>228.87102867665052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1.1368683772161603E-12</v>
      </c>
      <c r="O100" s="14">
        <f>N100*VLOOKUP('Données projet'!$B$9,Paramètres!$A$1:$I$89,3,0)*VLOOKUP('Données projet'!$B$9,Paramètres!$A$1:$I$89,5,0)</f>
        <v>5.4683368944097316E-13</v>
      </c>
      <c r="P100" s="14">
        <f t="shared" si="87"/>
        <v>6.7409479707670667E-12</v>
      </c>
      <c r="Q100" s="22">
        <f t="shared" si="107"/>
        <v>1.2692886391529001E-11</v>
      </c>
      <c r="R100" s="62">
        <f t="shared" si="55"/>
        <v>293.33333333334599</v>
      </c>
      <c r="S100" s="62">
        <f ca="1">AVERAGE(OFFSET($R$3,0,0,'Données projet'!$E$9+1,1))-AVERAGE(OFFSET($H$3,0,0,'Données projet'!$E$9+1,1))</f>
        <v>417.73464038490249</v>
      </c>
      <c r="T100" s="62">
        <f t="shared" si="88"/>
        <v>330.26301310239984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196.31086189942894</v>
      </c>
      <c r="AA100" s="23">
        <f>EXP(-LN(2)/25)*AA99+(1-EXP(-LN(2)/25))/(LN(2)/25)*Calculateur!V100*Calculateur!X100*VLOOKUP('Données projet'!$B$9,Paramètres!$A$1:$I$89,3,0)*0.475*44/12</f>
        <v>27.693264979242077</v>
      </c>
      <c r="AB100" s="23">
        <f>EXP(-LN(2)/2)*AB99+(1-EXP(-LN(2)/2))/(LN(2)/2)*V100*Y100*VLOOKUP('Données projet'!$B$9,Paramètres!$A$1:$I$89,3,0)*0.475*44/12</f>
        <v>0.1144133858324114</v>
      </c>
      <c r="AC100" s="24">
        <f t="shared" si="57"/>
        <v>224.11854026450345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1.1368683772161603E-12</v>
      </c>
      <c r="O101" s="14">
        <f>N101*VLOOKUP('Données projet'!$B$9,Paramètres!$A$1:$I$89,3,0)*VLOOKUP('Données projet'!$B$9,Paramètres!$A$1:$I$89,5,0)</f>
        <v>5.4683368944097316E-13</v>
      </c>
      <c r="P101" s="14">
        <f t="shared" si="87"/>
        <v>6.7409479707670667E-12</v>
      </c>
      <c r="Q101" s="22">
        <f t="shared" si="107"/>
        <v>1.2692886391529001E-11</v>
      </c>
      <c r="R101" s="62">
        <f t="shared" si="55"/>
        <v>293.33333333334599</v>
      </c>
      <c r="S101" s="62">
        <f ca="1">AVERAGE(OFFSET($R$3,0,0,'Données projet'!$E$9+1,1))-AVERAGE(OFFSET($H$3,0,0,'Données projet'!$E$9+1,1))</f>
        <v>417.73464038490249</v>
      </c>
      <c r="T101" s="62">
        <f t="shared" si="88"/>
        <v>330.26301310239984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192.46132563538379</v>
      </c>
      <c r="AA101" s="23">
        <f>EXP(-LN(2)/25)*AA100+(1-EXP(-LN(2)/25))/(LN(2)/25)*Calculateur!V101*Calculateur!X101*VLOOKUP('Données projet'!$B$9,Paramètres!$A$1:$I$89,3,0)*0.475*44/12</f>
        <v>26.935991192059191</v>
      </c>
      <c r="AB101" s="23">
        <f>EXP(-LN(2)/2)*AB100+(1-EXP(-LN(2)/2))/(LN(2)/2)*V101*Y101*VLOOKUP('Données projet'!$B$9,Paramètres!$A$1:$I$89,3,0)*0.475*44/12</f>
        <v>8.0902480980610966E-2</v>
      </c>
      <c r="AC101" s="24">
        <f t="shared" si="57"/>
        <v>219.47821930842358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1.1368683772161603E-12</v>
      </c>
      <c r="O102" s="14">
        <f>N102*VLOOKUP('Données projet'!$B$9,Paramètres!$A$1:$I$89,3,0)*VLOOKUP('Données projet'!$B$9,Paramètres!$A$1:$I$89,5,0)</f>
        <v>5.4683368944097316E-13</v>
      </c>
      <c r="P102" s="14">
        <f t="shared" si="87"/>
        <v>6.7409479707670667E-12</v>
      </c>
      <c r="Q102" s="22">
        <f t="shared" si="107"/>
        <v>1.2692886391529001E-11</v>
      </c>
      <c r="R102" s="62">
        <f t="shared" si="55"/>
        <v>293.33333333334599</v>
      </c>
      <c r="S102" s="62">
        <f ca="1">AVERAGE(OFFSET($R$3,0,0,'Données projet'!$E$9+1,1))-AVERAGE(OFFSET($H$3,0,0,'Données projet'!$E$9+1,1))</f>
        <v>417.73464038490249</v>
      </c>
      <c r="T102" s="62">
        <f t="shared" si="88"/>
        <v>330.26301310239984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188.68727642949128</v>
      </c>
      <c r="AA102" s="23">
        <f>EXP(-LN(2)/25)*AA101+(1-EXP(-LN(2)/25))/(LN(2)/25)*Calculateur!V102*Calculateur!X102*VLOOKUP('Données projet'!$B$9,Paramètres!$A$1:$I$89,3,0)*0.475*44/12</f>
        <v>26.199425096410121</v>
      </c>
      <c r="AB102" s="23">
        <f>EXP(-LN(2)/2)*AB101+(1-EXP(-LN(2)/2))/(LN(2)/2)*V102*Y102*VLOOKUP('Données projet'!$B$9,Paramètres!$A$1:$I$89,3,0)*0.475*44/12</f>
        <v>5.7206692916205705E-2</v>
      </c>
      <c r="AC102" s="24">
        <f t="shared" si="57"/>
        <v>214.9439082188176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1.1368683772161603E-12</v>
      </c>
      <c r="O103" s="14">
        <f>N103*VLOOKUP('Données projet'!$B$9,Paramètres!$A$1:$I$89,3,0)*VLOOKUP('Données projet'!$B$9,Paramètres!$A$1:$I$89,5,0)</f>
        <v>5.4683368944097316E-13</v>
      </c>
      <c r="P103" s="14">
        <f t="shared" si="87"/>
        <v>6.7409479707670667E-12</v>
      </c>
      <c r="Q103" s="22">
        <f t="shared" si="107"/>
        <v>1.2692886391529001E-11</v>
      </c>
      <c r="R103" s="62">
        <f t="shared" si="55"/>
        <v>293.33333333334599</v>
      </c>
      <c r="S103" s="62">
        <f ca="1">AVERAGE(OFFSET($R$3,0,0,'Données projet'!$E$9+1,1))-AVERAGE(OFFSET($H$3,0,0,'Données projet'!$E$9+1,1))</f>
        <v>417.73464038490249</v>
      </c>
      <c r="T103" s="62">
        <f t="shared" si="88"/>
        <v>330.26301310239984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184.98723402658359</v>
      </c>
      <c r="AA103" s="23">
        <f>EXP(-LN(2)/25)*AA102+(1-EXP(-LN(2)/25))/(LN(2)/25)*Calculateur!V103*Calculateur!X103*VLOOKUP('Données projet'!$B$9,Paramètres!$A$1:$I$89,3,0)*0.475*44/12</f>
        <v>25.483000439380898</v>
      </c>
      <c r="AB103" s="23">
        <f>EXP(-LN(2)/2)*AB102+(1-EXP(-LN(2)/2))/(LN(2)/2)*V103*Y103*VLOOKUP('Données projet'!$B$9,Paramètres!$A$1:$I$89,3,0)*0.475*44/12</f>
        <v>4.045124049030549E-2</v>
      </c>
      <c r="AC103" s="24">
        <f t="shared" si="57"/>
        <v>210.51068570645481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1.1368683772161603E-12</v>
      </c>
      <c r="O104" s="14">
        <f>N104*VLOOKUP('Données projet'!$B$9,Paramètres!$A$1:$I$89,3,0)*VLOOKUP('Données projet'!$B$9,Paramètres!$A$1:$I$89,5,0)</f>
        <v>5.4683368944097316E-13</v>
      </c>
      <c r="P104" s="14">
        <f t="shared" si="87"/>
        <v>6.7409479707670667E-12</v>
      </c>
      <c r="Q104" s="22">
        <f t="shared" si="107"/>
        <v>1.2692886391529001E-11</v>
      </c>
      <c r="R104" s="62">
        <f t="shared" si="55"/>
        <v>293.33333333334599</v>
      </c>
      <c r="S104" s="62">
        <f ca="1">AVERAGE(OFFSET($R$3,0,0,'Données projet'!$E$9+1,1))-AVERAGE(OFFSET($H$3,0,0,'Données projet'!$E$9+1,1))</f>
        <v>417.73464038490249</v>
      </c>
      <c r="T104" s="62">
        <f t="shared" si="88"/>
        <v>330.26301310239984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181.3597471983939</v>
      </c>
      <c r="AA104" s="23">
        <f>EXP(-LN(2)/25)*AA103+(1-EXP(-LN(2)/25))/(LN(2)/25)*Calculateur!V104*Calculateur!X104*VLOOKUP('Données projet'!$B$9,Paramètres!$A$1:$I$89,3,0)*0.475*44/12</f>
        <v>24.786166452273278</v>
      </c>
      <c r="AB104" s="23">
        <f>EXP(-LN(2)/2)*AB103+(1-EXP(-LN(2)/2))/(LN(2)/2)*V104*Y104*VLOOKUP('Données projet'!$B$9,Paramètres!$A$1:$I$89,3,0)*0.475*44/12</f>
        <v>2.8603346458102856E-2</v>
      </c>
      <c r="AC104" s="24">
        <f t="shared" si="57"/>
        <v>206.17451699712529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1.1368683772161603E-12</v>
      </c>
      <c r="O105" s="14">
        <f>N105*VLOOKUP('Données projet'!$B$9,Paramètres!$A$1:$I$89,3,0)*VLOOKUP('Données projet'!$B$9,Paramètres!$A$1:$I$89,5,0)</f>
        <v>5.4683368944097316E-13</v>
      </c>
      <c r="P105" s="14">
        <f t="shared" si="87"/>
        <v>6.7409479707670667E-12</v>
      </c>
      <c r="Q105" s="22">
        <f t="shared" si="107"/>
        <v>1.2692886391529001E-11</v>
      </c>
      <c r="R105" s="62">
        <f t="shared" si="55"/>
        <v>293.33333333334599</v>
      </c>
      <c r="S105" s="62">
        <f ca="1">AVERAGE(OFFSET($R$3,0,0,'Données projet'!$E$9+1,1))-AVERAGE(OFFSET($H$3,0,0,'Données projet'!$E$9+1,1))</f>
        <v>417.73464038490249</v>
      </c>
      <c r="T105" s="62">
        <f t="shared" si="88"/>
        <v>330.26301310239984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177.80339317435653</v>
      </c>
      <c r="AA105" s="23">
        <f>EXP(-LN(2)/25)*AA104+(1-EXP(-LN(2)/25))/(LN(2)/25)*Calculateur!V105*Calculateur!X105*VLOOKUP('Données projet'!$B$9,Paramètres!$A$1:$I$89,3,0)*0.475*44/12</f>
        <v>24.108387427188021</v>
      </c>
      <c r="AB105" s="23">
        <f>EXP(-LN(2)/2)*AB104+(1-EXP(-LN(2)/2))/(LN(2)/2)*V105*Y105*VLOOKUP('Données projet'!$B$9,Paramètres!$A$1:$I$89,3,0)*0.475*44/12</f>
        <v>2.0225620245152745E-2</v>
      </c>
      <c r="AC105" s="24">
        <f t="shared" si="57"/>
        <v>201.93200622178969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1.1368683772161603E-12</v>
      </c>
      <c r="O106" s="14">
        <f>N106*VLOOKUP('Données projet'!$B$9,Paramètres!$A$1:$I$89,3,0)*VLOOKUP('Données projet'!$B$9,Paramètres!$A$1:$I$89,5,0)</f>
        <v>5.4683368944097316E-13</v>
      </c>
      <c r="P106" s="14">
        <f t="shared" si="87"/>
        <v>6.7409479707670667E-12</v>
      </c>
      <c r="Q106" s="22">
        <f t="shared" si="107"/>
        <v>1.2692886391529001E-11</v>
      </c>
      <c r="R106" s="62">
        <f t="shared" si="55"/>
        <v>293.33333333334599</v>
      </c>
      <c r="S106" s="62">
        <f ca="1">AVERAGE(OFFSET($R$3,0,0,'Données projet'!$E$9+1,1))-AVERAGE(OFFSET($H$3,0,0,'Données projet'!$E$9+1,1))</f>
        <v>417.73464038490249</v>
      </c>
      <c r="T106" s="62">
        <f t="shared" si="88"/>
        <v>330.26301310239984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174.31677708356875</v>
      </c>
      <c r="AA106" s="23">
        <f>EXP(-LN(2)/25)*AA105+(1-EXP(-LN(2)/25))/(LN(2)/25)*Calculateur!V106*Calculateur!X106*VLOOKUP('Données projet'!$B$9,Paramètres!$A$1:$I$89,3,0)*0.475*44/12</f>
        <v>23.44914230518657</v>
      </c>
      <c r="AB106" s="23">
        <f>EXP(-LN(2)/2)*AB105+(1-EXP(-LN(2)/2))/(LN(2)/2)*V106*Y106*VLOOKUP('Données projet'!$B$9,Paramètres!$A$1:$I$89,3,0)*0.475*44/12</f>
        <v>1.4301673229051428E-2</v>
      </c>
      <c r="AC106" s="24">
        <f t="shared" si="57"/>
        <v>197.78022106198438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1.1368683772161603E-12</v>
      </c>
      <c r="O107" s="14">
        <f>N107*VLOOKUP('Données projet'!$B$9,Paramètres!$A$1:$I$89,3,0)*VLOOKUP('Données projet'!$B$9,Paramètres!$A$1:$I$89,5,0)</f>
        <v>5.4683368944097316E-13</v>
      </c>
      <c r="P107" s="14">
        <f t="shared" si="87"/>
        <v>6.7409479707670667E-12</v>
      </c>
      <c r="Q107" s="22">
        <f t="shared" si="107"/>
        <v>1.2692886391529001E-11</v>
      </c>
      <c r="R107" s="62">
        <f t="shared" si="55"/>
        <v>293.33333333334599</v>
      </c>
      <c r="S107" s="62">
        <f ca="1">AVERAGE(OFFSET($R$3,0,0,'Données projet'!$E$9+1,1))-AVERAGE(OFFSET($H$3,0,0,'Données projet'!$E$9+1,1))</f>
        <v>417.73464038490249</v>
      </c>
      <c r="T107" s="62">
        <f t="shared" si="88"/>
        <v>330.26301310239984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170.89853140769549</v>
      </c>
      <c r="AA107" s="23">
        <f>EXP(-LN(2)/25)*AA106+(1-EXP(-LN(2)/25))/(LN(2)/25)*Calculateur!V107*Calculateur!X107*VLOOKUP('Données projet'!$B$9,Paramètres!$A$1:$I$89,3,0)*0.475*44/12</f>
        <v>22.807924275714441</v>
      </c>
      <c r="AB107" s="23">
        <f>EXP(-LN(2)/2)*AB106+(1-EXP(-LN(2)/2))/(LN(2)/2)*V107*Y107*VLOOKUP('Données projet'!$B$9,Paramètres!$A$1:$I$89,3,0)*0.475*44/12</f>
        <v>1.0112810122576373E-2</v>
      </c>
      <c r="AC107" s="24">
        <f t="shared" si="57"/>
        <v>193.71656849353249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1.1368683772161603E-12</v>
      </c>
      <c r="O108" s="14">
        <f>N108*VLOOKUP('Données projet'!$B$9,Paramètres!$A$1:$I$89,3,0)*VLOOKUP('Données projet'!$B$9,Paramètres!$A$1:$I$89,5,0)</f>
        <v>5.4683368944097316E-13</v>
      </c>
      <c r="P108" s="14">
        <f t="shared" si="87"/>
        <v>6.7409479707670667E-12</v>
      </c>
      <c r="Q108" s="22">
        <f t="shared" si="107"/>
        <v>1.2692886391529001E-11</v>
      </c>
      <c r="R108" s="62">
        <f t="shared" si="55"/>
        <v>293.33333333334599</v>
      </c>
      <c r="S108" s="62">
        <f ca="1">AVERAGE(OFFSET($R$3,0,0,'Données projet'!$E$9+1,1))-AVERAGE(OFFSET($H$3,0,0,'Données projet'!$E$9+1,1))</f>
        <v>417.73464038490249</v>
      </c>
      <c r="T108" s="62">
        <f t="shared" si="88"/>
        <v>330.26301310239984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167.54731544460211</v>
      </c>
      <c r="AA108" s="23">
        <f>EXP(-LN(2)/25)*AA107+(1-EXP(-LN(2)/25))/(LN(2)/25)*Calculateur!V108*Calculateur!X108*VLOOKUP('Données projet'!$B$9,Paramètres!$A$1:$I$89,3,0)*0.475*44/12</f>
        <v>22.18424038697842</v>
      </c>
      <c r="AB108" s="23">
        <f>EXP(-LN(2)/2)*AB107+(1-EXP(-LN(2)/2))/(LN(2)/2)*V108*Y108*VLOOKUP('Données projet'!$B$9,Paramètres!$A$1:$I$89,3,0)*0.475*44/12</f>
        <v>7.150836614525714E-3</v>
      </c>
      <c r="AC108" s="24">
        <f t="shared" si="57"/>
        <v>189.73870666819505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1.1368683772161603E-12</v>
      </c>
      <c r="O109" s="14">
        <f>N109*VLOOKUP('Données projet'!$B$9,Paramètres!$A$1:$I$89,3,0)*VLOOKUP('Données projet'!$B$9,Paramètres!$A$1:$I$89,5,0)</f>
        <v>5.4683368944097316E-13</v>
      </c>
      <c r="P109" s="14">
        <f t="shared" si="87"/>
        <v>6.7409479707670667E-12</v>
      </c>
      <c r="Q109" s="22">
        <f t="shared" si="107"/>
        <v>1.2692886391529001E-11</v>
      </c>
      <c r="R109" s="62">
        <f t="shared" si="55"/>
        <v>293.33333333334599</v>
      </c>
      <c r="S109" s="62">
        <f ca="1">AVERAGE(OFFSET($R$3,0,0,'Données projet'!$E$9+1,1))-AVERAGE(OFFSET($H$3,0,0,'Données projet'!$E$9+1,1))</f>
        <v>417.73464038490249</v>
      </c>
      <c r="T109" s="62">
        <f t="shared" si="88"/>
        <v>330.26301310239984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164.26181478250507</v>
      </c>
      <c r="AA109" s="23">
        <f>EXP(-LN(2)/25)*AA108+(1-EXP(-LN(2)/25))/(LN(2)/25)*Calculateur!V109*Calculateur!X109*VLOOKUP('Données projet'!$B$9,Paramètres!$A$1:$I$89,3,0)*0.475*44/12</f>
        <v>21.577611166977995</v>
      </c>
      <c r="AB109" s="23">
        <f>EXP(-LN(2)/2)*AB108+(1-EXP(-LN(2)/2))/(LN(2)/2)*V109*Y109*VLOOKUP('Données projet'!$B$9,Paramètres!$A$1:$I$89,3,0)*0.475*44/12</f>
        <v>5.0564050612881863E-3</v>
      </c>
      <c r="AC109" s="24">
        <f t="shared" si="57"/>
        <v>185.84448235454434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1.1368683772161603E-12</v>
      </c>
      <c r="O110" s="14">
        <f>N110*VLOOKUP('Données projet'!$B$9,Paramètres!$A$1:$I$89,3,0)*VLOOKUP('Données projet'!$B$9,Paramètres!$A$1:$I$89,5,0)</f>
        <v>5.4683368944097316E-13</v>
      </c>
      <c r="P110" s="14">
        <f t="shared" si="87"/>
        <v>6.7409479707670667E-12</v>
      </c>
      <c r="Q110" s="22">
        <f t="shared" si="107"/>
        <v>1.2692886391529001E-11</v>
      </c>
      <c r="R110" s="62">
        <f t="shared" si="55"/>
        <v>293.33333333334599</v>
      </c>
      <c r="S110" s="62">
        <f ca="1">AVERAGE(OFFSET($R$3,0,0,'Données projet'!$E$9+1,1))-AVERAGE(OFFSET($H$3,0,0,'Données projet'!$E$9+1,1))</f>
        <v>417.73464038490249</v>
      </c>
      <c r="T110" s="62">
        <f t="shared" si="88"/>
        <v>330.26301310239984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161.04074078443423</v>
      </c>
      <c r="AA110" s="23">
        <f>EXP(-LN(2)/25)*AA109+(1-EXP(-LN(2)/25))/(LN(2)/25)*Calculateur!V110*Calculateur!X110*VLOOKUP('Données projet'!$B$9,Paramètres!$A$1:$I$89,3,0)*0.475*44/12</f>
        <v>20.987570254899726</v>
      </c>
      <c r="AB110" s="23">
        <f>EXP(-LN(2)/2)*AB109+(1-EXP(-LN(2)/2))/(LN(2)/2)*V110*Y110*VLOOKUP('Données projet'!$B$9,Paramètres!$A$1:$I$89,3,0)*0.475*44/12</f>
        <v>3.575418307262857E-3</v>
      </c>
      <c r="AC110" s="24">
        <f t="shared" si="57"/>
        <v>182.03188645764124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1.1368683772161603E-12</v>
      </c>
      <c r="O111" s="14">
        <f>N111*VLOOKUP('Données projet'!$B$9,Paramètres!$A$1:$I$89,3,0)*VLOOKUP('Données projet'!$B$9,Paramètres!$A$1:$I$89,5,0)</f>
        <v>5.4683368944097316E-13</v>
      </c>
      <c r="P111" s="14">
        <f t="shared" si="87"/>
        <v>6.7409479707670667E-12</v>
      </c>
      <c r="Q111" s="22">
        <f t="shared" si="107"/>
        <v>1.2692886391529001E-11</v>
      </c>
      <c r="R111" s="62">
        <f t="shared" si="55"/>
        <v>293.33333333334599</v>
      </c>
      <c r="S111" s="62">
        <f ca="1">AVERAGE(OFFSET($R$3,0,0,'Données projet'!$E$9+1,1))-AVERAGE(OFFSET($H$3,0,0,'Données projet'!$E$9+1,1))</f>
        <v>417.73464038490249</v>
      </c>
      <c r="T111" s="62">
        <f t="shared" si="88"/>
        <v>330.26301310239984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157.88283008280442</v>
      </c>
      <c r="AA111" s="23">
        <f>EXP(-LN(2)/25)*AA110+(1-EXP(-LN(2)/25))/(LN(2)/25)*Calculateur!V111*Calculateur!X111*VLOOKUP('Données projet'!$B$9,Paramètres!$A$1:$I$89,3,0)*0.475*44/12</f>
        <v>20.41366404259114</v>
      </c>
      <c r="AB111" s="23">
        <f>EXP(-LN(2)/2)*AB110+(1-EXP(-LN(2)/2))/(LN(2)/2)*V111*Y111*VLOOKUP('Données projet'!$B$9,Paramètres!$A$1:$I$89,3,0)*0.475*44/12</f>
        <v>2.5282025306440931E-3</v>
      </c>
      <c r="AC111" s="24">
        <f t="shared" si="57"/>
        <v>178.2990223279262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1.1368683772161603E-12</v>
      </c>
      <c r="O112" s="14">
        <f>N112*VLOOKUP('Données projet'!$B$9,Paramètres!$A$1:$I$89,3,0)*VLOOKUP('Données projet'!$B$9,Paramètres!$A$1:$I$89,5,0)</f>
        <v>5.4683368944097316E-13</v>
      </c>
      <c r="P112" s="14">
        <f t="shared" si="87"/>
        <v>6.7409479707670667E-12</v>
      </c>
      <c r="Q112" s="22">
        <f t="shared" si="107"/>
        <v>1.2692886391529001E-11</v>
      </c>
      <c r="R112" s="62">
        <f t="shared" si="55"/>
        <v>293.33333333334599</v>
      </c>
      <c r="S112" s="62">
        <f ca="1">AVERAGE(OFFSET($R$3,0,0,'Données projet'!$E$9+1,1))-AVERAGE(OFFSET($H$3,0,0,'Données projet'!$E$9+1,1))</f>
        <v>417.73464038490249</v>
      </c>
      <c r="T112" s="62">
        <f t="shared" si="88"/>
        <v>330.26301310239984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154.78684408389825</v>
      </c>
      <c r="AA112" s="23">
        <f>EXP(-LN(2)/25)*AA111+(1-EXP(-LN(2)/25))/(LN(2)/25)*Calculateur!V112*Calculateur!X112*VLOOKUP('Données projet'!$B$9,Paramètres!$A$1:$I$89,3,0)*0.475*44/12</f>
        <v>19.855451325838551</v>
      </c>
      <c r="AB112" s="23">
        <f>EXP(-LN(2)/2)*AB111+(1-EXP(-LN(2)/2))/(LN(2)/2)*V112*Y112*VLOOKUP('Données projet'!$B$9,Paramètres!$A$1:$I$89,3,0)*0.475*44/12</f>
        <v>1.7877091536314285E-3</v>
      </c>
      <c r="AC112" s="24">
        <f t="shared" si="57"/>
        <v>174.64408311889042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1.1368683772161603E-12</v>
      </c>
      <c r="O113" s="14">
        <f>N113*VLOOKUP('Données projet'!$B$9,Paramètres!$A$1:$I$89,3,0)*VLOOKUP('Données projet'!$B$9,Paramètres!$A$1:$I$89,5,0)</f>
        <v>5.4683368944097316E-13</v>
      </c>
      <c r="P113" s="14">
        <f t="shared" si="87"/>
        <v>6.7409479707670667E-12</v>
      </c>
      <c r="Q113" s="22">
        <f t="shared" si="107"/>
        <v>1.2692886391529001E-11</v>
      </c>
      <c r="R113" s="62">
        <f t="shared" si="55"/>
        <v>293.33333333334599</v>
      </c>
      <c r="S113" s="62">
        <f ca="1">AVERAGE(OFFSET($R$3,0,0,'Données projet'!$E$9+1,1))-AVERAGE(OFFSET($H$3,0,0,'Données projet'!$E$9+1,1))</f>
        <v>417.73464038490249</v>
      </c>
      <c r="T113" s="62">
        <f t="shared" si="88"/>
        <v>330.26301310239984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151.75156848206561</v>
      </c>
      <c r="AA113" s="23">
        <f>EXP(-LN(2)/25)*AA112+(1-EXP(-LN(2)/25))/(LN(2)/25)*Calculateur!V113*Calculateur!X113*VLOOKUP('Données projet'!$B$9,Paramètres!$A$1:$I$89,3,0)*0.475*44/12</f>
        <v>19.312502965180691</v>
      </c>
      <c r="AB113" s="23">
        <f>EXP(-LN(2)/2)*AB112+(1-EXP(-LN(2)/2))/(LN(2)/2)*V113*Y113*VLOOKUP('Données projet'!$B$9,Paramètres!$A$1:$I$89,3,0)*0.475*44/12</f>
        <v>1.2641012653220466E-3</v>
      </c>
      <c r="AC113" s="24">
        <f t="shared" si="57"/>
        <v>171.06533554851163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1.1368683772161603E-12</v>
      </c>
      <c r="O114" s="14">
        <f>N114*VLOOKUP('Données projet'!$B$9,Paramètres!$A$1:$I$89,3,0)*VLOOKUP('Données projet'!$B$9,Paramètres!$A$1:$I$89,5,0)</f>
        <v>5.4683368944097316E-13</v>
      </c>
      <c r="P114" s="14">
        <f t="shared" si="87"/>
        <v>6.7409479707670667E-12</v>
      </c>
      <c r="Q114" s="22">
        <f t="shared" si="107"/>
        <v>1.2692886391529001E-11</v>
      </c>
      <c r="R114" s="62">
        <f t="shared" si="55"/>
        <v>293.33333333334599</v>
      </c>
      <c r="S114" s="62">
        <f ca="1">AVERAGE(OFFSET($R$3,0,0,'Données projet'!$E$9+1,1))-AVERAGE(OFFSET($H$3,0,0,'Données projet'!$E$9+1,1))</f>
        <v>417.73464038490249</v>
      </c>
      <c r="T114" s="62">
        <f t="shared" si="88"/>
        <v>330.26301310239984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148.7758127834496</v>
      </c>
      <c r="AA114" s="23">
        <f>EXP(-LN(2)/25)*AA113+(1-EXP(-LN(2)/25))/(LN(2)/25)*Calculateur!V114*Calculateur!X114*VLOOKUP('Données projet'!$B$9,Paramètres!$A$1:$I$89,3,0)*0.475*44/12</f>
        <v>18.784401555997434</v>
      </c>
      <c r="AB114" s="23">
        <f>EXP(-LN(2)/2)*AB113+(1-EXP(-LN(2)/2))/(LN(2)/2)*V114*Y114*VLOOKUP('Données projet'!$B$9,Paramètres!$A$1:$I$89,3,0)*0.475*44/12</f>
        <v>8.9385457681571425E-4</v>
      </c>
      <c r="AC114" s="24">
        <f t="shared" si="57"/>
        <v>167.56110819402386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1.1368683772161603E-12</v>
      </c>
      <c r="O115" s="14">
        <f>N115*VLOOKUP('Données projet'!$B$9,Paramètres!$A$1:$I$89,3,0)*VLOOKUP('Données projet'!$B$9,Paramètres!$A$1:$I$89,5,0)</f>
        <v>5.4683368944097316E-13</v>
      </c>
      <c r="P115" s="14">
        <f t="shared" si="87"/>
        <v>6.7409479707670667E-12</v>
      </c>
      <c r="Q115" s="22">
        <f t="shared" si="107"/>
        <v>1.2692886391529001E-11</v>
      </c>
      <c r="R115" s="62">
        <f t="shared" si="55"/>
        <v>293.33333333334599</v>
      </c>
      <c r="S115" s="62">
        <f ca="1">AVERAGE(OFFSET($R$3,0,0,'Données projet'!$E$9+1,1))-AVERAGE(OFFSET($H$3,0,0,'Données projet'!$E$9+1,1))</f>
        <v>417.73464038490249</v>
      </c>
      <c r="T115" s="62">
        <f t="shared" si="88"/>
        <v>330.26301310239984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145.85840983905169</v>
      </c>
      <c r="AA115" s="23">
        <f>EXP(-LN(2)/25)*AA114+(1-EXP(-LN(2)/25))/(LN(2)/25)*Calculateur!V115*Calculateur!X115*VLOOKUP('Données projet'!$B$9,Paramètres!$A$1:$I$89,3,0)*0.475*44/12</f>
        <v>18.270741107619937</v>
      </c>
      <c r="AB115" s="23">
        <f>EXP(-LN(2)/2)*AB114+(1-EXP(-LN(2)/2))/(LN(2)/2)*V115*Y115*VLOOKUP('Données projet'!$B$9,Paramètres!$A$1:$I$89,3,0)*0.475*44/12</f>
        <v>6.3205063266102328E-4</v>
      </c>
      <c r="AC115" s="24">
        <f t="shared" si="57"/>
        <v>164.12978299730429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1.1368683772161603E-12</v>
      </c>
      <c r="O116" s="14">
        <f>N116*VLOOKUP('Données projet'!$B$9,Paramètres!$A$1:$I$89,3,0)*VLOOKUP('Données projet'!$B$9,Paramètres!$A$1:$I$89,5,0)</f>
        <v>5.4683368944097316E-13</v>
      </c>
      <c r="P116" s="14">
        <f t="shared" si="87"/>
        <v>6.7409479707670667E-12</v>
      </c>
      <c r="Q116" s="22">
        <f t="shared" si="107"/>
        <v>1.2692886391529001E-11</v>
      </c>
      <c r="R116" s="62">
        <f t="shared" si="55"/>
        <v>293.33333333334599</v>
      </c>
      <c r="S116" s="62">
        <f ca="1">AVERAGE(OFFSET($R$3,0,0,'Données projet'!$E$9+1,1))-AVERAGE(OFFSET($H$3,0,0,'Données projet'!$E$9+1,1))</f>
        <v>417.73464038490249</v>
      </c>
      <c r="T116" s="62">
        <f t="shared" si="88"/>
        <v>330.26301310239984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142.99821538695335</v>
      </c>
      <c r="AA116" s="23">
        <f>EXP(-LN(2)/25)*AA115+(1-EXP(-LN(2)/25))/(LN(2)/25)*Calculateur!V116*Calculateur!X116*VLOOKUP('Données projet'!$B$9,Paramètres!$A$1:$I$89,3,0)*0.475*44/12</f>
        <v>17.771126731215553</v>
      </c>
      <c r="AB116" s="23">
        <f>EXP(-LN(2)/2)*AB115+(1-EXP(-LN(2)/2))/(LN(2)/2)*V116*Y116*VLOOKUP('Données projet'!$B$9,Paramètres!$A$1:$I$89,3,0)*0.475*44/12</f>
        <v>4.4692728840785712E-4</v>
      </c>
      <c r="AC116" s="24">
        <f t="shared" si="57"/>
        <v>160.76978904545732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1.1368683772161603E-12</v>
      </c>
      <c r="O117" s="14">
        <f>N117*VLOOKUP('Données projet'!$B$9,Paramètres!$A$1:$I$89,3,0)*VLOOKUP('Données projet'!$B$9,Paramètres!$A$1:$I$89,5,0)</f>
        <v>5.4683368944097316E-13</v>
      </c>
      <c r="P117" s="14">
        <f t="shared" si="87"/>
        <v>6.7409479707670667E-12</v>
      </c>
      <c r="Q117" s="22">
        <f t="shared" si="107"/>
        <v>1.2692886391529001E-11</v>
      </c>
      <c r="R117" s="62">
        <f t="shared" si="55"/>
        <v>293.33333333334599</v>
      </c>
      <c r="S117" s="62">
        <f ca="1">AVERAGE(OFFSET($R$3,0,0,'Données projet'!$E$9+1,1))-AVERAGE(OFFSET($H$3,0,0,'Données projet'!$E$9+1,1))</f>
        <v>417.73464038490249</v>
      </c>
      <c r="T117" s="62">
        <f t="shared" si="88"/>
        <v>330.26301310239984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140.19410760351428</v>
      </c>
      <c r="AA117" s="23">
        <f>EXP(-LN(2)/25)*AA116+(1-EXP(-LN(2)/25))/(LN(2)/25)*Calculateur!V117*Calculateur!X117*VLOOKUP('Données projet'!$B$9,Paramètres!$A$1:$I$89,3,0)*0.475*44/12</f>
        <v>17.285174336207525</v>
      </c>
      <c r="AB117" s="23">
        <f>EXP(-LN(2)/2)*AB116+(1-EXP(-LN(2)/2))/(LN(2)/2)*V117*Y117*VLOOKUP('Données projet'!$B$9,Paramètres!$A$1:$I$89,3,0)*0.475*44/12</f>
        <v>3.1602531633051164E-4</v>
      </c>
      <c r="AC117" s="24">
        <f t="shared" si="57"/>
        <v>157.47959796503812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1.1368683772161603E-12</v>
      </c>
      <c r="O118" s="14">
        <f>N118*VLOOKUP('Données projet'!$B$9,Paramètres!$A$1:$I$89,3,0)*VLOOKUP('Données projet'!$B$9,Paramètres!$A$1:$I$89,5,0)</f>
        <v>5.4683368944097316E-13</v>
      </c>
      <c r="P118" s="14">
        <f t="shared" si="87"/>
        <v>6.7409479707670667E-12</v>
      </c>
      <c r="Q118" s="22">
        <f t="shared" si="107"/>
        <v>1.2692886391529001E-11</v>
      </c>
      <c r="R118" s="62">
        <f t="shared" si="55"/>
        <v>293.33333333334599</v>
      </c>
      <c r="S118" s="62">
        <f ca="1">AVERAGE(OFFSET($R$3,0,0,'Données projet'!$E$9+1,1))-AVERAGE(OFFSET($H$3,0,0,'Données projet'!$E$9+1,1))</f>
        <v>417.73464038490249</v>
      </c>
      <c r="T118" s="62">
        <f t="shared" si="88"/>
        <v>330.26301310239984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137.44498666337159</v>
      </c>
      <c r="AA118" s="23">
        <f>EXP(-LN(2)/25)*AA117+(1-EXP(-LN(2)/25))/(LN(2)/25)*Calculateur!V118*Calculateur!X118*VLOOKUP('Données projet'!$B$9,Paramètres!$A$1:$I$89,3,0)*0.475*44/12</f>
        <v>16.812510334996119</v>
      </c>
      <c r="AB118" s="23">
        <f>EXP(-LN(2)/2)*AB117+(1-EXP(-LN(2)/2))/(LN(2)/2)*V118*Y118*VLOOKUP('Données projet'!$B$9,Paramètres!$A$1:$I$89,3,0)*0.475*44/12</f>
        <v>2.2346364420392856E-4</v>
      </c>
      <c r="AC118" s="24">
        <f t="shared" si="57"/>
        <v>154.25772046201192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1.1368683772161603E-12</v>
      </c>
      <c r="O119" s="14">
        <f>N119*VLOOKUP('Données projet'!$B$9,Paramètres!$A$1:$I$89,3,0)*VLOOKUP('Données projet'!$B$9,Paramètres!$A$1:$I$89,5,0)</f>
        <v>5.4683368944097316E-13</v>
      </c>
      <c r="P119" s="14">
        <f t="shared" si="87"/>
        <v>6.7409479707670667E-12</v>
      </c>
      <c r="Q119" s="22">
        <f t="shared" si="107"/>
        <v>1.2692886391529001E-11</v>
      </c>
      <c r="R119" s="62">
        <f t="shared" si="55"/>
        <v>293.33333333334599</v>
      </c>
      <c r="S119" s="62">
        <f ca="1">AVERAGE(OFFSET($R$3,0,0,'Données projet'!$E$9+1,1))-AVERAGE(OFFSET($H$3,0,0,'Données projet'!$E$9+1,1))</f>
        <v>417.73464038490249</v>
      </c>
      <c r="T119" s="62">
        <f t="shared" si="88"/>
        <v>330.26301310239984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134.74977430806692</v>
      </c>
      <c r="AA119" s="23">
        <f>EXP(-LN(2)/25)*AA118+(1-EXP(-LN(2)/25))/(LN(2)/25)*Calculateur!V119*Calculateur!X119*VLOOKUP('Données projet'!$B$9,Paramètres!$A$1:$I$89,3,0)*0.475*44/12</f>
        <v>16.352771355754157</v>
      </c>
      <c r="AB119" s="23">
        <f>EXP(-LN(2)/2)*AB118+(1-EXP(-LN(2)/2))/(LN(2)/2)*V119*Y119*VLOOKUP('Données projet'!$B$9,Paramètres!$A$1:$I$89,3,0)*0.475*44/12</f>
        <v>1.5801265816525582E-4</v>
      </c>
      <c r="AC119" s="24">
        <f t="shared" si="57"/>
        <v>151.10270367647925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1.1368683772161603E-12</v>
      </c>
      <c r="O120" s="14">
        <f>N120*VLOOKUP('Données projet'!$B$9,Paramètres!$A$1:$I$89,3,0)*VLOOKUP('Données projet'!$B$9,Paramètres!$A$1:$I$89,5,0)</f>
        <v>5.4683368944097316E-13</v>
      </c>
      <c r="P120" s="14">
        <f t="shared" si="87"/>
        <v>6.7409479707670667E-12</v>
      </c>
      <c r="Q120" s="22">
        <f t="shared" si="107"/>
        <v>1.2692886391529001E-11</v>
      </c>
      <c r="R120" s="62">
        <f t="shared" si="55"/>
        <v>293.33333333334599</v>
      </c>
      <c r="S120" s="62">
        <f ca="1">AVERAGE(OFFSET($R$3,0,0,'Données projet'!$E$9+1,1))-AVERAGE(OFFSET($H$3,0,0,'Données projet'!$E$9+1,1))</f>
        <v>417.73464038490249</v>
      </c>
      <c r="T120" s="62">
        <f t="shared" si="88"/>
        <v>330.26301310239984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132.10741342313253</v>
      </c>
      <c r="AA120" s="23">
        <f>EXP(-LN(2)/25)*AA119+(1-EXP(-LN(2)/25))/(LN(2)/25)*Calculateur!V120*Calculateur!X120*VLOOKUP('Données projet'!$B$9,Paramètres!$A$1:$I$89,3,0)*0.475*44/12</f>
        <v>15.905603963076189</v>
      </c>
      <c r="AB120" s="23">
        <f>EXP(-LN(2)/2)*AB119+(1-EXP(-LN(2)/2))/(LN(2)/2)*V120*Y120*VLOOKUP('Données projet'!$B$9,Paramètres!$A$1:$I$89,3,0)*0.475*44/12</f>
        <v>1.1173182210196428E-4</v>
      </c>
      <c r="AC120" s="24">
        <f t="shared" si="57"/>
        <v>148.01312911803083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1.1368683772161603E-12</v>
      </c>
      <c r="O121" s="14">
        <f>N121*VLOOKUP('Données projet'!$B$9,Paramètres!$A$1:$I$89,3,0)*VLOOKUP('Données projet'!$B$9,Paramètres!$A$1:$I$89,5,0)</f>
        <v>5.4683368944097316E-13</v>
      </c>
      <c r="P121" s="14">
        <f t="shared" si="87"/>
        <v>6.7409479707670667E-12</v>
      </c>
      <c r="Q121" s="22">
        <f t="shared" si="107"/>
        <v>1.2692886391529001E-11</v>
      </c>
      <c r="R121" s="62">
        <f t="shared" si="55"/>
        <v>293.33333333334599</v>
      </c>
      <c r="S121" s="62">
        <f ca="1">AVERAGE(OFFSET($R$3,0,0,'Données projet'!$E$9+1,1))-AVERAGE(OFFSET($H$3,0,0,'Données projet'!$E$9+1,1))</f>
        <v>417.73464038490249</v>
      </c>
      <c r="T121" s="62">
        <f t="shared" si="88"/>
        <v>330.26301310239984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129.51686762347072</v>
      </c>
      <c r="AA121" s="23">
        <f>EXP(-LN(2)/25)*AA120+(1-EXP(-LN(2)/25))/(LN(2)/25)*Calculateur!V121*Calculateur!X121*VLOOKUP('Données projet'!$B$9,Paramètres!$A$1:$I$89,3,0)*0.475*44/12</f>
        <v>15.470664386266511</v>
      </c>
      <c r="AB121" s="23">
        <f>EXP(-LN(2)/2)*AB120+(1-EXP(-LN(2)/2))/(LN(2)/2)*V121*Y121*VLOOKUP('Données projet'!$B$9,Paramètres!$A$1:$I$89,3,0)*0.475*44/12</f>
        <v>7.900632908262791E-5</v>
      </c>
      <c r="AC121" s="24">
        <f t="shared" si="57"/>
        <v>144.98761101606632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1.1368683772161603E-12</v>
      </c>
      <c r="O122" s="14">
        <f>N122*VLOOKUP('Données projet'!$B$9,Paramètres!$A$1:$I$89,3,0)*VLOOKUP('Données projet'!$B$9,Paramètres!$A$1:$I$89,5,0)</f>
        <v>5.4683368944097316E-13</v>
      </c>
      <c r="P122" s="14">
        <f t="shared" si="87"/>
        <v>6.7409479707670667E-12</v>
      </c>
      <c r="Q122" s="22">
        <f t="shared" si="107"/>
        <v>1.2692886391529001E-11</v>
      </c>
      <c r="R122" s="62">
        <f t="shared" si="55"/>
        <v>293.33333333334599</v>
      </c>
      <c r="S122" s="62">
        <f ca="1">AVERAGE(OFFSET($R$3,0,0,'Données projet'!$E$9+1,1))-AVERAGE(OFFSET($H$3,0,0,'Données projet'!$E$9+1,1))</f>
        <v>417.73464038490249</v>
      </c>
      <c r="T122" s="62">
        <f t="shared" si="88"/>
        <v>330.26301310239984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126.97712084686336</v>
      </c>
      <c r="AA122" s="23">
        <f>EXP(-LN(2)/25)*AA121+(1-EXP(-LN(2)/25))/(LN(2)/25)*Calculateur!V122*Calculateur!X122*VLOOKUP('Données projet'!$B$9,Paramètres!$A$1:$I$89,3,0)*0.475*44/12</f>
        <v>15.047618255057172</v>
      </c>
      <c r="AB122" s="23">
        <f>EXP(-LN(2)/2)*AB121+(1-EXP(-LN(2)/2))/(LN(2)/2)*V122*Y122*VLOOKUP('Données projet'!$B$9,Paramètres!$A$1:$I$89,3,0)*0.475*44/12</f>
        <v>5.5865911050982141E-5</v>
      </c>
      <c r="AC122" s="24">
        <f t="shared" si="57"/>
        <v>142.02479496783155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1.1368683772161603E-12</v>
      </c>
      <c r="O123" s="14">
        <f>N123*VLOOKUP('Données projet'!$B$9,Paramètres!$A$1:$I$89,3,0)*VLOOKUP('Données projet'!$B$9,Paramètres!$A$1:$I$89,5,0)</f>
        <v>5.4683368944097316E-13</v>
      </c>
      <c r="P123" s="14">
        <f t="shared" si="87"/>
        <v>6.7409479707670667E-12</v>
      </c>
      <c r="Q123" s="22">
        <f t="shared" si="107"/>
        <v>1.2692886391529001E-11</v>
      </c>
      <c r="R123" s="62">
        <f t="shared" si="55"/>
        <v>293.33333333334599</v>
      </c>
      <c r="S123" s="62">
        <f ca="1">AVERAGE(OFFSET($R$3,0,0,'Données projet'!$E$9+1,1))-AVERAGE(OFFSET($H$3,0,0,'Données projet'!$E$9+1,1))</f>
        <v>417.73464038490249</v>
      </c>
      <c r="T123" s="62">
        <f t="shared" si="88"/>
        <v>330.26301310239984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124.4871769554527</v>
      </c>
      <c r="AA123" s="23">
        <f>EXP(-LN(2)/25)*AA122+(1-EXP(-LN(2)/25))/(LN(2)/25)*Calculateur!V123*Calculateur!X123*VLOOKUP('Données projet'!$B$9,Paramètres!$A$1:$I$89,3,0)*0.475*44/12</f>
        <v>14.636140342552782</v>
      </c>
      <c r="AB123" s="23">
        <f>EXP(-LN(2)/2)*AB122+(1-EXP(-LN(2)/2))/(LN(2)/2)*V123*Y123*VLOOKUP('Données projet'!$B$9,Paramètres!$A$1:$I$89,3,0)*0.475*44/12</f>
        <v>3.9503164541313955E-5</v>
      </c>
      <c r="AC123" s="24">
        <f t="shared" si="57"/>
        <v>139.12335680117002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1.1368683772161603E-12</v>
      </c>
      <c r="O124" s="14">
        <f>N124*VLOOKUP('Données projet'!$B$9,Paramètres!$A$1:$I$89,3,0)*VLOOKUP('Données projet'!$B$9,Paramètres!$A$1:$I$89,5,0)</f>
        <v>5.4683368944097316E-13</v>
      </c>
      <c r="P124" s="14">
        <f t="shared" si="87"/>
        <v>6.7409479707670667E-12</v>
      </c>
      <c r="Q124" s="22">
        <f t="shared" si="107"/>
        <v>1.2692886391529001E-11</v>
      </c>
      <c r="R124" s="62">
        <f t="shared" si="55"/>
        <v>293.33333333334599</v>
      </c>
      <c r="S124" s="62">
        <f ca="1">AVERAGE(OFFSET($R$3,0,0,'Données projet'!$E$9+1,1))-AVERAGE(OFFSET($H$3,0,0,'Données projet'!$E$9+1,1))</f>
        <v>417.73464038490249</v>
      </c>
      <c r="T124" s="62">
        <f t="shared" si="88"/>
        <v>330.26301310239984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122.04605934503678</v>
      </c>
      <c r="AA124" s="23">
        <f>EXP(-LN(2)/25)*AA123+(1-EXP(-LN(2)/25))/(LN(2)/25)*Calculateur!V124*Calculateur!X124*VLOOKUP('Données projet'!$B$9,Paramètres!$A$1:$I$89,3,0)*0.475*44/12</f>
        <v>14.235914315204507</v>
      </c>
      <c r="AB124" s="23">
        <f>EXP(-LN(2)/2)*AB123+(1-EXP(-LN(2)/2))/(LN(2)/2)*V124*Y124*VLOOKUP('Données projet'!$B$9,Paramètres!$A$1:$I$89,3,0)*0.475*44/12</f>
        <v>2.793295552549107E-5</v>
      </c>
      <c r="AC124" s="24">
        <f t="shared" si="57"/>
        <v>136.28200159319681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1.1368683772161603E-12</v>
      </c>
      <c r="O125" s="14">
        <f>N125*VLOOKUP('Données projet'!$B$9,Paramètres!$A$1:$I$89,3,0)*VLOOKUP('Données projet'!$B$9,Paramètres!$A$1:$I$89,5,0)</f>
        <v>5.4683368944097316E-13</v>
      </c>
      <c r="P125" s="14">
        <f t="shared" si="87"/>
        <v>6.7409479707670667E-12</v>
      </c>
      <c r="Q125" s="22">
        <f t="shared" si="107"/>
        <v>1.2692886391529001E-11</v>
      </c>
      <c r="R125" s="62">
        <f t="shared" si="55"/>
        <v>293.33333333334599</v>
      </c>
      <c r="S125" s="62">
        <f ca="1">AVERAGE(OFFSET($R$3,0,0,'Données projet'!$E$9+1,1))-AVERAGE(OFFSET($H$3,0,0,'Données projet'!$E$9+1,1))</f>
        <v>417.73464038490249</v>
      </c>
      <c r="T125" s="62">
        <f t="shared" si="88"/>
        <v>330.26301310239984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119.6528105620264</v>
      </c>
      <c r="AA125" s="23">
        <f>EXP(-LN(2)/25)*AA124+(1-EXP(-LN(2)/25))/(LN(2)/25)*Calculateur!V125*Calculateur!X125*VLOOKUP('Données projet'!$B$9,Paramètres!$A$1:$I$89,3,0)*0.475*44/12</f>
        <v>13.846632489621042</v>
      </c>
      <c r="AB125" s="23">
        <f>EXP(-LN(2)/2)*AB124+(1-EXP(-LN(2)/2))/(LN(2)/2)*V125*Y125*VLOOKUP('Données projet'!$B$9,Paramètres!$A$1:$I$89,3,0)*0.475*44/12</f>
        <v>1.9751582270656978E-5</v>
      </c>
      <c r="AC125" s="24">
        <f t="shared" si="57"/>
        <v>133.4994628032297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1.1368683772161603E-12</v>
      </c>
      <c r="O126" s="14">
        <f>N126*VLOOKUP('Données projet'!$B$9,Paramètres!$A$1:$I$89,3,0)*VLOOKUP('Données projet'!$B$9,Paramètres!$A$1:$I$89,5,0)</f>
        <v>5.4683368944097316E-13</v>
      </c>
      <c r="P126" s="14">
        <f t="shared" si="87"/>
        <v>6.7409479707670667E-12</v>
      </c>
      <c r="Q126" s="22">
        <f t="shared" si="107"/>
        <v>1.2692886391529001E-11</v>
      </c>
      <c r="R126" s="62">
        <f t="shared" si="55"/>
        <v>293.33333333334599</v>
      </c>
      <c r="S126" s="62">
        <f ca="1">AVERAGE(OFFSET($R$3,0,0,'Données projet'!$E$9+1,1))-AVERAGE(OFFSET($H$3,0,0,'Données projet'!$E$9+1,1))</f>
        <v>417.73464038490249</v>
      </c>
      <c r="T126" s="62">
        <f t="shared" si="88"/>
        <v>330.26301310239984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117.30649192791323</v>
      </c>
      <c r="AA126" s="23">
        <f>EXP(-LN(2)/25)*AA125+(1-EXP(-LN(2)/25))/(LN(2)/25)*Calculateur!V126*Calculateur!X126*VLOOKUP('Données projet'!$B$9,Paramètres!$A$1:$I$89,3,0)*0.475*44/12</f>
        <v>13.467995596029599</v>
      </c>
      <c r="AB126" s="23">
        <f>EXP(-LN(2)/2)*AB125+(1-EXP(-LN(2)/2))/(LN(2)/2)*V126*Y126*VLOOKUP('Données projet'!$B$9,Paramètres!$A$1:$I$89,3,0)*0.475*44/12</f>
        <v>1.3966477762745535E-5</v>
      </c>
      <c r="AC126" s="24">
        <f t="shared" si="57"/>
        <v>130.77450149042059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1.1368683772161603E-12</v>
      </c>
      <c r="O127" s="14">
        <f>N127*VLOOKUP('Données projet'!$B$9,Paramètres!$A$1:$I$89,3,0)*VLOOKUP('Données projet'!$B$9,Paramètres!$A$1:$I$89,5,0)</f>
        <v>5.4683368944097316E-13</v>
      </c>
      <c r="P127" s="14">
        <f t="shared" si="87"/>
        <v>6.7409479707670667E-12</v>
      </c>
      <c r="Q127" s="22">
        <f t="shared" si="107"/>
        <v>1.2692886391529001E-11</v>
      </c>
      <c r="R127" s="62">
        <f t="shared" si="55"/>
        <v>293.33333333334599</v>
      </c>
      <c r="S127" s="62">
        <f ca="1">AVERAGE(OFFSET($R$3,0,0,'Données projet'!$E$9+1,1))-AVERAGE(OFFSET($H$3,0,0,'Données projet'!$E$9+1,1))</f>
        <v>417.73464038490249</v>
      </c>
      <c r="T127" s="62">
        <f t="shared" si="88"/>
        <v>330.26301310239984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115.00618317110197</v>
      </c>
      <c r="AA127" s="23">
        <f>EXP(-LN(2)/25)*AA126+(1-EXP(-LN(2)/25))/(LN(2)/25)*Calculateur!V127*Calculateur!X127*VLOOKUP('Données projet'!$B$9,Paramètres!$A$1:$I$89,3,0)*0.475*44/12</f>
        <v>13.099712548205062</v>
      </c>
      <c r="AB127" s="23">
        <f>EXP(-LN(2)/2)*AB126+(1-EXP(-LN(2)/2))/(LN(2)/2)*V127*Y127*VLOOKUP('Données projet'!$B$9,Paramètres!$A$1:$I$89,3,0)*0.475*44/12</f>
        <v>9.8757911353284888E-6</v>
      </c>
      <c r="AC127" s="24">
        <f t="shared" si="57"/>
        <v>128.10590559509816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1.1368683772161603E-12</v>
      </c>
      <c r="O128" s="14">
        <f>N128*VLOOKUP('Données projet'!$B$9,Paramètres!$A$1:$I$89,3,0)*VLOOKUP('Données projet'!$B$9,Paramètres!$A$1:$I$89,5,0)</f>
        <v>5.4683368944097316E-13</v>
      </c>
      <c r="P128" s="14">
        <f t="shared" si="87"/>
        <v>6.7409479707670667E-12</v>
      </c>
      <c r="Q128" s="22">
        <f t="shared" si="107"/>
        <v>1.2692886391529001E-11</v>
      </c>
      <c r="R128" s="62">
        <f t="shared" si="55"/>
        <v>293.33333333334599</v>
      </c>
      <c r="S128" s="62">
        <f ca="1">AVERAGE(OFFSET($R$3,0,0,'Données projet'!$E$9+1,1))-AVERAGE(OFFSET($H$3,0,0,'Données projet'!$E$9+1,1))</f>
        <v>417.73464038490249</v>
      </c>
      <c r="T128" s="62">
        <f t="shared" si="88"/>
        <v>330.26301310239984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112.75098206596196</v>
      </c>
      <c r="AA128" s="23">
        <f>EXP(-LN(2)/25)*AA127+(1-EXP(-LN(2)/25))/(LN(2)/25)*Calculateur!V128*Calculateur!X128*VLOOKUP('Données projet'!$B$9,Paramètres!$A$1:$I$89,3,0)*0.475*44/12</f>
        <v>12.741500219690451</v>
      </c>
      <c r="AB128" s="23">
        <f>EXP(-LN(2)/2)*AB127+(1-EXP(-LN(2)/2))/(LN(2)/2)*V128*Y128*VLOOKUP('Données projet'!$B$9,Paramètres!$A$1:$I$89,3,0)*0.475*44/12</f>
        <v>6.9832388813727676E-6</v>
      </c>
      <c r="AC128" s="24">
        <f t="shared" si="57"/>
        <v>125.49248926889129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1.1368683772161603E-12</v>
      </c>
      <c r="O129" s="14">
        <f>N129*VLOOKUP('Données projet'!$B$9,Paramètres!$A$1:$I$89,3,0)*VLOOKUP('Données projet'!$B$9,Paramètres!$A$1:$I$89,5,0)</f>
        <v>5.4683368944097316E-13</v>
      </c>
      <c r="P129" s="14">
        <f t="shared" si="87"/>
        <v>6.7409479707670667E-12</v>
      </c>
      <c r="Q129" s="22">
        <f t="shared" si="107"/>
        <v>1.2692886391529001E-11</v>
      </c>
      <c r="R129" s="62">
        <f t="shared" si="55"/>
        <v>293.33333333334599</v>
      </c>
      <c r="S129" s="62">
        <f ca="1">AVERAGE(OFFSET($R$3,0,0,'Données projet'!$E$9+1,1))-AVERAGE(OFFSET($H$3,0,0,'Données projet'!$E$9+1,1))</f>
        <v>417.73464038490249</v>
      </c>
      <c r="T129" s="62">
        <f t="shared" si="88"/>
        <v>330.26301310239984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110.54000407895691</v>
      </c>
      <c r="AA129" s="23">
        <f>EXP(-LN(2)/25)*AA128+(1-EXP(-LN(2)/25))/(LN(2)/25)*Calculateur!V129*Calculateur!X129*VLOOKUP('Données projet'!$B$9,Paramètres!$A$1:$I$89,3,0)*0.475*44/12</f>
        <v>12.393083226136641</v>
      </c>
      <c r="AB129" s="23">
        <f>EXP(-LN(2)/2)*AB128+(1-EXP(-LN(2)/2))/(LN(2)/2)*V129*Y129*VLOOKUP('Données projet'!$B$9,Paramètres!$A$1:$I$89,3,0)*0.475*44/12</f>
        <v>4.9378955676642444E-6</v>
      </c>
      <c r="AC129" s="24">
        <f t="shared" si="57"/>
        <v>122.93309224298912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1.1368683772161603E-12</v>
      </c>
      <c r="O130" s="14">
        <f>N130*VLOOKUP('Données projet'!$B$9,Paramètres!$A$1:$I$89,3,0)*VLOOKUP('Données projet'!$B$9,Paramètres!$A$1:$I$89,5,0)</f>
        <v>5.4683368944097316E-13</v>
      </c>
      <c r="P130" s="14">
        <f t="shared" si="87"/>
        <v>6.7409479707670667E-12</v>
      </c>
      <c r="Q130" s="22">
        <f t="shared" si="107"/>
        <v>1.2692886391529001E-11</v>
      </c>
      <c r="R130" s="62">
        <f t="shared" si="55"/>
        <v>293.33333333334599</v>
      </c>
      <c r="S130" s="62">
        <f ca="1">AVERAGE(OFFSET($R$3,0,0,'Données projet'!$E$9+1,1))-AVERAGE(OFFSET($H$3,0,0,'Données projet'!$E$9+1,1))</f>
        <v>417.73464038490249</v>
      </c>
      <c r="T130" s="62">
        <f t="shared" si="88"/>
        <v>330.26301310239984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108.37238202171361</v>
      </c>
      <c r="AA130" s="23">
        <f>EXP(-LN(2)/25)*AA129+(1-EXP(-LN(2)/25))/(LN(2)/25)*Calculateur!V130*Calculateur!X130*VLOOKUP('Données projet'!$B$9,Paramètres!$A$1:$I$89,3,0)*0.475*44/12</f>
        <v>12.054193713594012</v>
      </c>
      <c r="AB130" s="23">
        <f>EXP(-LN(2)/2)*AB129+(1-EXP(-LN(2)/2))/(LN(2)/2)*V130*Y130*VLOOKUP('Données projet'!$B$9,Paramètres!$A$1:$I$89,3,0)*0.475*44/12</f>
        <v>3.4916194406863838E-6</v>
      </c>
      <c r="AC130" s="24">
        <f t="shared" si="57"/>
        <v>120.42657922692706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1.1368683772161603E-12</v>
      </c>
      <c r="O131" s="14">
        <f>N131*VLOOKUP('Données projet'!$B$9,Paramètres!$A$1:$I$89,3,0)*VLOOKUP('Données projet'!$B$9,Paramètres!$A$1:$I$89,5,0)</f>
        <v>5.4683368944097316E-13</v>
      </c>
      <c r="P131" s="14">
        <f t="shared" si="87"/>
        <v>6.7409479707670667E-12</v>
      </c>
      <c r="Q131" s="22">
        <f t="shared" ref="Q131:Q153" si="108">(O131+P131)*0.475*44/12</f>
        <v>1.2692886391529001E-11</v>
      </c>
      <c r="R131" s="62">
        <f t="shared" ref="R131:R194" si="109">Q131+(I131+J131)*44/12</f>
        <v>293.33333333334599</v>
      </c>
      <c r="S131" s="62">
        <f ca="1">AVERAGE(OFFSET($R$3,0,0,'Données projet'!$E$9+1,1))-AVERAGE(OFFSET($H$3,0,0,'Données projet'!$E$9+1,1))</f>
        <v>417.73464038490249</v>
      </c>
      <c r="T131" s="62">
        <f t="shared" si="88"/>
        <v>330.26301310239984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106.24726571089394</v>
      </c>
      <c r="AA131" s="23">
        <f>EXP(-LN(2)/25)*AA130+(1-EXP(-LN(2)/25))/(LN(2)/25)*Calculateur!V131*Calculateur!X131*VLOOKUP('Données projet'!$B$9,Paramètres!$A$1:$I$89,3,0)*0.475*44/12</f>
        <v>11.724571152593287</v>
      </c>
      <c r="AB131" s="23">
        <f>EXP(-LN(2)/2)*AB130+(1-EXP(-LN(2)/2))/(LN(2)/2)*V131*Y131*VLOOKUP('Données projet'!$B$9,Paramètres!$A$1:$I$89,3,0)*0.475*44/12</f>
        <v>2.4689477838321222E-6</v>
      </c>
      <c r="AC131" s="24">
        <f t="shared" si="57"/>
        <v>117.97183933243501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1.1368683772161603E-12</v>
      </c>
      <c r="O132" s="14">
        <f>N132*VLOOKUP('Données projet'!$B$9,Paramètres!$A$1:$I$89,3,0)*VLOOKUP('Données projet'!$B$9,Paramètres!$A$1:$I$89,5,0)</f>
        <v>5.4683368944097316E-13</v>
      </c>
      <c r="P132" s="14">
        <f t="shared" si="87"/>
        <v>6.7409479707670667E-12</v>
      </c>
      <c r="Q132" s="22">
        <f t="shared" si="108"/>
        <v>1.2692886391529001E-11</v>
      </c>
      <c r="R132" s="62">
        <f t="shared" si="109"/>
        <v>293.33333333334599</v>
      </c>
      <c r="S132" s="62">
        <f ca="1">AVERAGE(OFFSET($R$3,0,0,'Données projet'!$E$9+1,1))-AVERAGE(OFFSET($H$3,0,0,'Données projet'!$E$9+1,1))</f>
        <v>417.73464038490249</v>
      </c>
      <c r="T132" s="62">
        <f t="shared" si="88"/>
        <v>330.26301310239984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104.16382163473649</v>
      </c>
      <c r="AA132" s="23">
        <f>EXP(-LN(2)/25)*AA131+(1-EXP(-LN(2)/25))/(LN(2)/25)*Calculateur!V132*Calculateur!X132*VLOOKUP('Données projet'!$B$9,Paramètres!$A$1:$I$89,3,0)*0.475*44/12</f>
        <v>11.403962137857222</v>
      </c>
      <c r="AB132" s="23">
        <f>EXP(-LN(2)/2)*AB131+(1-EXP(-LN(2)/2))/(LN(2)/2)*V132*Y132*VLOOKUP('Données projet'!$B$9,Paramètres!$A$1:$I$89,3,0)*0.475*44/12</f>
        <v>1.7458097203431919E-6</v>
      </c>
      <c r="AC132" s="24">
        <f t="shared" ref="AC132:AC153" si="111">SUM(Z132:AB132)</f>
        <v>115.56778551840344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1.1368683772161603E-12</v>
      </c>
      <c r="O133" s="14">
        <f>N133*VLOOKUP('Données projet'!$B$9,Paramètres!$A$1:$I$89,3,0)*VLOOKUP('Données projet'!$B$9,Paramètres!$A$1:$I$89,5,0)</f>
        <v>5.4683368944097316E-13</v>
      </c>
      <c r="P133" s="14">
        <f t="shared" ref="P133:P196" si="141">EXP(-1.0587+0.8836*LN(O133)+0.284)</f>
        <v>6.7409479707670667E-12</v>
      </c>
      <c r="Q133" s="22">
        <f t="shared" si="108"/>
        <v>1.2692886391529001E-11</v>
      </c>
      <c r="R133" s="62">
        <f t="shared" si="109"/>
        <v>293.33333333334599</v>
      </c>
      <c r="S133" s="62">
        <f ca="1">AVERAGE(OFFSET($R$3,0,0,'Données projet'!$E$9+1,1))-AVERAGE(OFFSET($H$3,0,0,'Données projet'!$E$9+1,1))</f>
        <v>417.73464038490249</v>
      </c>
      <c r="T133" s="62">
        <f t="shared" ref="T133:T196" si="142">$T$3</f>
        <v>330.26301310239984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102.12123262613709</v>
      </c>
      <c r="AA133" s="23">
        <f>EXP(-LN(2)/25)*AA132+(1-EXP(-LN(2)/25))/(LN(2)/25)*Calculateur!V133*Calculateur!X133*VLOOKUP('Données projet'!$B$9,Paramètres!$A$1:$I$89,3,0)*0.475*44/12</f>
        <v>11.092120193489212</v>
      </c>
      <c r="AB133" s="23">
        <f>EXP(-LN(2)/2)*AB132+(1-EXP(-LN(2)/2))/(LN(2)/2)*V133*Y133*VLOOKUP('Données projet'!$B$9,Paramètres!$A$1:$I$89,3,0)*0.475*44/12</f>
        <v>1.2344738919160611E-6</v>
      </c>
      <c r="AC133" s="24">
        <f t="shared" si="111"/>
        <v>113.21335405410018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1.1368683772161603E-12</v>
      </c>
      <c r="O134" s="14">
        <f>N134*VLOOKUP('Données projet'!$B$9,Paramètres!$A$1:$I$89,3,0)*VLOOKUP('Données projet'!$B$9,Paramètres!$A$1:$I$89,5,0)</f>
        <v>5.4683368944097316E-13</v>
      </c>
      <c r="P134" s="14">
        <f t="shared" si="141"/>
        <v>6.7409479707670667E-12</v>
      </c>
      <c r="Q134" s="22">
        <f t="shared" si="108"/>
        <v>1.2692886391529001E-11</v>
      </c>
      <c r="R134" s="62">
        <f t="shared" si="109"/>
        <v>293.33333333334599</v>
      </c>
      <c r="S134" s="62">
        <f ca="1">AVERAGE(OFFSET($R$3,0,0,'Données projet'!$E$9+1,1))-AVERAGE(OFFSET($H$3,0,0,'Données projet'!$E$9+1,1))</f>
        <v>417.73464038490249</v>
      </c>
      <c r="T134" s="62">
        <f t="shared" si="142"/>
        <v>330.26301310239984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100.11869754214003</v>
      </c>
      <c r="AA134" s="23">
        <f>EXP(-LN(2)/25)*AA133+(1-EXP(-LN(2)/25))/(LN(2)/25)*Calculateur!V134*Calculateur!X134*VLOOKUP('Données projet'!$B$9,Paramètres!$A$1:$I$89,3,0)*0.475*44/12</f>
        <v>10.788805583488999</v>
      </c>
      <c r="AB134" s="23">
        <f>EXP(-LN(2)/2)*AB133+(1-EXP(-LN(2)/2))/(LN(2)/2)*V134*Y134*VLOOKUP('Données projet'!$B$9,Paramètres!$A$1:$I$89,3,0)*0.475*44/12</f>
        <v>8.7290486017159595E-7</v>
      </c>
      <c r="AC134" s="24">
        <f t="shared" si="111"/>
        <v>110.90750399853388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1.1368683772161603E-12</v>
      </c>
      <c r="O135" s="14">
        <f>N135*VLOOKUP('Données projet'!$B$9,Paramètres!$A$1:$I$89,3,0)*VLOOKUP('Données projet'!$B$9,Paramètres!$A$1:$I$89,5,0)</f>
        <v>5.4683368944097316E-13</v>
      </c>
      <c r="P135" s="14">
        <f t="shared" si="141"/>
        <v>6.7409479707670667E-12</v>
      </c>
      <c r="Q135" s="22">
        <f t="shared" si="108"/>
        <v>1.2692886391529001E-11</v>
      </c>
      <c r="R135" s="62">
        <f t="shared" si="109"/>
        <v>293.33333333334599</v>
      </c>
      <c r="S135" s="62">
        <f ca="1">AVERAGE(OFFSET($R$3,0,0,'Données projet'!$E$9+1,1))-AVERAGE(OFFSET($H$3,0,0,'Données projet'!$E$9+1,1))</f>
        <v>417.73464038490249</v>
      </c>
      <c r="T135" s="62">
        <f t="shared" si="142"/>
        <v>330.26301310239984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98.155430949714358</v>
      </c>
      <c r="AA135" s="23">
        <f>EXP(-LN(2)/25)*AA134+(1-EXP(-LN(2)/25))/(LN(2)/25)*Calculateur!V135*Calculateur!X135*VLOOKUP('Données projet'!$B$9,Paramètres!$A$1:$I$89,3,0)*0.475*44/12</f>
        <v>10.493785127449865</v>
      </c>
      <c r="AB135" s="23">
        <f>EXP(-LN(2)/2)*AB134+(1-EXP(-LN(2)/2))/(LN(2)/2)*V135*Y135*VLOOKUP('Données projet'!$B$9,Paramètres!$A$1:$I$89,3,0)*0.475*44/12</f>
        <v>6.1723694595803055E-7</v>
      </c>
      <c r="AC135" s="24">
        <f t="shared" si="111"/>
        <v>108.64921669440118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1.1368683772161603E-12</v>
      </c>
      <c r="O136" s="14">
        <f>N136*VLOOKUP('Données projet'!$B$9,Paramètres!$A$1:$I$89,3,0)*VLOOKUP('Données projet'!$B$9,Paramètres!$A$1:$I$89,5,0)</f>
        <v>5.4683368944097316E-13</v>
      </c>
      <c r="P136" s="14">
        <f t="shared" si="141"/>
        <v>6.7409479707670667E-12</v>
      </c>
      <c r="Q136" s="22">
        <f t="shared" si="108"/>
        <v>1.2692886391529001E-11</v>
      </c>
      <c r="R136" s="62">
        <f t="shared" si="109"/>
        <v>293.33333333334599</v>
      </c>
      <c r="S136" s="62">
        <f ca="1">AVERAGE(OFFSET($R$3,0,0,'Données projet'!$E$9+1,1))-AVERAGE(OFFSET($H$3,0,0,'Données projet'!$E$9+1,1))</f>
        <v>417.73464038490249</v>
      </c>
      <c r="T136" s="62">
        <f t="shared" si="142"/>
        <v>330.26301310239984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96.23066281769178</v>
      </c>
      <c r="AA136" s="23">
        <f>EXP(-LN(2)/25)*AA135+(1-EXP(-LN(2)/25))/(LN(2)/25)*Calculateur!V136*Calculateur!X136*VLOOKUP('Données projet'!$B$9,Paramètres!$A$1:$I$89,3,0)*0.475*44/12</f>
        <v>10.206832021295572</v>
      </c>
      <c r="AB136" s="23">
        <f>EXP(-LN(2)/2)*AB135+(1-EXP(-LN(2)/2))/(LN(2)/2)*V136*Y136*VLOOKUP('Données projet'!$B$9,Paramètres!$A$1:$I$89,3,0)*0.475*44/12</f>
        <v>4.3645243008579797E-7</v>
      </c>
      <c r="AC136" s="24">
        <f t="shared" si="111"/>
        <v>106.43749527543977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1.1368683772161603E-12</v>
      </c>
      <c r="O137" s="14">
        <f>N137*VLOOKUP('Données projet'!$B$9,Paramètres!$A$1:$I$89,3,0)*VLOOKUP('Données projet'!$B$9,Paramètres!$A$1:$I$89,5,0)</f>
        <v>5.4683368944097316E-13</v>
      </c>
      <c r="P137" s="14">
        <f t="shared" si="141"/>
        <v>6.7409479707670667E-12</v>
      </c>
      <c r="Q137" s="22">
        <f t="shared" si="108"/>
        <v>1.2692886391529001E-11</v>
      </c>
      <c r="R137" s="62">
        <f t="shared" si="109"/>
        <v>293.33333333334599</v>
      </c>
      <c r="S137" s="62">
        <f ca="1">AVERAGE(OFFSET($R$3,0,0,'Données projet'!$E$9+1,1))-AVERAGE(OFFSET($H$3,0,0,'Données projet'!$E$9+1,1))</f>
        <v>417.73464038490249</v>
      </c>
      <c r="T137" s="62">
        <f t="shared" si="142"/>
        <v>330.26301310239984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94.343638214745525</v>
      </c>
      <c r="AA137" s="23">
        <f>EXP(-LN(2)/25)*AA136+(1-EXP(-LN(2)/25))/(LN(2)/25)*Calculateur!V137*Calculateur!X137*VLOOKUP('Données projet'!$B$9,Paramètres!$A$1:$I$89,3,0)*0.475*44/12</f>
        <v>9.9277256629192774</v>
      </c>
      <c r="AB137" s="23">
        <f>EXP(-LN(2)/2)*AB136+(1-EXP(-LN(2)/2))/(LN(2)/2)*V137*Y137*VLOOKUP('Données projet'!$B$9,Paramètres!$A$1:$I$89,3,0)*0.475*44/12</f>
        <v>3.0861847297901527E-7</v>
      </c>
      <c r="AC137" s="24">
        <f t="shared" si="111"/>
        <v>104.27136418628326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1.1368683772161603E-12</v>
      </c>
      <c r="O138" s="14">
        <f>N138*VLOOKUP('Données projet'!$B$9,Paramètres!$A$1:$I$89,3,0)*VLOOKUP('Données projet'!$B$9,Paramètres!$A$1:$I$89,5,0)</f>
        <v>5.4683368944097316E-13</v>
      </c>
      <c r="P138" s="14">
        <f t="shared" si="141"/>
        <v>6.7409479707670667E-12</v>
      </c>
      <c r="Q138" s="22">
        <f t="shared" si="108"/>
        <v>1.2692886391529001E-11</v>
      </c>
      <c r="R138" s="62">
        <f t="shared" si="109"/>
        <v>293.33333333334599</v>
      </c>
      <c r="S138" s="62">
        <f ca="1">AVERAGE(OFFSET($R$3,0,0,'Données projet'!$E$9+1,1))-AVERAGE(OFFSET($H$3,0,0,'Données projet'!$E$9+1,1))</f>
        <v>417.73464038490249</v>
      </c>
      <c r="T138" s="62">
        <f t="shared" si="142"/>
        <v>330.26301310239984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92.493617013291683</v>
      </c>
      <c r="AA138" s="23">
        <f>EXP(-LN(2)/25)*AA137+(1-EXP(-LN(2)/25))/(LN(2)/25)*Calculateur!V138*Calculateur!X138*VLOOKUP('Données projet'!$B$9,Paramètres!$A$1:$I$89,3,0)*0.475*44/12</f>
        <v>9.6562514825903474</v>
      </c>
      <c r="AB138" s="23">
        <f>EXP(-LN(2)/2)*AB137+(1-EXP(-LN(2)/2))/(LN(2)/2)*V138*Y138*VLOOKUP('Données projet'!$B$9,Paramètres!$A$1:$I$89,3,0)*0.475*44/12</f>
        <v>2.1822621504289899E-7</v>
      </c>
      <c r="AC138" s="24">
        <f t="shared" si="111"/>
        <v>102.14986871410825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1.1368683772161603E-12</v>
      </c>
      <c r="O139" s="14">
        <f>N139*VLOOKUP('Données projet'!$B$9,Paramètres!$A$1:$I$89,3,0)*VLOOKUP('Données projet'!$B$9,Paramètres!$A$1:$I$89,5,0)</f>
        <v>5.4683368944097316E-13</v>
      </c>
      <c r="P139" s="14">
        <f t="shared" si="141"/>
        <v>6.7409479707670667E-12</v>
      </c>
      <c r="Q139" s="22">
        <f t="shared" si="108"/>
        <v>1.2692886391529001E-11</v>
      </c>
      <c r="R139" s="62">
        <f t="shared" si="109"/>
        <v>293.33333333334599</v>
      </c>
      <c r="S139" s="62">
        <f ca="1">AVERAGE(OFFSET($R$3,0,0,'Données projet'!$E$9+1,1))-AVERAGE(OFFSET($H$3,0,0,'Données projet'!$E$9+1,1))</f>
        <v>417.73464038490249</v>
      </c>
      <c r="T139" s="62">
        <f t="shared" si="142"/>
        <v>330.26301310239984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90.679873599196839</v>
      </c>
      <c r="AA139" s="23">
        <f>EXP(-LN(2)/25)*AA138+(1-EXP(-LN(2)/25))/(LN(2)/25)*Calculateur!V139*Calculateur!X139*VLOOKUP('Données projet'!$B$9,Paramètres!$A$1:$I$89,3,0)*0.475*44/12</f>
        <v>9.3922007779987187</v>
      </c>
      <c r="AB139" s="23">
        <f>EXP(-LN(2)/2)*AB138+(1-EXP(-LN(2)/2))/(LN(2)/2)*V139*Y139*VLOOKUP('Données projet'!$B$9,Paramètres!$A$1:$I$89,3,0)*0.475*44/12</f>
        <v>1.5430923648950764E-7</v>
      </c>
      <c r="AC139" s="24">
        <f t="shared" si="111"/>
        <v>100.0720745315048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1.1368683772161603E-12</v>
      </c>
      <c r="O140" s="14">
        <f>N140*VLOOKUP('Données projet'!$B$9,Paramètres!$A$1:$I$89,3,0)*VLOOKUP('Données projet'!$B$9,Paramètres!$A$1:$I$89,5,0)</f>
        <v>5.4683368944097316E-13</v>
      </c>
      <c r="P140" s="14">
        <f t="shared" si="141"/>
        <v>6.7409479707670667E-12</v>
      </c>
      <c r="Q140" s="22">
        <f t="shared" si="108"/>
        <v>1.2692886391529001E-11</v>
      </c>
      <c r="R140" s="62">
        <f t="shared" si="109"/>
        <v>293.33333333334599</v>
      </c>
      <c r="S140" s="62">
        <f ca="1">AVERAGE(OFFSET($R$3,0,0,'Données projet'!$E$9+1,1))-AVERAGE(OFFSET($H$3,0,0,'Données projet'!$E$9+1,1))</f>
        <v>417.73464038490249</v>
      </c>
      <c r="T140" s="62">
        <f t="shared" si="142"/>
        <v>330.26301310239984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88.901696587178151</v>
      </c>
      <c r="AA140" s="23">
        <f>EXP(-LN(2)/25)*AA139+(1-EXP(-LN(2)/25))/(LN(2)/25)*Calculateur!V140*Calculateur!X140*VLOOKUP('Données projet'!$B$9,Paramètres!$A$1:$I$89,3,0)*0.475*44/12</f>
        <v>9.1353705538099703</v>
      </c>
      <c r="AB140" s="23">
        <f>EXP(-LN(2)/2)*AB139+(1-EXP(-LN(2)/2))/(LN(2)/2)*V140*Y140*VLOOKUP('Données projet'!$B$9,Paramètres!$A$1:$I$89,3,0)*0.475*44/12</f>
        <v>1.0911310752144949E-7</v>
      </c>
      <c r="AC140" s="24">
        <f t="shared" si="111"/>
        <v>98.037067250101217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1.1368683772161603E-12</v>
      </c>
      <c r="O141" s="14">
        <f>N141*VLOOKUP('Données projet'!$B$9,Paramètres!$A$1:$I$89,3,0)*VLOOKUP('Données projet'!$B$9,Paramètres!$A$1:$I$89,5,0)</f>
        <v>5.4683368944097316E-13</v>
      </c>
      <c r="P141" s="14">
        <f t="shared" si="141"/>
        <v>6.7409479707670667E-12</v>
      </c>
      <c r="Q141" s="22">
        <f t="shared" si="108"/>
        <v>1.2692886391529001E-11</v>
      </c>
      <c r="R141" s="62">
        <f t="shared" si="109"/>
        <v>293.33333333334599</v>
      </c>
      <c r="S141" s="62">
        <f ca="1">AVERAGE(OFFSET($R$3,0,0,'Données projet'!$E$9+1,1))-AVERAGE(OFFSET($H$3,0,0,'Données projet'!$E$9+1,1))</f>
        <v>417.73464038490249</v>
      </c>
      <c r="T141" s="62">
        <f t="shared" si="142"/>
        <v>330.26301310239984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87.158388541784262</v>
      </c>
      <c r="AA141" s="23">
        <f>EXP(-LN(2)/25)*AA140+(1-EXP(-LN(2)/25))/(LN(2)/25)*Calculateur!V141*Calculateur!X141*VLOOKUP('Données projet'!$B$9,Paramètres!$A$1:$I$89,3,0)*0.475*44/12</f>
        <v>8.8855633656077782</v>
      </c>
      <c r="AB141" s="23">
        <f>EXP(-LN(2)/2)*AB140+(1-EXP(-LN(2)/2))/(LN(2)/2)*V141*Y141*VLOOKUP('Données projet'!$B$9,Paramètres!$A$1:$I$89,3,0)*0.475*44/12</f>
        <v>7.7154618244753819E-8</v>
      </c>
      <c r="AC141" s="24">
        <f t="shared" si="111"/>
        <v>96.043951984546666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1.1368683772161603E-12</v>
      </c>
      <c r="O142" s="14">
        <f>N142*VLOOKUP('Données projet'!$B$9,Paramètres!$A$1:$I$89,3,0)*VLOOKUP('Données projet'!$B$9,Paramètres!$A$1:$I$89,5,0)</f>
        <v>5.4683368944097316E-13</v>
      </c>
      <c r="P142" s="14">
        <f t="shared" si="141"/>
        <v>6.7409479707670667E-12</v>
      </c>
      <c r="Q142" s="22">
        <f t="shared" si="108"/>
        <v>1.2692886391529001E-11</v>
      </c>
      <c r="R142" s="62">
        <f t="shared" si="109"/>
        <v>293.33333333334599</v>
      </c>
      <c r="S142" s="62">
        <f ca="1">AVERAGE(OFFSET($R$3,0,0,'Données projet'!$E$9+1,1))-AVERAGE(OFFSET($H$3,0,0,'Données projet'!$E$9+1,1))</f>
        <v>417.73464038490249</v>
      </c>
      <c r="T142" s="62">
        <f t="shared" si="142"/>
        <v>330.26301310239984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85.44926570384763</v>
      </c>
      <c r="AA142" s="23">
        <f>EXP(-LN(2)/25)*AA141+(1-EXP(-LN(2)/25))/(LN(2)/25)*Calculateur!V142*Calculateur!X142*VLOOKUP('Données projet'!$B$9,Paramètres!$A$1:$I$89,3,0)*0.475*44/12</f>
        <v>8.6425871681037645</v>
      </c>
      <c r="AB142" s="23">
        <f>EXP(-LN(2)/2)*AB141+(1-EXP(-LN(2)/2))/(LN(2)/2)*V142*Y142*VLOOKUP('Données projet'!$B$9,Paramètres!$A$1:$I$89,3,0)*0.475*44/12</f>
        <v>5.4556553760724747E-8</v>
      </c>
      <c r="AC142" s="24">
        <f t="shared" si="111"/>
        <v>94.09185292650794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1.1368683772161603E-12</v>
      </c>
      <c r="O143" s="14">
        <f>N143*VLOOKUP('Données projet'!$B$9,Paramètres!$A$1:$I$89,3,0)*VLOOKUP('Données projet'!$B$9,Paramètres!$A$1:$I$89,5,0)</f>
        <v>5.4683368944097316E-13</v>
      </c>
      <c r="P143" s="14">
        <f t="shared" si="141"/>
        <v>6.7409479707670667E-12</v>
      </c>
      <c r="Q143" s="22">
        <f t="shared" si="108"/>
        <v>1.2692886391529001E-11</v>
      </c>
      <c r="R143" s="62">
        <f t="shared" si="109"/>
        <v>293.33333333334599</v>
      </c>
      <c r="S143" s="62">
        <f ca="1">AVERAGE(OFFSET($R$3,0,0,'Données projet'!$E$9+1,1))-AVERAGE(OFFSET($H$3,0,0,'Données projet'!$E$9+1,1))</f>
        <v>417.73464038490249</v>
      </c>
      <c r="T143" s="62">
        <f t="shared" si="142"/>
        <v>330.26301310239984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83.773657722300939</v>
      </c>
      <c r="AA143" s="23">
        <f>EXP(-LN(2)/25)*AA142+(1-EXP(-LN(2)/25))/(LN(2)/25)*Calculateur!V143*Calculateur!X143*VLOOKUP('Données projet'!$B$9,Paramètres!$A$1:$I$89,3,0)*0.475*44/12</f>
        <v>8.4062551674980615</v>
      </c>
      <c r="AB143" s="23">
        <f>EXP(-LN(2)/2)*AB142+(1-EXP(-LN(2)/2))/(LN(2)/2)*V143*Y143*VLOOKUP('Données projet'!$B$9,Paramètres!$A$1:$I$89,3,0)*0.475*44/12</f>
        <v>3.8577309122376909E-8</v>
      </c>
      <c r="AC143" s="24">
        <f t="shared" si="111"/>
        <v>92.179912928376311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1.1368683772161603E-12</v>
      </c>
      <c r="O144" s="14">
        <f>N144*VLOOKUP('Données projet'!$B$9,Paramètres!$A$1:$I$89,3,0)*VLOOKUP('Données projet'!$B$9,Paramètres!$A$1:$I$89,5,0)</f>
        <v>5.4683368944097316E-13</v>
      </c>
      <c r="P144" s="14">
        <f t="shared" si="141"/>
        <v>6.7409479707670667E-12</v>
      </c>
      <c r="Q144" s="22">
        <f t="shared" si="108"/>
        <v>1.2692886391529001E-11</v>
      </c>
      <c r="R144" s="62">
        <f t="shared" si="109"/>
        <v>293.33333333334599</v>
      </c>
      <c r="S144" s="62">
        <f ca="1">AVERAGE(OFFSET($R$3,0,0,'Données projet'!$E$9+1,1))-AVERAGE(OFFSET($H$3,0,0,'Données projet'!$E$9+1,1))</f>
        <v>417.73464038490249</v>
      </c>
      <c r="T144" s="62">
        <f t="shared" si="142"/>
        <v>330.26301310239984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82.130907391252435</v>
      </c>
      <c r="AA144" s="23">
        <f>EXP(-LN(2)/25)*AA143+(1-EXP(-LN(2)/25))/(LN(2)/25)*Calculateur!V144*Calculateur!X144*VLOOKUP('Données projet'!$B$9,Paramètres!$A$1:$I$89,3,0)*0.475*44/12</f>
        <v>8.1763856778770805</v>
      </c>
      <c r="AB144" s="23">
        <f>EXP(-LN(2)/2)*AB143+(1-EXP(-LN(2)/2))/(LN(2)/2)*V144*Y144*VLOOKUP('Données projet'!$B$9,Paramètres!$A$1:$I$89,3,0)*0.475*44/12</f>
        <v>2.7278276880362373E-8</v>
      </c>
      <c r="AC144" s="24">
        <f t="shared" si="111"/>
        <v>90.30729309640779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1.1368683772161603E-12</v>
      </c>
      <c r="O145" s="14">
        <f>N145*VLOOKUP('Données projet'!$B$9,Paramètres!$A$1:$I$89,3,0)*VLOOKUP('Données projet'!$B$9,Paramètres!$A$1:$I$89,5,0)</f>
        <v>5.4683368944097316E-13</v>
      </c>
      <c r="P145" s="14">
        <f t="shared" si="141"/>
        <v>6.7409479707670667E-12</v>
      </c>
      <c r="Q145" s="22">
        <f t="shared" si="108"/>
        <v>1.2692886391529001E-11</v>
      </c>
      <c r="R145" s="62">
        <f t="shared" si="109"/>
        <v>293.33333333334599</v>
      </c>
      <c r="S145" s="62">
        <f ca="1">AVERAGE(OFFSET($R$3,0,0,'Données projet'!$E$9+1,1))-AVERAGE(OFFSET($H$3,0,0,'Données projet'!$E$9+1,1))</f>
        <v>417.73464038490249</v>
      </c>
      <c r="T145" s="62">
        <f t="shared" si="142"/>
        <v>330.26301310239984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80.520370392217018</v>
      </c>
      <c r="AA145" s="23">
        <f>EXP(-LN(2)/25)*AA144+(1-EXP(-LN(2)/25))/(LN(2)/25)*Calculateur!V145*Calculateur!X145*VLOOKUP('Données projet'!$B$9,Paramètres!$A$1:$I$89,3,0)*0.475*44/12</f>
        <v>7.9528019815380961</v>
      </c>
      <c r="AB145" s="23">
        <f>EXP(-LN(2)/2)*AB144+(1-EXP(-LN(2)/2))/(LN(2)/2)*V145*Y145*VLOOKUP('Données projet'!$B$9,Paramètres!$A$1:$I$89,3,0)*0.475*44/12</f>
        <v>1.9288654561188455E-8</v>
      </c>
      <c r="AC145" s="24">
        <f t="shared" si="111"/>
        <v>88.473172393043768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1.1368683772161603E-12</v>
      </c>
      <c r="O146" s="14">
        <f>N146*VLOOKUP('Données projet'!$B$9,Paramètres!$A$1:$I$89,3,0)*VLOOKUP('Données projet'!$B$9,Paramètres!$A$1:$I$89,5,0)</f>
        <v>5.4683368944097316E-13</v>
      </c>
      <c r="P146" s="14">
        <f t="shared" si="141"/>
        <v>6.7409479707670667E-12</v>
      </c>
      <c r="Q146" s="22">
        <f t="shared" si="108"/>
        <v>1.2692886391529001E-11</v>
      </c>
      <c r="R146" s="62">
        <f t="shared" si="109"/>
        <v>293.33333333334599</v>
      </c>
      <c r="S146" s="62">
        <f ca="1">AVERAGE(OFFSET($R$3,0,0,'Données projet'!$E$9+1,1))-AVERAGE(OFFSET($H$3,0,0,'Données projet'!$E$9+1,1))</f>
        <v>417.73464038490249</v>
      </c>
      <c r="T146" s="62">
        <f t="shared" si="142"/>
        <v>330.26301310239984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78.941415041402124</v>
      </c>
      <c r="AA146" s="23">
        <f>EXP(-LN(2)/25)*AA145+(1-EXP(-LN(2)/25))/(LN(2)/25)*Calculateur!V146*Calculateur!X146*VLOOKUP('Données projet'!$B$9,Paramètres!$A$1:$I$89,3,0)*0.475*44/12</f>
        <v>7.7353321931332575</v>
      </c>
      <c r="AB146" s="23">
        <f>EXP(-LN(2)/2)*AB145+(1-EXP(-LN(2)/2))/(LN(2)/2)*V146*Y146*VLOOKUP('Données projet'!$B$9,Paramètres!$A$1:$I$89,3,0)*0.475*44/12</f>
        <v>1.3639138440181187E-8</v>
      </c>
      <c r="AC146" s="24">
        <f t="shared" si="111"/>
        <v>86.676747248174522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1.1368683772161603E-12</v>
      </c>
      <c r="O147" s="14">
        <f>N147*VLOOKUP('Données projet'!$B$9,Paramètres!$A$1:$I$89,3,0)*VLOOKUP('Données projet'!$B$9,Paramètres!$A$1:$I$89,5,0)</f>
        <v>5.4683368944097316E-13</v>
      </c>
      <c r="P147" s="14">
        <f t="shared" si="141"/>
        <v>6.7409479707670667E-12</v>
      </c>
      <c r="Q147" s="22">
        <f t="shared" si="108"/>
        <v>1.2692886391529001E-11</v>
      </c>
      <c r="R147" s="62">
        <f t="shared" si="109"/>
        <v>293.33333333334599</v>
      </c>
      <c r="S147" s="62">
        <f ca="1">AVERAGE(OFFSET($R$3,0,0,'Données projet'!$E$9+1,1))-AVERAGE(OFFSET($H$3,0,0,'Données projet'!$E$9+1,1))</f>
        <v>417.73464038490249</v>
      </c>
      <c r="T147" s="62">
        <f t="shared" si="142"/>
        <v>330.26301310239984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77.393422041949037</v>
      </c>
      <c r="AA147" s="23">
        <f>EXP(-LN(2)/25)*AA146+(1-EXP(-LN(2)/25))/(LN(2)/25)*Calculateur!V147*Calculateur!X147*VLOOKUP('Données projet'!$B$9,Paramètres!$A$1:$I$89,3,0)*0.475*44/12</f>
        <v>7.5238091275285877</v>
      </c>
      <c r="AB147" s="23">
        <f>EXP(-LN(2)/2)*AB146+(1-EXP(-LN(2)/2))/(LN(2)/2)*V147*Y147*VLOOKUP('Données projet'!$B$9,Paramètres!$A$1:$I$89,3,0)*0.475*44/12</f>
        <v>9.6443272805942273E-9</v>
      </c>
      <c r="AC147" s="24">
        <f t="shared" si="111"/>
        <v>84.917231179121956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1.1368683772161603E-12</v>
      </c>
      <c r="O148" s="14">
        <f>N148*VLOOKUP('Données projet'!$B$9,Paramètres!$A$1:$I$89,3,0)*VLOOKUP('Données projet'!$B$9,Paramètres!$A$1:$I$89,5,0)</f>
        <v>5.4683368944097316E-13</v>
      </c>
      <c r="P148" s="14">
        <f t="shared" si="141"/>
        <v>6.7409479707670667E-12</v>
      </c>
      <c r="Q148" s="22">
        <f t="shared" si="108"/>
        <v>1.2692886391529001E-11</v>
      </c>
      <c r="R148" s="62">
        <f t="shared" si="109"/>
        <v>293.33333333334599</v>
      </c>
      <c r="S148" s="62">
        <f ca="1">AVERAGE(OFFSET($R$3,0,0,'Données projet'!$E$9+1,1))-AVERAGE(OFFSET($H$3,0,0,'Données projet'!$E$9+1,1))</f>
        <v>417.73464038490249</v>
      </c>
      <c r="T148" s="62">
        <f t="shared" si="142"/>
        <v>330.26301310239984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75.875784241032719</v>
      </c>
      <c r="AA148" s="23">
        <f>EXP(-LN(2)/25)*AA147+(1-EXP(-LN(2)/25))/(LN(2)/25)*Calculateur!V148*Calculateur!X148*VLOOKUP('Données projet'!$B$9,Paramètres!$A$1:$I$89,3,0)*0.475*44/12</f>
        <v>7.3180701712763927</v>
      </c>
      <c r="AB148" s="23">
        <f>EXP(-LN(2)/2)*AB147+(1-EXP(-LN(2)/2))/(LN(2)/2)*V148*Y148*VLOOKUP('Données projet'!$B$9,Paramètres!$A$1:$I$89,3,0)*0.475*44/12</f>
        <v>6.8195692200905933E-9</v>
      </c>
      <c r="AC148" s="24">
        <f t="shared" si="111"/>
        <v>83.193854419128684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1.1368683772161603E-12</v>
      </c>
      <c r="O149" s="14">
        <f>N149*VLOOKUP('Données projet'!$B$9,Paramètres!$A$1:$I$89,3,0)*VLOOKUP('Données projet'!$B$9,Paramètres!$A$1:$I$89,5,0)</f>
        <v>5.4683368944097316E-13</v>
      </c>
      <c r="P149" s="14">
        <f t="shared" si="141"/>
        <v>6.7409479707670667E-12</v>
      </c>
      <c r="Q149" s="22">
        <f t="shared" si="108"/>
        <v>1.2692886391529001E-11</v>
      </c>
      <c r="R149" s="62">
        <f t="shared" si="109"/>
        <v>293.33333333334599</v>
      </c>
      <c r="S149" s="62">
        <f ca="1">AVERAGE(OFFSET($R$3,0,0,'Données projet'!$E$9+1,1))-AVERAGE(OFFSET($H$3,0,0,'Données projet'!$E$9+1,1))</f>
        <v>417.73464038490249</v>
      </c>
      <c r="T149" s="62">
        <f t="shared" si="142"/>
        <v>330.26301310239984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74.387906391724712</v>
      </c>
      <c r="AA149" s="23">
        <f>EXP(-LN(2)/25)*AA148+(1-EXP(-LN(2)/25))/(LN(2)/25)*Calculateur!V149*Calculateur!X149*VLOOKUP('Données projet'!$B$9,Paramètres!$A$1:$I$89,3,0)*0.475*44/12</f>
        <v>7.1179571576022553</v>
      </c>
      <c r="AB149" s="23">
        <f>EXP(-LN(2)/2)*AB148+(1-EXP(-LN(2)/2))/(LN(2)/2)*V149*Y149*VLOOKUP('Données projet'!$B$9,Paramètres!$A$1:$I$89,3,0)*0.475*44/12</f>
        <v>4.8221636402971137E-9</v>
      </c>
      <c r="AC149" s="24">
        <f t="shared" si="111"/>
        <v>81.50586355414913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1.1368683772161603E-12</v>
      </c>
      <c r="O150" s="14">
        <f>N150*VLOOKUP('Données projet'!$B$9,Paramètres!$A$1:$I$89,3,0)*VLOOKUP('Données projet'!$B$9,Paramètres!$A$1:$I$89,5,0)</f>
        <v>5.4683368944097316E-13</v>
      </c>
      <c r="P150" s="14">
        <f t="shared" si="141"/>
        <v>6.7409479707670667E-12</v>
      </c>
      <c r="Q150" s="22">
        <f t="shared" si="108"/>
        <v>1.2692886391529001E-11</v>
      </c>
      <c r="R150" s="62">
        <f t="shared" si="109"/>
        <v>293.33333333334599</v>
      </c>
      <c r="S150" s="62">
        <f ca="1">AVERAGE(OFFSET($R$3,0,0,'Données projet'!$E$9+1,1))-AVERAGE(OFFSET($H$3,0,0,'Données projet'!$E$9+1,1))</f>
        <v>417.73464038490249</v>
      </c>
      <c r="T150" s="62">
        <f t="shared" si="142"/>
        <v>330.26301310239984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72.929204919525759</v>
      </c>
      <c r="AA150" s="23">
        <f>EXP(-LN(2)/25)*AA149+(1-EXP(-LN(2)/25))/(LN(2)/25)*Calculateur!V150*Calculateur!X150*VLOOKUP('Données projet'!$B$9,Paramètres!$A$1:$I$89,3,0)*0.475*44/12</f>
        <v>6.9233162448105228</v>
      </c>
      <c r="AB150" s="23">
        <f>EXP(-LN(2)/2)*AB149+(1-EXP(-LN(2)/2))/(LN(2)/2)*V150*Y150*VLOOKUP('Données projet'!$B$9,Paramètres!$A$1:$I$89,3,0)*0.475*44/12</f>
        <v>3.4097846100452967E-9</v>
      </c>
      <c r="AC150" s="24">
        <f t="shared" si="111"/>
        <v>79.852521167746062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1.1368683772161603E-12</v>
      </c>
      <c r="O151" s="14">
        <f>N151*VLOOKUP('Données projet'!$B$9,Paramètres!$A$1:$I$89,3,0)*VLOOKUP('Données projet'!$B$9,Paramètres!$A$1:$I$89,5,0)</f>
        <v>5.4683368944097316E-13</v>
      </c>
      <c r="P151" s="14">
        <f t="shared" si="141"/>
        <v>6.7409479707670667E-12</v>
      </c>
      <c r="Q151" s="22">
        <f t="shared" si="108"/>
        <v>1.2692886391529001E-11</v>
      </c>
      <c r="R151" s="62">
        <f t="shared" si="109"/>
        <v>293.33333333334599</v>
      </c>
      <c r="S151" s="62">
        <f ca="1">AVERAGE(OFFSET($R$3,0,0,'Données projet'!$E$9+1,1))-AVERAGE(OFFSET($H$3,0,0,'Données projet'!$E$9+1,1))</f>
        <v>417.73464038490249</v>
      </c>
      <c r="T151" s="62">
        <f t="shared" si="142"/>
        <v>330.26301310239984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71.499107693476589</v>
      </c>
      <c r="AA151" s="23">
        <f>EXP(-LN(2)/25)*AA150+(1-EXP(-LN(2)/25))/(LN(2)/25)*Calculateur!V151*Calculateur!X151*VLOOKUP('Données projet'!$B$9,Paramètres!$A$1:$I$89,3,0)*0.475*44/12</f>
        <v>6.7339977980148014</v>
      </c>
      <c r="AB151" s="23">
        <f>EXP(-LN(2)/2)*AB150+(1-EXP(-LN(2)/2))/(LN(2)/2)*V151*Y151*VLOOKUP('Données projet'!$B$9,Paramètres!$A$1:$I$89,3,0)*0.475*44/12</f>
        <v>2.4110818201485568E-9</v>
      </c>
      <c r="AC151" s="24">
        <f t="shared" si="111"/>
        <v>78.233105493902471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1.1368683772161603E-12</v>
      </c>
      <c r="O152" s="14">
        <f>N152*VLOOKUP('Données projet'!$B$9,Paramètres!$A$1:$I$89,3,0)*VLOOKUP('Données projet'!$B$9,Paramètres!$A$1:$I$89,5,0)</f>
        <v>5.4683368944097316E-13</v>
      </c>
      <c r="P152" s="14">
        <f t="shared" si="141"/>
        <v>6.7409479707670667E-12</v>
      </c>
      <c r="Q152" s="22">
        <f t="shared" si="108"/>
        <v>1.2692886391529001E-11</v>
      </c>
      <c r="R152" s="62">
        <f t="shared" si="109"/>
        <v>293.33333333334599</v>
      </c>
      <c r="S152" s="62">
        <f ca="1">AVERAGE(OFFSET($R$3,0,0,'Données projet'!$E$9+1,1))-AVERAGE(OFFSET($H$3,0,0,'Données projet'!$E$9+1,1))</f>
        <v>417.73464038490249</v>
      </c>
      <c r="T152" s="62">
        <f t="shared" si="142"/>
        <v>330.26301310239984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70.097053801757056</v>
      </c>
      <c r="AA152" s="23">
        <f>EXP(-LN(2)/25)*AA151+(1-EXP(-LN(2)/25))/(LN(2)/25)*Calculateur!V152*Calculateur!X152*VLOOKUP('Données projet'!$B$9,Paramètres!$A$1:$I$89,3,0)*0.475*44/12</f>
        <v>6.5498562741025328</v>
      </c>
      <c r="AB152" s="23">
        <f>EXP(-LN(2)/2)*AB151+(1-EXP(-LN(2)/2))/(LN(2)/2)*V152*Y152*VLOOKUP('Données projet'!$B$9,Paramètres!$A$1:$I$89,3,0)*0.475*44/12</f>
        <v>1.7048923050226483E-9</v>
      </c>
      <c r="AC152" s="24">
        <f t="shared" si="111"/>
        <v>76.646910077564485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1.1368683772161603E-12</v>
      </c>
      <c r="O153" s="14">
        <f>N153*VLOOKUP('Données projet'!$B$9,Paramètres!$A$1:$I$89,3,0)*VLOOKUP('Données projet'!$B$9,Paramètres!$A$1:$I$89,5,0)</f>
        <v>5.4683368944097316E-13</v>
      </c>
      <c r="P153" s="14">
        <f t="shared" si="141"/>
        <v>6.7409479707670667E-12</v>
      </c>
      <c r="Q153" s="22">
        <f t="shared" si="108"/>
        <v>1.2692886391529001E-11</v>
      </c>
      <c r="R153" s="62">
        <f t="shared" si="109"/>
        <v>293.33333333334599</v>
      </c>
      <c r="S153" s="62">
        <f ca="1">AVERAGE(OFFSET($R$3,0,0,'Données projet'!$E$9+1,1))-AVERAGE(OFFSET($H$3,0,0,'Données projet'!$E$9+1,1))</f>
        <v>417.73464038490249</v>
      </c>
      <c r="T153" s="62">
        <f t="shared" si="142"/>
        <v>330.26301310239984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68.722493331685712</v>
      </c>
      <c r="AA153" s="23">
        <f>EXP(-LN(2)/25)*AA152+(1-EXP(-LN(2)/25))/(LN(2)/25)*Calculateur!V153*Calculateur!X153*VLOOKUP('Données projet'!$B$9,Paramètres!$A$1:$I$89,3,0)*0.475*44/12</f>
        <v>6.3707501098452273</v>
      </c>
      <c r="AB153" s="23">
        <f>EXP(-LN(2)/2)*AB152+(1-EXP(-LN(2)/2))/(LN(2)/2)*V153*Y153*VLOOKUP('Données projet'!$B$9,Paramètres!$A$1:$I$89,3,0)*0.475*44/12</f>
        <v>1.2055409100742784E-9</v>
      </c>
      <c r="AC153" s="24">
        <f t="shared" si="111"/>
        <v>75.09324344273648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1.1368683772161603E-12</v>
      </c>
      <c r="O154" s="14">
        <f>N154*VLOOKUP('Données projet'!$B$9,Paramètres!$A$1:$I$89,3,0)*VLOOKUP('Données projet'!$B$9,Paramètres!$A$1:$I$89,5,0)</f>
        <v>5.4683368944097316E-13</v>
      </c>
      <c r="P154" s="14">
        <f t="shared" si="141"/>
        <v>6.7409479707670667E-12</v>
      </c>
      <c r="Q154" s="22">
        <f t="shared" ref="Q154:Q203" si="162">(O154+P154)*0.475*44/12</f>
        <v>1.2692886391529001E-11</v>
      </c>
      <c r="R154" s="62">
        <f t="shared" si="109"/>
        <v>293.33333333334599</v>
      </c>
      <c r="S154" s="62">
        <f ca="1">AVERAGE(OFFSET($R$3,0,0,'Données projet'!$E$9+1,1))-AVERAGE(OFFSET($H$3,0,0,'Données projet'!$E$9+1,1))</f>
        <v>417.73464038490249</v>
      </c>
      <c r="T154" s="62">
        <f t="shared" si="142"/>
        <v>330.26301310239984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67.374887154033374</v>
      </c>
      <c r="AA154" s="23">
        <f>EXP(-LN(2)/25)*AA153+(1-EXP(-LN(2)/25))/(LN(2)/25)*Calculateur!V154*Calculateur!X154*VLOOKUP('Données projet'!$B$9,Paramètres!$A$1:$I$89,3,0)*0.475*44/12</f>
        <v>6.1965416130683222</v>
      </c>
      <c r="AB154" s="23">
        <f>EXP(-LN(2)/2)*AB153+(1-EXP(-LN(2)/2))/(LN(2)/2)*V154*Y154*VLOOKUP('Données projet'!$B$9,Paramètres!$A$1:$I$89,3,0)*0.475*44/12</f>
        <v>8.5244615251132417E-10</v>
      </c>
      <c r="AC154" s="24">
        <f t="shared" ref="AC154:AC203" si="163">SUM(Z154:AB154)</f>
        <v>73.571428767954146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1.1368683772161603E-12</v>
      </c>
      <c r="O155" s="14">
        <f>N155*VLOOKUP('Données projet'!$B$9,Paramètres!$A$1:$I$89,3,0)*VLOOKUP('Données projet'!$B$9,Paramètres!$A$1:$I$89,5,0)</f>
        <v>5.4683368944097316E-13</v>
      </c>
      <c r="P155" s="14">
        <f t="shared" si="141"/>
        <v>6.7409479707670667E-12</v>
      </c>
      <c r="Q155" s="22">
        <f t="shared" si="162"/>
        <v>1.2692886391529001E-11</v>
      </c>
      <c r="R155" s="62">
        <f t="shared" si="109"/>
        <v>293.33333333334599</v>
      </c>
      <c r="S155" s="62">
        <f ca="1">AVERAGE(OFFSET($R$3,0,0,'Données projet'!$E$9+1,1))-AVERAGE(OFFSET($H$3,0,0,'Données projet'!$E$9+1,1))</f>
        <v>417.73464038490249</v>
      </c>
      <c r="T155" s="62">
        <f t="shared" si="142"/>
        <v>330.26301310239984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66.053706711566193</v>
      </c>
      <c r="AA155" s="23">
        <f>EXP(-LN(2)/25)*AA154+(1-EXP(-LN(2)/25))/(LN(2)/25)*Calculateur!V155*Calculateur!X155*VLOOKUP('Données projet'!$B$9,Paramètres!$A$1:$I$89,3,0)*0.475*44/12</f>
        <v>6.0270968567970078</v>
      </c>
      <c r="AB155" s="23">
        <f>EXP(-LN(2)/2)*AB154+(1-EXP(-LN(2)/2))/(LN(2)/2)*V155*Y155*VLOOKUP('Données projet'!$B$9,Paramètres!$A$1:$I$89,3,0)*0.475*44/12</f>
        <v>6.0277045503713921E-10</v>
      </c>
      <c r="AC155" s="24">
        <f t="shared" si="163"/>
        <v>72.080803568965962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1.1368683772161603E-12</v>
      </c>
      <c r="O156" s="14">
        <f>N156*VLOOKUP('Données projet'!$B$9,Paramètres!$A$1:$I$89,3,0)*VLOOKUP('Données projet'!$B$9,Paramètres!$A$1:$I$89,5,0)</f>
        <v>5.4683368944097316E-13</v>
      </c>
      <c r="P156" s="14">
        <f t="shared" si="141"/>
        <v>6.7409479707670667E-12</v>
      </c>
      <c r="Q156" s="22">
        <f t="shared" si="162"/>
        <v>1.2692886391529001E-11</v>
      </c>
      <c r="R156" s="62">
        <f t="shared" si="109"/>
        <v>293.33333333334599</v>
      </c>
      <c r="S156" s="62">
        <f ca="1">AVERAGE(OFFSET($R$3,0,0,'Données projet'!$E$9+1,1))-AVERAGE(OFFSET($H$3,0,0,'Données projet'!$E$9+1,1))</f>
        <v>417.73464038490249</v>
      </c>
      <c r="T156" s="62">
        <f t="shared" si="142"/>
        <v>330.26301310239984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64.758433811735287</v>
      </c>
      <c r="AA156" s="23">
        <f>EXP(-LN(2)/25)*AA155+(1-EXP(-LN(2)/25))/(LN(2)/25)*Calculateur!V156*Calculateur!X156*VLOOKUP('Données projet'!$B$9,Paramètres!$A$1:$I$89,3,0)*0.475*44/12</f>
        <v>5.862285576296645</v>
      </c>
      <c r="AB156" s="23">
        <f>EXP(-LN(2)/2)*AB155+(1-EXP(-LN(2)/2))/(LN(2)/2)*V156*Y156*VLOOKUP('Données projet'!$B$9,Paramètres!$A$1:$I$89,3,0)*0.475*44/12</f>
        <v>4.2622307625566208E-10</v>
      </c>
      <c r="AC156" s="24">
        <f t="shared" si="163"/>
        <v>70.620719388458156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1.1368683772161603E-12</v>
      </c>
      <c r="O157" s="14">
        <f>N157*VLOOKUP('Données projet'!$B$9,Paramètres!$A$1:$I$89,3,0)*VLOOKUP('Données projet'!$B$9,Paramètres!$A$1:$I$89,5,0)</f>
        <v>5.4683368944097316E-13</v>
      </c>
      <c r="P157" s="14">
        <f t="shared" si="141"/>
        <v>6.7409479707670667E-12</v>
      </c>
      <c r="Q157" s="22">
        <f t="shared" si="162"/>
        <v>1.2692886391529001E-11</v>
      </c>
      <c r="R157" s="62">
        <f t="shared" si="109"/>
        <v>293.33333333334599</v>
      </c>
      <c r="S157" s="62">
        <f ca="1">AVERAGE(OFFSET($R$3,0,0,'Données projet'!$E$9+1,1))-AVERAGE(OFFSET($H$3,0,0,'Données projet'!$E$9+1,1))</f>
        <v>417.73464038490249</v>
      </c>
      <c r="T157" s="62">
        <f t="shared" si="142"/>
        <v>330.26301310239984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63.488560423431608</v>
      </c>
      <c r="AA157" s="23">
        <f>EXP(-LN(2)/25)*AA156+(1-EXP(-LN(2)/25))/(LN(2)/25)*Calculateur!V157*Calculateur!X157*VLOOKUP('Données projet'!$B$9,Paramètres!$A$1:$I$89,3,0)*0.475*44/12</f>
        <v>5.701981068928613</v>
      </c>
      <c r="AB157" s="23">
        <f>EXP(-LN(2)/2)*AB156+(1-EXP(-LN(2)/2))/(LN(2)/2)*V157*Y157*VLOOKUP('Données projet'!$B$9,Paramètres!$A$1:$I$89,3,0)*0.475*44/12</f>
        <v>3.013852275185696E-10</v>
      </c>
      <c r="AC157" s="24">
        <f t="shared" si="163"/>
        <v>69.190541492661609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1.1368683772161603E-12</v>
      </c>
      <c r="O158" s="14">
        <f>N158*VLOOKUP('Données projet'!$B$9,Paramètres!$A$1:$I$89,3,0)*VLOOKUP('Données projet'!$B$9,Paramètres!$A$1:$I$89,5,0)</f>
        <v>5.4683368944097316E-13</v>
      </c>
      <c r="P158" s="14">
        <f t="shared" si="141"/>
        <v>6.7409479707670667E-12</v>
      </c>
      <c r="Q158" s="22">
        <f t="shared" si="162"/>
        <v>1.2692886391529001E-11</v>
      </c>
      <c r="R158" s="62">
        <f t="shared" si="109"/>
        <v>293.33333333334599</v>
      </c>
      <c r="S158" s="62">
        <f ca="1">AVERAGE(OFFSET($R$3,0,0,'Données projet'!$E$9+1,1))-AVERAGE(OFFSET($H$3,0,0,'Données projet'!$E$9+1,1))</f>
        <v>417.73464038490249</v>
      </c>
      <c r="T158" s="62">
        <f t="shared" si="142"/>
        <v>330.26301310239984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62.243588477726277</v>
      </c>
      <c r="AA158" s="23">
        <f>EXP(-LN(2)/25)*AA157+(1-EXP(-LN(2)/25))/(LN(2)/25)*Calculateur!V158*Calculateur!X158*VLOOKUP('Données projet'!$B$9,Paramètres!$A$1:$I$89,3,0)*0.475*44/12</f>
        <v>5.5460600967446076</v>
      </c>
      <c r="AB158" s="23">
        <f>EXP(-LN(2)/2)*AB157+(1-EXP(-LN(2)/2))/(LN(2)/2)*V158*Y158*VLOOKUP('Données projet'!$B$9,Paramètres!$A$1:$I$89,3,0)*0.475*44/12</f>
        <v>2.1311153812783104E-10</v>
      </c>
      <c r="AC158" s="24">
        <f t="shared" si="163"/>
        <v>67.789648574683994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1.1368683772161603E-12</v>
      </c>
      <c r="O159" s="14">
        <f>N159*VLOOKUP('Données projet'!$B$9,Paramètres!$A$1:$I$89,3,0)*VLOOKUP('Données projet'!$B$9,Paramètres!$A$1:$I$89,5,0)</f>
        <v>5.4683368944097316E-13</v>
      </c>
      <c r="P159" s="14">
        <f t="shared" si="141"/>
        <v>6.7409479707670667E-12</v>
      </c>
      <c r="Q159" s="22">
        <f t="shared" si="162"/>
        <v>1.2692886391529001E-11</v>
      </c>
      <c r="R159" s="62">
        <f t="shared" si="109"/>
        <v>293.33333333334599</v>
      </c>
      <c r="S159" s="62">
        <f ca="1">AVERAGE(OFFSET($R$3,0,0,'Données projet'!$E$9+1,1))-AVERAGE(OFFSET($H$3,0,0,'Données projet'!$E$9+1,1))</f>
        <v>417.73464038490249</v>
      </c>
      <c r="T159" s="62">
        <f t="shared" si="142"/>
        <v>330.26301310239984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61.023029672518319</v>
      </c>
      <c r="AA159" s="23">
        <f>EXP(-LN(2)/25)*AA158+(1-EXP(-LN(2)/25))/(LN(2)/25)*Calculateur!V159*Calculateur!X159*VLOOKUP('Données projet'!$B$9,Paramètres!$A$1:$I$89,3,0)*0.475*44/12</f>
        <v>5.3944027917445014</v>
      </c>
      <c r="AB159" s="23">
        <f>EXP(-LN(2)/2)*AB158+(1-EXP(-LN(2)/2))/(LN(2)/2)*V159*Y159*VLOOKUP('Données projet'!$B$9,Paramètres!$A$1:$I$89,3,0)*0.475*44/12</f>
        <v>1.506926137592848E-10</v>
      </c>
      <c r="AC159" s="24">
        <f t="shared" si="163"/>
        <v>66.417432464413508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1.1368683772161603E-12</v>
      </c>
      <c r="O160" s="14">
        <f>N160*VLOOKUP('Données projet'!$B$9,Paramètres!$A$1:$I$89,3,0)*VLOOKUP('Données projet'!$B$9,Paramètres!$A$1:$I$89,5,0)</f>
        <v>5.4683368944097316E-13</v>
      </c>
      <c r="P160" s="14">
        <f t="shared" si="141"/>
        <v>6.7409479707670667E-12</v>
      </c>
      <c r="Q160" s="22">
        <f t="shared" si="162"/>
        <v>1.2692886391529001E-11</v>
      </c>
      <c r="R160" s="62">
        <f t="shared" si="109"/>
        <v>293.33333333334599</v>
      </c>
      <c r="S160" s="62">
        <f ca="1">AVERAGE(OFFSET($R$3,0,0,'Données projet'!$E$9+1,1))-AVERAGE(OFFSET($H$3,0,0,'Données projet'!$E$9+1,1))</f>
        <v>417.73464038490249</v>
      </c>
      <c r="T160" s="62">
        <f t="shared" si="142"/>
        <v>330.26301310239984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59.82640528101313</v>
      </c>
      <c r="AA160" s="23">
        <f>EXP(-LN(2)/25)*AA159+(1-EXP(-LN(2)/25))/(LN(2)/25)*Calculateur!V160*Calculateur!X160*VLOOKUP('Données projet'!$B$9,Paramètres!$A$1:$I$89,3,0)*0.475*44/12</f>
        <v>5.2468925637249342</v>
      </c>
      <c r="AB160" s="23">
        <f>EXP(-LN(2)/2)*AB159+(1-EXP(-LN(2)/2))/(LN(2)/2)*V160*Y160*VLOOKUP('Données projet'!$B$9,Paramètres!$A$1:$I$89,3,0)*0.475*44/12</f>
        <v>1.0655576906391552E-10</v>
      </c>
      <c r="AC160" s="24">
        <f t="shared" si="163"/>
        <v>65.073297844844618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1.1368683772161603E-12</v>
      </c>
      <c r="O161" s="14">
        <f>N161*VLOOKUP('Données projet'!$B$9,Paramètres!$A$1:$I$89,3,0)*VLOOKUP('Données projet'!$B$9,Paramètres!$A$1:$I$89,5,0)</f>
        <v>5.4683368944097316E-13</v>
      </c>
      <c r="P161" s="14">
        <f t="shared" si="141"/>
        <v>6.7409479707670667E-12</v>
      </c>
      <c r="Q161" s="22">
        <f t="shared" si="162"/>
        <v>1.2692886391529001E-11</v>
      </c>
      <c r="R161" s="62">
        <f t="shared" si="109"/>
        <v>293.33333333334599</v>
      </c>
      <c r="S161" s="62">
        <f ca="1">AVERAGE(OFFSET($R$3,0,0,'Données projet'!$E$9+1,1))-AVERAGE(OFFSET($H$3,0,0,'Données projet'!$E$9+1,1))</f>
        <v>417.73464038490249</v>
      </c>
      <c r="T161" s="62">
        <f t="shared" si="142"/>
        <v>330.26301310239984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58.653245963956543</v>
      </c>
      <c r="AA161" s="23">
        <f>EXP(-LN(2)/25)*AA160+(1-EXP(-LN(2)/25))/(LN(2)/25)*Calculateur!V161*Calculateur!X161*VLOOKUP('Données projet'!$B$9,Paramètres!$A$1:$I$89,3,0)*0.475*44/12</f>
        <v>5.1034160106477877</v>
      </c>
      <c r="AB161" s="23">
        <f>EXP(-LN(2)/2)*AB160+(1-EXP(-LN(2)/2))/(LN(2)/2)*V161*Y161*VLOOKUP('Données projet'!$B$9,Paramètres!$A$1:$I$89,3,0)*0.475*44/12</f>
        <v>7.5346306879642401E-11</v>
      </c>
      <c r="AC161" s="24">
        <f t="shared" si="163"/>
        <v>63.756661974679673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1.1368683772161603E-12</v>
      </c>
      <c r="O162" s="14">
        <f>N162*VLOOKUP('Données projet'!$B$9,Paramètres!$A$1:$I$89,3,0)*VLOOKUP('Données projet'!$B$9,Paramètres!$A$1:$I$89,5,0)</f>
        <v>5.4683368944097316E-13</v>
      </c>
      <c r="P162" s="14">
        <f t="shared" si="141"/>
        <v>6.7409479707670667E-12</v>
      </c>
      <c r="Q162" s="22">
        <f t="shared" si="162"/>
        <v>1.2692886391529001E-11</v>
      </c>
      <c r="R162" s="62">
        <f t="shared" si="109"/>
        <v>293.33333333334599</v>
      </c>
      <c r="S162" s="62">
        <f ca="1">AVERAGE(OFFSET($R$3,0,0,'Données projet'!$E$9+1,1))-AVERAGE(OFFSET($H$3,0,0,'Données projet'!$E$9+1,1))</f>
        <v>417.73464038490249</v>
      </c>
      <c r="T162" s="62">
        <f t="shared" si="142"/>
        <v>330.26301310239984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57.503091585550912</v>
      </c>
      <c r="AA162" s="23">
        <f>EXP(-LN(2)/25)*AA161+(1-EXP(-LN(2)/25))/(LN(2)/25)*Calculateur!V162*Calculateur!X162*VLOOKUP('Données projet'!$B$9,Paramètres!$A$1:$I$89,3,0)*0.475*44/12</f>
        <v>4.9638628314596396</v>
      </c>
      <c r="AB162" s="23">
        <f>EXP(-LN(2)/2)*AB161+(1-EXP(-LN(2)/2))/(LN(2)/2)*V162*Y162*VLOOKUP('Données projet'!$B$9,Paramètres!$A$1:$I$89,3,0)*0.475*44/12</f>
        <v>5.327788453195776E-11</v>
      </c>
      <c r="AC162" s="24">
        <f t="shared" si="163"/>
        <v>62.466954417063832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1.1368683772161603E-12</v>
      </c>
      <c r="O163" s="14">
        <f>N163*VLOOKUP('Données projet'!$B$9,Paramètres!$A$1:$I$89,3,0)*VLOOKUP('Données projet'!$B$9,Paramètres!$A$1:$I$89,5,0)</f>
        <v>5.4683368944097316E-13</v>
      </c>
      <c r="P163" s="14">
        <f t="shared" si="141"/>
        <v>6.7409479707670667E-12</v>
      </c>
      <c r="Q163" s="22">
        <f t="shared" si="162"/>
        <v>1.2692886391529001E-11</v>
      </c>
      <c r="R163" s="62">
        <f t="shared" si="109"/>
        <v>293.33333333334599</v>
      </c>
      <c r="S163" s="62">
        <f ca="1">AVERAGE(OFFSET($R$3,0,0,'Données projet'!$E$9+1,1))-AVERAGE(OFFSET($H$3,0,0,'Données projet'!$E$9+1,1))</f>
        <v>417.73464038490249</v>
      </c>
      <c r="T163" s="62">
        <f t="shared" si="142"/>
        <v>330.26301310239984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56.375491032980911</v>
      </c>
      <c r="AA163" s="23">
        <f>EXP(-LN(2)/25)*AA162+(1-EXP(-LN(2)/25))/(LN(2)/25)*Calculateur!V163*Calculateur!X163*VLOOKUP('Données projet'!$B$9,Paramètres!$A$1:$I$89,3,0)*0.475*44/12</f>
        <v>4.8281257412951746</v>
      </c>
      <c r="AB163" s="23">
        <f>EXP(-LN(2)/2)*AB162+(1-EXP(-LN(2)/2))/(LN(2)/2)*V163*Y163*VLOOKUP('Données projet'!$B$9,Paramètres!$A$1:$I$89,3,0)*0.475*44/12</f>
        <v>3.7673153439821201E-11</v>
      </c>
      <c r="AC163" s="24">
        <f t="shared" si="163"/>
        <v>61.203616774313758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1.1368683772161603E-12</v>
      </c>
      <c r="O164" s="14">
        <f>N164*VLOOKUP('Données projet'!$B$9,Paramètres!$A$1:$I$89,3,0)*VLOOKUP('Données projet'!$B$9,Paramètres!$A$1:$I$89,5,0)</f>
        <v>5.4683368944097316E-13</v>
      </c>
      <c r="P164" s="14">
        <f t="shared" si="141"/>
        <v>6.7409479707670667E-12</v>
      </c>
      <c r="Q164" s="22">
        <f t="shared" si="162"/>
        <v>1.2692886391529001E-11</v>
      </c>
      <c r="R164" s="62">
        <f t="shared" si="109"/>
        <v>293.33333333334599</v>
      </c>
      <c r="S164" s="62">
        <f ca="1">AVERAGE(OFFSET($R$3,0,0,'Données projet'!$E$9+1,1))-AVERAGE(OFFSET($H$3,0,0,'Données projet'!$E$9+1,1))</f>
        <v>417.73464038490249</v>
      </c>
      <c r="T164" s="62">
        <f t="shared" si="142"/>
        <v>330.26301310239984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55.270002039478385</v>
      </c>
      <c r="AA164" s="23">
        <f>EXP(-LN(2)/25)*AA163+(1-EXP(-LN(2)/25))/(LN(2)/25)*Calculateur!V164*Calculateur!X164*VLOOKUP('Données projet'!$B$9,Paramètres!$A$1:$I$89,3,0)*0.475*44/12</f>
        <v>4.6961003889993602</v>
      </c>
      <c r="AB164" s="23">
        <f>EXP(-LN(2)/2)*AB163+(1-EXP(-LN(2)/2))/(LN(2)/2)*V164*Y164*VLOOKUP('Données projet'!$B$9,Paramètres!$A$1:$I$89,3,0)*0.475*44/12</f>
        <v>2.663894226597888E-11</v>
      </c>
      <c r="AC164" s="24">
        <f t="shared" si="163"/>
        <v>59.966102428504385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1.1368683772161603E-12</v>
      </c>
      <c r="O165" s="14">
        <f>N165*VLOOKUP('Données projet'!$B$9,Paramètres!$A$1:$I$89,3,0)*VLOOKUP('Données projet'!$B$9,Paramètres!$A$1:$I$89,5,0)</f>
        <v>5.4683368944097316E-13</v>
      </c>
      <c r="P165" s="14">
        <f t="shared" si="141"/>
        <v>6.7409479707670667E-12</v>
      </c>
      <c r="Q165" s="22">
        <f t="shared" si="162"/>
        <v>1.2692886391529001E-11</v>
      </c>
      <c r="R165" s="62">
        <f t="shared" si="109"/>
        <v>293.33333333334599</v>
      </c>
      <c r="S165" s="62">
        <f ca="1">AVERAGE(OFFSET($R$3,0,0,'Données projet'!$E$9+1,1))-AVERAGE(OFFSET($H$3,0,0,'Données projet'!$E$9+1,1))</f>
        <v>417.73464038490249</v>
      </c>
      <c r="T165" s="62">
        <f t="shared" si="142"/>
        <v>330.26301310239984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54.186191010856739</v>
      </c>
      <c r="AA165" s="23">
        <f>EXP(-LN(2)/25)*AA164+(1-EXP(-LN(2)/25))/(LN(2)/25)*Calculateur!V165*Calculateur!X165*VLOOKUP('Données projet'!$B$9,Paramètres!$A$1:$I$89,3,0)*0.475*44/12</f>
        <v>4.567685276904986</v>
      </c>
      <c r="AB165" s="23">
        <f>EXP(-LN(2)/2)*AB164+(1-EXP(-LN(2)/2))/(LN(2)/2)*V165*Y165*VLOOKUP('Données projet'!$B$9,Paramètres!$A$1:$I$89,3,0)*0.475*44/12</f>
        <v>1.88365767199106E-11</v>
      </c>
      <c r="AC165" s="24">
        <f t="shared" si="163"/>
        <v>58.753876287780564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1.1368683772161603E-12</v>
      </c>
      <c r="O166" s="14">
        <f>N166*VLOOKUP('Données projet'!$B$9,Paramètres!$A$1:$I$89,3,0)*VLOOKUP('Données projet'!$B$9,Paramètres!$A$1:$I$89,5,0)</f>
        <v>5.4683368944097316E-13</v>
      </c>
      <c r="P166" s="14">
        <f t="shared" si="141"/>
        <v>6.7409479707670667E-12</v>
      </c>
      <c r="Q166" s="22">
        <f t="shared" si="162"/>
        <v>1.2692886391529001E-11</v>
      </c>
      <c r="R166" s="62">
        <f t="shared" si="109"/>
        <v>293.33333333334599</v>
      </c>
      <c r="S166" s="62">
        <f ca="1">AVERAGE(OFFSET($R$3,0,0,'Données projet'!$E$9+1,1))-AVERAGE(OFFSET($H$3,0,0,'Données projet'!$E$9+1,1))</f>
        <v>417.73464038490249</v>
      </c>
      <c r="T166" s="62">
        <f t="shared" si="142"/>
        <v>330.26301310239984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53.123632855446907</v>
      </c>
      <c r="AA166" s="23">
        <f>EXP(-LN(2)/25)*AA165+(1-EXP(-LN(2)/25))/(LN(2)/25)*Calculateur!V166*Calculateur!X166*VLOOKUP('Données projet'!$B$9,Paramètres!$A$1:$I$89,3,0)*0.475*44/12</f>
        <v>4.44278168280389</v>
      </c>
      <c r="AB166" s="23">
        <f>EXP(-LN(2)/2)*AB165+(1-EXP(-LN(2)/2))/(LN(2)/2)*V166*Y166*VLOOKUP('Données projet'!$B$9,Paramètres!$A$1:$I$89,3,0)*0.475*44/12</f>
        <v>1.331947113298944E-11</v>
      </c>
      <c r="AC166" s="24">
        <f t="shared" si="163"/>
        <v>57.566414538264119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1.1368683772161603E-12</v>
      </c>
      <c r="O167" s="14">
        <f>N167*VLOOKUP('Données projet'!$B$9,Paramètres!$A$1:$I$89,3,0)*VLOOKUP('Données projet'!$B$9,Paramètres!$A$1:$I$89,5,0)</f>
        <v>5.4683368944097316E-13</v>
      </c>
      <c r="P167" s="14">
        <f t="shared" si="141"/>
        <v>6.7409479707670667E-12</v>
      </c>
      <c r="Q167" s="22">
        <f t="shared" si="162"/>
        <v>1.2692886391529001E-11</v>
      </c>
      <c r="R167" s="62">
        <f t="shared" si="109"/>
        <v>293.33333333334599</v>
      </c>
      <c r="S167" s="62">
        <f ca="1">AVERAGE(OFFSET($R$3,0,0,'Données projet'!$E$9+1,1))-AVERAGE(OFFSET($H$3,0,0,'Données projet'!$E$9+1,1))</f>
        <v>417.73464038490249</v>
      </c>
      <c r="T167" s="62">
        <f t="shared" si="142"/>
        <v>330.26301310239984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52.081910817368183</v>
      </c>
      <c r="AA167" s="23">
        <f>EXP(-LN(2)/25)*AA166+(1-EXP(-LN(2)/25))/(LN(2)/25)*Calculateur!V167*Calculateur!X167*VLOOKUP('Données projet'!$B$9,Paramètres!$A$1:$I$89,3,0)*0.475*44/12</f>
        <v>4.3212935840518831</v>
      </c>
      <c r="AB167" s="23">
        <f>EXP(-LN(2)/2)*AB166+(1-EXP(-LN(2)/2))/(LN(2)/2)*V167*Y167*VLOOKUP('Données projet'!$B$9,Paramètres!$A$1:$I$89,3,0)*0.475*44/12</f>
        <v>9.4182883599553001E-12</v>
      </c>
      <c r="AC167" s="24">
        <f t="shared" si="163"/>
        <v>56.403204401429491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1.1368683772161603E-12</v>
      </c>
      <c r="O168" s="14">
        <f>N168*VLOOKUP('Données projet'!$B$9,Paramètres!$A$1:$I$89,3,0)*VLOOKUP('Données projet'!$B$9,Paramètres!$A$1:$I$89,5,0)</f>
        <v>5.4683368944097316E-13</v>
      </c>
      <c r="P168" s="14">
        <f t="shared" si="141"/>
        <v>6.7409479707670667E-12</v>
      </c>
      <c r="Q168" s="22">
        <f t="shared" si="162"/>
        <v>1.2692886391529001E-11</v>
      </c>
      <c r="R168" s="62">
        <f t="shared" si="109"/>
        <v>293.33333333334599</v>
      </c>
      <c r="S168" s="62">
        <f ca="1">AVERAGE(OFFSET($R$3,0,0,'Données projet'!$E$9+1,1))-AVERAGE(OFFSET($H$3,0,0,'Données projet'!$E$9+1,1))</f>
        <v>417.73464038490249</v>
      </c>
      <c r="T168" s="62">
        <f t="shared" si="142"/>
        <v>330.26301310239984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51.060616313068479</v>
      </c>
      <c r="AA168" s="23">
        <f>EXP(-LN(2)/25)*AA167+(1-EXP(-LN(2)/25))/(LN(2)/25)*Calculateur!V168*Calculateur!X168*VLOOKUP('Données projet'!$B$9,Paramètres!$A$1:$I$89,3,0)*0.475*44/12</f>
        <v>4.2031275837490316</v>
      </c>
      <c r="AB168" s="23">
        <f>EXP(-LN(2)/2)*AB167+(1-EXP(-LN(2)/2))/(LN(2)/2)*V168*Y168*VLOOKUP('Données projet'!$B$9,Paramètres!$A$1:$I$89,3,0)*0.475*44/12</f>
        <v>6.6597355664947201E-12</v>
      </c>
      <c r="AC168" s="24">
        <f t="shared" si="163"/>
        <v>55.263743896824167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1.1368683772161603E-12</v>
      </c>
      <c r="O169" s="14">
        <f>N169*VLOOKUP('Données projet'!$B$9,Paramètres!$A$1:$I$89,3,0)*VLOOKUP('Données projet'!$B$9,Paramètres!$A$1:$I$89,5,0)</f>
        <v>5.4683368944097316E-13</v>
      </c>
      <c r="P169" s="14">
        <f t="shared" si="141"/>
        <v>6.7409479707670667E-12</v>
      </c>
      <c r="Q169" s="22">
        <f t="shared" si="162"/>
        <v>1.2692886391529001E-11</v>
      </c>
      <c r="R169" s="62">
        <f t="shared" si="109"/>
        <v>293.33333333334599</v>
      </c>
      <c r="S169" s="62">
        <f ca="1">AVERAGE(OFFSET($R$3,0,0,'Données projet'!$E$9+1,1))-AVERAGE(OFFSET($H$3,0,0,'Données projet'!$E$9+1,1))</f>
        <v>417.73464038490249</v>
      </c>
      <c r="T169" s="62">
        <f t="shared" si="142"/>
        <v>330.26301310239984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50.059348771069949</v>
      </c>
      <c r="AA169" s="23">
        <f>EXP(-LN(2)/25)*AA168+(1-EXP(-LN(2)/25))/(LN(2)/25)*Calculateur!V169*Calculateur!X169*VLOOKUP('Données projet'!$B$9,Paramètres!$A$1:$I$89,3,0)*0.475*44/12</f>
        <v>4.0881928389385411</v>
      </c>
      <c r="AB169" s="23">
        <f>EXP(-LN(2)/2)*AB168+(1-EXP(-LN(2)/2))/(LN(2)/2)*V169*Y169*VLOOKUP('Données projet'!$B$9,Paramètres!$A$1:$I$89,3,0)*0.475*44/12</f>
        <v>4.7091441799776501E-12</v>
      </c>
      <c r="AC169" s="24">
        <f t="shared" si="163"/>
        <v>54.147541610013199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1.1368683772161603E-12</v>
      </c>
      <c r="O170" s="14">
        <f>N170*VLOOKUP('Données projet'!$B$9,Paramètres!$A$1:$I$89,3,0)*VLOOKUP('Données projet'!$B$9,Paramètres!$A$1:$I$89,5,0)</f>
        <v>5.4683368944097316E-13</v>
      </c>
      <c r="P170" s="14">
        <f t="shared" si="141"/>
        <v>6.7409479707670667E-12</v>
      </c>
      <c r="Q170" s="22">
        <f t="shared" si="162"/>
        <v>1.2692886391529001E-11</v>
      </c>
      <c r="R170" s="62">
        <f t="shared" si="109"/>
        <v>293.33333333334599</v>
      </c>
      <c r="S170" s="62">
        <f ca="1">AVERAGE(OFFSET($R$3,0,0,'Données projet'!$E$9+1,1))-AVERAGE(OFFSET($H$3,0,0,'Données projet'!$E$9+1,1))</f>
        <v>417.73464038490249</v>
      </c>
      <c r="T170" s="62">
        <f t="shared" si="142"/>
        <v>330.26301310239984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49.077715474857115</v>
      </c>
      <c r="AA170" s="23">
        <f>EXP(-LN(2)/25)*AA169+(1-EXP(-LN(2)/25))/(LN(2)/25)*Calculateur!V170*Calculateur!X170*VLOOKUP('Données projet'!$B$9,Paramètres!$A$1:$I$89,3,0)*0.475*44/12</f>
        <v>3.976400990769049</v>
      </c>
      <c r="AB170" s="23">
        <f>EXP(-LN(2)/2)*AB169+(1-EXP(-LN(2)/2))/(LN(2)/2)*V170*Y170*VLOOKUP('Données projet'!$B$9,Paramètres!$A$1:$I$89,3,0)*0.475*44/12</f>
        <v>3.32986778324736E-12</v>
      </c>
      <c r="AC170" s="24">
        <f t="shared" si="163"/>
        <v>53.054116465629498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1.1368683772161603E-12</v>
      </c>
      <c r="O171" s="14">
        <f>N171*VLOOKUP('Données projet'!$B$9,Paramètres!$A$1:$I$89,3,0)*VLOOKUP('Données projet'!$B$9,Paramètres!$A$1:$I$89,5,0)</f>
        <v>5.4683368944097316E-13</v>
      </c>
      <c r="P171" s="14">
        <f t="shared" si="141"/>
        <v>6.7409479707670667E-12</v>
      </c>
      <c r="Q171" s="22">
        <f t="shared" si="162"/>
        <v>1.2692886391529001E-11</v>
      </c>
      <c r="R171" s="62">
        <f t="shared" si="109"/>
        <v>293.33333333334599</v>
      </c>
      <c r="S171" s="62">
        <f ca="1">AVERAGE(OFFSET($R$3,0,0,'Données projet'!$E$9+1,1))-AVERAGE(OFFSET($H$3,0,0,'Données projet'!$E$9+1,1))</f>
        <v>417.73464038490249</v>
      </c>
      <c r="T171" s="62">
        <f t="shared" si="142"/>
        <v>330.26301310239984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48.115331408845826</v>
      </c>
      <c r="AA171" s="23">
        <f>EXP(-LN(2)/25)*AA170+(1-EXP(-LN(2)/25))/(LN(2)/25)*Calculateur!V171*Calculateur!X171*VLOOKUP('Données projet'!$B$9,Paramètres!$A$1:$I$89,3,0)*0.475*44/12</f>
        <v>3.8676660965666292</v>
      </c>
      <c r="AB171" s="23">
        <f>EXP(-LN(2)/2)*AB170+(1-EXP(-LN(2)/2))/(LN(2)/2)*V171*Y171*VLOOKUP('Données projet'!$B$9,Paramètres!$A$1:$I$89,3,0)*0.475*44/12</f>
        <v>2.354572089988825E-12</v>
      </c>
      <c r="AC171" s="24">
        <f t="shared" si="163"/>
        <v>51.982997505414808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1.1368683772161603E-12</v>
      </c>
      <c r="O172" s="14">
        <f>N172*VLOOKUP('Données projet'!$B$9,Paramètres!$A$1:$I$89,3,0)*VLOOKUP('Données projet'!$B$9,Paramètres!$A$1:$I$89,5,0)</f>
        <v>5.4683368944097316E-13</v>
      </c>
      <c r="P172" s="14">
        <f t="shared" si="141"/>
        <v>6.7409479707670667E-12</v>
      </c>
      <c r="Q172" s="22">
        <f t="shared" si="162"/>
        <v>1.2692886391529001E-11</v>
      </c>
      <c r="R172" s="62">
        <f t="shared" si="109"/>
        <v>293.33333333334599</v>
      </c>
      <c r="S172" s="62">
        <f ca="1">AVERAGE(OFFSET($R$3,0,0,'Données projet'!$E$9+1,1))-AVERAGE(OFFSET($H$3,0,0,'Données projet'!$E$9+1,1))</f>
        <v>417.73464038490249</v>
      </c>
      <c r="T172" s="62">
        <f t="shared" si="142"/>
        <v>330.26301310239984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47.171819107372698</v>
      </c>
      <c r="AA172" s="23">
        <f>EXP(-LN(2)/25)*AA171+(1-EXP(-LN(2)/25))/(LN(2)/25)*Calculateur!V172*Calculateur!X172*VLOOKUP('Données projet'!$B$9,Paramètres!$A$1:$I$89,3,0)*0.475*44/12</f>
        <v>3.7619045637642943</v>
      </c>
      <c r="AB172" s="23">
        <f>EXP(-LN(2)/2)*AB171+(1-EXP(-LN(2)/2))/(LN(2)/2)*V172*Y172*VLOOKUP('Données projet'!$B$9,Paramètres!$A$1:$I$89,3,0)*0.475*44/12</f>
        <v>1.66493389162368E-12</v>
      </c>
      <c r="AC172" s="24">
        <f t="shared" si="163"/>
        <v>50.933723671138658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1.1368683772161603E-12</v>
      </c>
      <c r="O173" s="14">
        <f>N173*VLOOKUP('Données projet'!$B$9,Paramètres!$A$1:$I$89,3,0)*VLOOKUP('Données projet'!$B$9,Paramètres!$A$1:$I$89,5,0)</f>
        <v>5.4683368944097316E-13</v>
      </c>
      <c r="P173" s="14">
        <f t="shared" si="141"/>
        <v>6.7409479707670667E-12</v>
      </c>
      <c r="Q173" s="22">
        <f t="shared" si="162"/>
        <v>1.2692886391529001E-11</v>
      </c>
      <c r="R173" s="62">
        <f t="shared" si="109"/>
        <v>293.33333333334599</v>
      </c>
      <c r="S173" s="62">
        <f ca="1">AVERAGE(OFFSET($R$3,0,0,'Données projet'!$E$9+1,1))-AVERAGE(OFFSET($H$3,0,0,'Données projet'!$E$9+1,1))</f>
        <v>417.73464038490249</v>
      </c>
      <c r="T173" s="62">
        <f t="shared" si="142"/>
        <v>330.26301310239984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46.246808506645777</v>
      </c>
      <c r="AA173" s="23">
        <f>EXP(-LN(2)/25)*AA172+(1-EXP(-LN(2)/25))/(LN(2)/25)*Calculateur!V173*Calculateur!X173*VLOOKUP('Données projet'!$B$9,Paramètres!$A$1:$I$89,3,0)*0.475*44/12</f>
        <v>3.6590350856381968</v>
      </c>
      <c r="AB173" s="23">
        <f>EXP(-LN(2)/2)*AB172+(1-EXP(-LN(2)/2))/(LN(2)/2)*V173*Y173*VLOOKUP('Données projet'!$B$9,Paramètres!$A$1:$I$89,3,0)*0.475*44/12</f>
        <v>1.1772860449944125E-12</v>
      </c>
      <c r="AC173" s="24">
        <f t="shared" si="163"/>
        <v>49.905843592285152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1.1368683772161603E-12</v>
      </c>
      <c r="O174" s="14">
        <f>N174*VLOOKUP('Données projet'!$B$9,Paramètres!$A$1:$I$89,3,0)*VLOOKUP('Données projet'!$B$9,Paramètres!$A$1:$I$89,5,0)</f>
        <v>5.4683368944097316E-13</v>
      </c>
      <c r="P174" s="14">
        <f t="shared" si="141"/>
        <v>6.7409479707670667E-12</v>
      </c>
      <c r="Q174" s="22">
        <f t="shared" si="162"/>
        <v>1.2692886391529001E-11</v>
      </c>
      <c r="R174" s="62">
        <f t="shared" si="109"/>
        <v>293.33333333334599</v>
      </c>
      <c r="S174" s="62">
        <f ca="1">AVERAGE(OFFSET($R$3,0,0,'Données projet'!$E$9+1,1))-AVERAGE(OFFSET($H$3,0,0,'Données projet'!$E$9+1,1))</f>
        <v>417.73464038490249</v>
      </c>
      <c r="T174" s="62">
        <f t="shared" si="142"/>
        <v>330.26301310239984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45.339936799598355</v>
      </c>
      <c r="AA174" s="23">
        <f>EXP(-LN(2)/25)*AA173+(1-EXP(-LN(2)/25))/(LN(2)/25)*Calculateur!V174*Calculateur!X174*VLOOKUP('Données projet'!$B$9,Paramètres!$A$1:$I$89,3,0)*0.475*44/12</f>
        <v>3.5589785788011281</v>
      </c>
      <c r="AB174" s="23">
        <f>EXP(-LN(2)/2)*AB173+(1-EXP(-LN(2)/2))/(LN(2)/2)*V174*Y174*VLOOKUP('Données projet'!$B$9,Paramètres!$A$1:$I$89,3,0)*0.475*44/12</f>
        <v>8.3246694581184001E-13</v>
      </c>
      <c r="AC174" s="24">
        <f t="shared" si="163"/>
        <v>48.898915378400318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1.1368683772161603E-12</v>
      </c>
      <c r="O175" s="14">
        <f>N175*VLOOKUP('Données projet'!$B$9,Paramètres!$A$1:$I$89,3,0)*VLOOKUP('Données projet'!$B$9,Paramètres!$A$1:$I$89,5,0)</f>
        <v>5.4683368944097316E-13</v>
      </c>
      <c r="P175" s="14">
        <f t="shared" si="141"/>
        <v>6.7409479707670667E-12</v>
      </c>
      <c r="Q175" s="22">
        <f t="shared" si="162"/>
        <v>1.2692886391529001E-11</v>
      </c>
      <c r="R175" s="62">
        <f t="shared" si="109"/>
        <v>293.33333333334599</v>
      </c>
      <c r="S175" s="62">
        <f ca="1">AVERAGE(OFFSET($R$3,0,0,'Données projet'!$E$9+1,1))-AVERAGE(OFFSET($H$3,0,0,'Données projet'!$E$9+1,1))</f>
        <v>417.73464038490249</v>
      </c>
      <c r="T175" s="62">
        <f t="shared" si="142"/>
        <v>330.26301310239984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44.450848293589011</v>
      </c>
      <c r="AA175" s="23">
        <f>EXP(-LN(2)/25)*AA174+(1-EXP(-LN(2)/25))/(LN(2)/25)*Calculateur!V175*Calculateur!X175*VLOOKUP('Données projet'!$B$9,Paramètres!$A$1:$I$89,3,0)*0.475*44/12</f>
        <v>3.4616581224052618</v>
      </c>
      <c r="AB175" s="23">
        <f>EXP(-LN(2)/2)*AB174+(1-EXP(-LN(2)/2))/(LN(2)/2)*V175*Y175*VLOOKUP('Données projet'!$B$9,Paramètres!$A$1:$I$89,3,0)*0.475*44/12</f>
        <v>5.8864302249720626E-13</v>
      </c>
      <c r="AC175" s="24">
        <f t="shared" si="163"/>
        <v>47.912506415994862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1.1368683772161603E-12</v>
      </c>
      <c r="O176" s="14">
        <f>N176*VLOOKUP('Données projet'!$B$9,Paramètres!$A$1:$I$89,3,0)*VLOOKUP('Données projet'!$B$9,Paramètres!$A$1:$I$89,5,0)</f>
        <v>5.4683368944097316E-13</v>
      </c>
      <c r="P176" s="14">
        <f t="shared" si="141"/>
        <v>6.7409479707670667E-12</v>
      </c>
      <c r="Q176" s="22">
        <f t="shared" si="162"/>
        <v>1.2692886391529001E-11</v>
      </c>
      <c r="R176" s="62">
        <f t="shared" si="109"/>
        <v>293.33333333334599</v>
      </c>
      <c r="S176" s="62">
        <f ca="1">AVERAGE(OFFSET($R$3,0,0,'Données projet'!$E$9+1,1))-AVERAGE(OFFSET($H$3,0,0,'Données projet'!$E$9+1,1))</f>
        <v>417.73464038490249</v>
      </c>
      <c r="T176" s="62">
        <f t="shared" si="142"/>
        <v>330.26301310239984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43.579194270892067</v>
      </c>
      <c r="AA176" s="23">
        <f>EXP(-LN(2)/25)*AA175+(1-EXP(-LN(2)/25))/(LN(2)/25)*Calculateur!V176*Calculateur!X176*VLOOKUP('Données projet'!$B$9,Paramètres!$A$1:$I$89,3,0)*0.475*44/12</f>
        <v>3.3669988990074011</v>
      </c>
      <c r="AB176" s="23">
        <f>EXP(-LN(2)/2)*AB175+(1-EXP(-LN(2)/2))/(LN(2)/2)*V176*Y176*VLOOKUP('Données projet'!$B$9,Paramètres!$A$1:$I$89,3,0)*0.475*44/12</f>
        <v>4.1623347290592E-13</v>
      </c>
      <c r="AC176" s="24">
        <f t="shared" si="163"/>
        <v>46.946193169899885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1.1368683772161603E-12</v>
      </c>
      <c r="O177" s="14">
        <f>N177*VLOOKUP('Données projet'!$B$9,Paramètres!$A$1:$I$89,3,0)*VLOOKUP('Données projet'!$B$9,Paramètres!$A$1:$I$89,5,0)</f>
        <v>5.4683368944097316E-13</v>
      </c>
      <c r="P177" s="14">
        <f t="shared" si="141"/>
        <v>6.7409479707670667E-12</v>
      </c>
      <c r="Q177" s="22">
        <f t="shared" si="162"/>
        <v>1.2692886391529001E-11</v>
      </c>
      <c r="R177" s="62">
        <f t="shared" si="109"/>
        <v>293.33333333334599</v>
      </c>
      <c r="S177" s="62">
        <f ca="1">AVERAGE(OFFSET($R$3,0,0,'Données projet'!$E$9+1,1))-AVERAGE(OFFSET($H$3,0,0,'Données projet'!$E$9+1,1))</f>
        <v>417.73464038490249</v>
      </c>
      <c r="T177" s="62">
        <f t="shared" si="142"/>
        <v>330.26301310239984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42.724632851923758</v>
      </c>
      <c r="AA177" s="23">
        <f>EXP(-LN(2)/25)*AA176+(1-EXP(-LN(2)/25))/(LN(2)/25)*Calculateur!V177*Calculateur!X177*VLOOKUP('Données projet'!$B$9,Paramètres!$A$1:$I$89,3,0)*0.475*44/12</f>
        <v>3.2749281370512668</v>
      </c>
      <c r="AB177" s="23">
        <f>EXP(-LN(2)/2)*AB176+(1-EXP(-LN(2)/2))/(LN(2)/2)*V177*Y177*VLOOKUP('Données projet'!$B$9,Paramètres!$A$1:$I$89,3,0)*0.475*44/12</f>
        <v>2.9432151124860313E-13</v>
      </c>
      <c r="AC177" s="24">
        <f t="shared" si="163"/>
        <v>45.999560988975318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1.1368683772161603E-12</v>
      </c>
      <c r="O178" s="14">
        <f>N178*VLOOKUP('Données projet'!$B$9,Paramètres!$A$1:$I$89,3,0)*VLOOKUP('Données projet'!$B$9,Paramètres!$A$1:$I$89,5,0)</f>
        <v>5.4683368944097316E-13</v>
      </c>
      <c r="P178" s="14">
        <f t="shared" si="141"/>
        <v>6.7409479707670667E-12</v>
      </c>
      <c r="Q178" s="22">
        <f t="shared" si="162"/>
        <v>1.2692886391529001E-11</v>
      </c>
      <c r="R178" s="62">
        <f t="shared" si="109"/>
        <v>293.33333333334599</v>
      </c>
      <c r="S178" s="62">
        <f ca="1">AVERAGE(OFFSET($R$3,0,0,'Données projet'!$E$9+1,1))-AVERAGE(OFFSET($H$3,0,0,'Données projet'!$E$9+1,1))</f>
        <v>417.73464038490249</v>
      </c>
      <c r="T178" s="62">
        <f t="shared" si="142"/>
        <v>330.26301310239984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41.886828861150413</v>
      </c>
      <c r="AA178" s="23">
        <f>EXP(-LN(2)/25)*AA177+(1-EXP(-LN(2)/25))/(LN(2)/25)*Calculateur!V178*Calculateur!X178*VLOOKUP('Données projet'!$B$9,Paramètres!$A$1:$I$89,3,0)*0.475*44/12</f>
        <v>3.1853750549226141</v>
      </c>
      <c r="AB178" s="23">
        <f>EXP(-LN(2)/2)*AB177+(1-EXP(-LN(2)/2))/(LN(2)/2)*V178*Y178*VLOOKUP('Données projet'!$B$9,Paramètres!$A$1:$I$89,3,0)*0.475*44/12</f>
        <v>2.0811673645296E-13</v>
      </c>
      <c r="AC178" s="24">
        <f t="shared" si="163"/>
        <v>45.072203916073235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1.1368683772161603E-12</v>
      </c>
      <c r="O179" s="14">
        <f>N179*VLOOKUP('Données projet'!$B$9,Paramètres!$A$1:$I$89,3,0)*VLOOKUP('Données projet'!$B$9,Paramètres!$A$1:$I$89,5,0)</f>
        <v>5.4683368944097316E-13</v>
      </c>
      <c r="P179" s="14">
        <f t="shared" si="141"/>
        <v>6.7409479707670667E-12</v>
      </c>
      <c r="Q179" s="22">
        <f t="shared" si="162"/>
        <v>1.2692886391529001E-11</v>
      </c>
      <c r="R179" s="62">
        <f t="shared" si="109"/>
        <v>293.33333333334599</v>
      </c>
      <c r="S179" s="62">
        <f ca="1">AVERAGE(OFFSET($R$3,0,0,'Données projet'!$E$9+1,1))-AVERAGE(OFFSET($H$3,0,0,'Données projet'!$E$9+1,1))</f>
        <v>417.73464038490249</v>
      </c>
      <c r="T179" s="62">
        <f t="shared" si="142"/>
        <v>330.26301310239984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41.065453695626161</v>
      </c>
      <c r="AA179" s="23">
        <f>EXP(-LN(2)/25)*AA178+(1-EXP(-LN(2)/25))/(LN(2)/25)*Calculateur!V179*Calculateur!X179*VLOOKUP('Données projet'!$B$9,Paramètres!$A$1:$I$89,3,0)*0.475*44/12</f>
        <v>3.0982708065341615</v>
      </c>
      <c r="AB179" s="23">
        <f>EXP(-LN(2)/2)*AB178+(1-EXP(-LN(2)/2))/(LN(2)/2)*V179*Y179*VLOOKUP('Données projet'!$B$9,Paramètres!$A$1:$I$89,3,0)*0.475*44/12</f>
        <v>1.4716075562430156E-13</v>
      </c>
      <c r="AC179" s="24">
        <f t="shared" si="163"/>
        <v>44.16372450216047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1.1368683772161603E-12</v>
      </c>
      <c r="O180" s="14">
        <f>N180*VLOOKUP('Données projet'!$B$9,Paramètres!$A$1:$I$89,3,0)*VLOOKUP('Données projet'!$B$9,Paramètres!$A$1:$I$89,5,0)</f>
        <v>5.4683368944097316E-13</v>
      </c>
      <c r="P180" s="14">
        <f t="shared" si="141"/>
        <v>6.7409479707670667E-12</v>
      </c>
      <c r="Q180" s="22">
        <f t="shared" si="162"/>
        <v>1.2692886391529001E-11</v>
      </c>
      <c r="R180" s="62">
        <f t="shared" si="109"/>
        <v>293.33333333334599</v>
      </c>
      <c r="S180" s="62">
        <f ca="1">AVERAGE(OFFSET($R$3,0,0,'Données projet'!$E$9+1,1))-AVERAGE(OFFSET($H$3,0,0,'Données projet'!$E$9+1,1))</f>
        <v>417.73464038490249</v>
      </c>
      <c r="T180" s="62">
        <f t="shared" si="142"/>
        <v>330.26301310239984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40.260185196108452</v>
      </c>
      <c r="AA180" s="23">
        <f>EXP(-LN(2)/25)*AA179+(1-EXP(-LN(2)/25))/(LN(2)/25)*Calculateur!V180*Calculateur!X180*VLOOKUP('Données projet'!$B$9,Paramètres!$A$1:$I$89,3,0)*0.475*44/12</f>
        <v>3.0135484283985043</v>
      </c>
      <c r="AB180" s="23">
        <f>EXP(-LN(2)/2)*AB179+(1-EXP(-LN(2)/2))/(LN(2)/2)*V180*Y180*VLOOKUP('Données projet'!$B$9,Paramètres!$A$1:$I$89,3,0)*0.475*44/12</f>
        <v>1.0405836822648E-13</v>
      </c>
      <c r="AC180" s="24">
        <f t="shared" si="163"/>
        <v>43.273733624507067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1.1368683772161603E-12</v>
      </c>
      <c r="O181" s="14">
        <f>N181*VLOOKUP('Données projet'!$B$9,Paramètres!$A$1:$I$89,3,0)*VLOOKUP('Données projet'!$B$9,Paramètres!$A$1:$I$89,5,0)</f>
        <v>5.4683368944097316E-13</v>
      </c>
      <c r="P181" s="14">
        <f t="shared" si="141"/>
        <v>6.7409479707670667E-12</v>
      </c>
      <c r="Q181" s="22">
        <f t="shared" si="162"/>
        <v>1.2692886391529001E-11</v>
      </c>
      <c r="R181" s="62">
        <f t="shared" si="109"/>
        <v>293.33333333334599</v>
      </c>
      <c r="S181" s="62">
        <f ca="1">AVERAGE(OFFSET($R$3,0,0,'Données projet'!$E$9+1,1))-AVERAGE(OFFSET($H$3,0,0,'Données projet'!$E$9+1,1))</f>
        <v>417.73464038490249</v>
      </c>
      <c r="T181" s="62">
        <f t="shared" si="142"/>
        <v>330.26301310239984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39.470707520701005</v>
      </c>
      <c r="AA181" s="23">
        <f>EXP(-LN(2)/25)*AA180+(1-EXP(-LN(2)/25))/(LN(2)/25)*Calculateur!V181*Calculateur!X181*VLOOKUP('Données projet'!$B$9,Paramètres!$A$1:$I$89,3,0)*0.475*44/12</f>
        <v>2.931142788148323</v>
      </c>
      <c r="AB181" s="23">
        <f>EXP(-LN(2)/2)*AB180+(1-EXP(-LN(2)/2))/(LN(2)/2)*V181*Y181*VLOOKUP('Données projet'!$B$9,Paramètres!$A$1:$I$89,3,0)*0.475*44/12</f>
        <v>7.3580377812150782E-14</v>
      </c>
      <c r="AC181" s="24">
        <f t="shared" si="163"/>
        <v>42.401850308849397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1.1368683772161603E-12</v>
      </c>
      <c r="O182" s="14">
        <f>N182*VLOOKUP('Données projet'!$B$9,Paramètres!$A$1:$I$89,3,0)*VLOOKUP('Données projet'!$B$9,Paramètres!$A$1:$I$89,5,0)</f>
        <v>5.4683368944097316E-13</v>
      </c>
      <c r="P182" s="14">
        <f t="shared" si="141"/>
        <v>6.7409479707670667E-12</v>
      </c>
      <c r="Q182" s="22">
        <f t="shared" si="162"/>
        <v>1.2692886391529001E-11</v>
      </c>
      <c r="R182" s="62">
        <f t="shared" si="109"/>
        <v>293.33333333334599</v>
      </c>
      <c r="S182" s="62">
        <f ca="1">AVERAGE(OFFSET($R$3,0,0,'Données projet'!$E$9+1,1))-AVERAGE(OFFSET($H$3,0,0,'Données projet'!$E$9+1,1))</f>
        <v>417.73464038490249</v>
      </c>
      <c r="T182" s="62">
        <f t="shared" si="142"/>
        <v>330.26301310239984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38.696711020974462</v>
      </c>
      <c r="AA182" s="23">
        <f>EXP(-LN(2)/25)*AA181+(1-EXP(-LN(2)/25))/(LN(2)/25)*Calculateur!V182*Calculateur!X182*VLOOKUP('Données projet'!$B$9,Paramètres!$A$1:$I$89,3,0)*0.475*44/12</f>
        <v>2.8509905344643069</v>
      </c>
      <c r="AB182" s="23">
        <f>EXP(-LN(2)/2)*AB181+(1-EXP(-LN(2)/2))/(LN(2)/2)*V182*Y182*VLOOKUP('Données projet'!$B$9,Paramètres!$A$1:$I$89,3,0)*0.475*44/12</f>
        <v>5.202918411324E-14</v>
      </c>
      <c r="AC182" s="24">
        <f t="shared" si="163"/>
        <v>41.54770155543882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1.1368683772161603E-12</v>
      </c>
      <c r="O183" s="14">
        <f>N183*VLOOKUP('Données projet'!$B$9,Paramètres!$A$1:$I$89,3,0)*VLOOKUP('Données projet'!$B$9,Paramètres!$A$1:$I$89,5,0)</f>
        <v>5.4683368944097316E-13</v>
      </c>
      <c r="P183" s="14">
        <f t="shared" si="141"/>
        <v>6.7409479707670667E-12</v>
      </c>
      <c r="Q183" s="22">
        <f t="shared" si="162"/>
        <v>1.2692886391529001E-11</v>
      </c>
      <c r="R183" s="62">
        <f t="shared" si="109"/>
        <v>293.33333333334599</v>
      </c>
      <c r="S183" s="62">
        <f ca="1">AVERAGE(OFFSET($R$3,0,0,'Données projet'!$E$9+1,1))-AVERAGE(OFFSET($H$3,0,0,'Données projet'!$E$9+1,1))</f>
        <v>417.73464038490249</v>
      </c>
      <c r="T183" s="62">
        <f t="shared" si="142"/>
        <v>330.26301310239984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37.937892120516302</v>
      </c>
      <c r="AA183" s="23">
        <f>EXP(-LN(2)/25)*AA182+(1-EXP(-LN(2)/25))/(LN(2)/25)*Calculateur!V183*Calculateur!X183*VLOOKUP('Données projet'!$B$9,Paramètres!$A$1:$I$89,3,0)*0.475*44/12</f>
        <v>2.7730300483723043</v>
      </c>
      <c r="AB183" s="23">
        <f>EXP(-LN(2)/2)*AB182+(1-EXP(-LN(2)/2))/(LN(2)/2)*V183*Y183*VLOOKUP('Données projet'!$B$9,Paramètres!$A$1:$I$89,3,0)*0.475*44/12</f>
        <v>3.6790188906075391E-14</v>
      </c>
      <c r="AC183" s="24">
        <f t="shared" si="163"/>
        <v>40.710922168888644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1.1368683772161603E-12</v>
      </c>
      <c r="O184" s="14">
        <f>N184*VLOOKUP('Données projet'!$B$9,Paramètres!$A$1:$I$89,3,0)*VLOOKUP('Données projet'!$B$9,Paramètres!$A$1:$I$89,5,0)</f>
        <v>5.4683368944097316E-13</v>
      </c>
      <c r="P184" s="14">
        <f t="shared" si="141"/>
        <v>6.7409479707670667E-12</v>
      </c>
      <c r="Q184" s="22">
        <f t="shared" si="162"/>
        <v>1.2692886391529001E-11</v>
      </c>
      <c r="R184" s="62">
        <f t="shared" si="109"/>
        <v>293.33333333334599</v>
      </c>
      <c r="S184" s="62">
        <f ca="1">AVERAGE(OFFSET($R$3,0,0,'Données projet'!$E$9+1,1))-AVERAGE(OFFSET($H$3,0,0,'Données projet'!$E$9+1,1))</f>
        <v>417.73464038490249</v>
      </c>
      <c r="T184" s="62">
        <f t="shared" si="142"/>
        <v>330.26301310239984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37.193953195862306</v>
      </c>
      <c r="AA184" s="23">
        <f>EXP(-LN(2)/25)*AA183+(1-EXP(-LN(2)/25))/(LN(2)/25)*Calculateur!V184*Calculateur!X184*VLOOKUP('Données projet'!$B$9,Paramètres!$A$1:$I$89,3,0)*0.475*44/12</f>
        <v>2.6972013958722512</v>
      </c>
      <c r="AB184" s="23">
        <f>EXP(-LN(2)/2)*AB183+(1-EXP(-LN(2)/2))/(LN(2)/2)*V184*Y184*VLOOKUP('Données projet'!$B$9,Paramètres!$A$1:$I$89,3,0)*0.475*44/12</f>
        <v>2.601459205662E-14</v>
      </c>
      <c r="AC184" s="24">
        <f t="shared" si="163"/>
        <v>39.891154591734583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1.1368683772161603E-12</v>
      </c>
      <c r="O185" s="14">
        <f>N185*VLOOKUP('Données projet'!$B$9,Paramètres!$A$1:$I$89,3,0)*VLOOKUP('Données projet'!$B$9,Paramètres!$A$1:$I$89,5,0)</f>
        <v>5.4683368944097316E-13</v>
      </c>
      <c r="P185" s="14">
        <f t="shared" si="141"/>
        <v>6.7409479707670667E-12</v>
      </c>
      <c r="Q185" s="22">
        <f t="shared" si="162"/>
        <v>1.2692886391529001E-11</v>
      </c>
      <c r="R185" s="62">
        <f t="shared" si="109"/>
        <v>293.33333333334599</v>
      </c>
      <c r="S185" s="62">
        <f ca="1">AVERAGE(OFFSET($R$3,0,0,'Données projet'!$E$9+1,1))-AVERAGE(OFFSET($H$3,0,0,'Données projet'!$E$9+1,1))</f>
        <v>417.73464038490249</v>
      </c>
      <c r="T185" s="62">
        <f t="shared" si="142"/>
        <v>330.26301310239984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36.46460245976283</v>
      </c>
      <c r="AA185" s="23">
        <f>EXP(-LN(2)/25)*AA184+(1-EXP(-LN(2)/25))/(LN(2)/25)*Calculateur!V185*Calculateur!X185*VLOOKUP('Données projet'!$B$9,Paramètres!$A$1:$I$89,3,0)*0.475*44/12</f>
        <v>2.6234462818624675</v>
      </c>
      <c r="AB185" s="23">
        <f>EXP(-LN(2)/2)*AB184+(1-EXP(-LN(2)/2))/(LN(2)/2)*V185*Y185*VLOOKUP('Données projet'!$B$9,Paramètres!$A$1:$I$89,3,0)*0.475*44/12</f>
        <v>1.8395094453037696E-14</v>
      </c>
      <c r="AC185" s="24">
        <f t="shared" si="163"/>
        <v>39.088048741625322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1.1368683772161603E-12</v>
      </c>
      <c r="O186" s="14">
        <f>N186*VLOOKUP('Données projet'!$B$9,Paramètres!$A$1:$I$89,3,0)*VLOOKUP('Données projet'!$B$9,Paramètres!$A$1:$I$89,5,0)</f>
        <v>5.4683368944097316E-13</v>
      </c>
      <c r="P186" s="14">
        <f t="shared" si="141"/>
        <v>6.7409479707670667E-12</v>
      </c>
      <c r="Q186" s="22">
        <f t="shared" si="162"/>
        <v>1.2692886391529001E-11</v>
      </c>
      <c r="R186" s="62">
        <f t="shared" si="109"/>
        <v>293.33333333334599</v>
      </c>
      <c r="S186" s="62">
        <f ca="1">AVERAGE(OFFSET($R$3,0,0,'Données projet'!$E$9+1,1))-AVERAGE(OFFSET($H$3,0,0,'Données projet'!$E$9+1,1))</f>
        <v>417.73464038490249</v>
      </c>
      <c r="T186" s="62">
        <f t="shared" si="142"/>
        <v>330.26301310239984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35.749553846738245</v>
      </c>
      <c r="AA186" s="23">
        <f>EXP(-LN(2)/25)*AA185+(1-EXP(-LN(2)/25))/(LN(2)/25)*Calculateur!V186*Calculateur!X186*VLOOKUP('Données projet'!$B$9,Paramètres!$A$1:$I$89,3,0)*0.475*44/12</f>
        <v>2.5517080053238943</v>
      </c>
      <c r="AB186" s="23">
        <f>EXP(-LN(2)/2)*AB185+(1-EXP(-LN(2)/2))/(LN(2)/2)*V186*Y186*VLOOKUP('Données projet'!$B$9,Paramètres!$A$1:$I$89,3,0)*0.475*44/12</f>
        <v>1.300729602831E-14</v>
      </c>
      <c r="AC186" s="24">
        <f t="shared" si="163"/>
        <v>38.301261852062154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1.1368683772161603E-12</v>
      </c>
      <c r="O187" s="14">
        <f>N187*VLOOKUP('Données projet'!$B$9,Paramètres!$A$1:$I$89,3,0)*VLOOKUP('Données projet'!$B$9,Paramètres!$A$1:$I$89,5,0)</f>
        <v>5.4683368944097316E-13</v>
      </c>
      <c r="P187" s="14">
        <f t="shared" si="141"/>
        <v>6.7409479707670667E-12</v>
      </c>
      <c r="Q187" s="22">
        <f t="shared" si="162"/>
        <v>1.2692886391529001E-11</v>
      </c>
      <c r="R187" s="62">
        <f t="shared" si="109"/>
        <v>293.33333333334599</v>
      </c>
      <c r="S187" s="62">
        <f ca="1">AVERAGE(OFFSET($R$3,0,0,'Données projet'!$E$9+1,1))-AVERAGE(OFFSET($H$3,0,0,'Données projet'!$E$9+1,1))</f>
        <v>417.73464038490249</v>
      </c>
      <c r="T187" s="62">
        <f t="shared" si="142"/>
        <v>330.26301310239984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35.048526900878478</v>
      </c>
      <c r="AA187" s="23">
        <f>EXP(-LN(2)/25)*AA186+(1-EXP(-LN(2)/25))/(LN(2)/25)*Calculateur!V187*Calculateur!X187*VLOOKUP('Données projet'!$B$9,Paramètres!$A$1:$I$89,3,0)*0.475*44/12</f>
        <v>2.4819314157298202</v>
      </c>
      <c r="AB187" s="23">
        <f>EXP(-LN(2)/2)*AB186+(1-EXP(-LN(2)/2))/(LN(2)/2)*V187*Y187*VLOOKUP('Données projet'!$B$9,Paramètres!$A$1:$I$89,3,0)*0.475*44/12</f>
        <v>9.1975472265188478E-15</v>
      </c>
      <c r="AC187" s="24">
        <f t="shared" si="163"/>
        <v>37.530458316608303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1.1368683772161603E-12</v>
      </c>
      <c r="O188" s="14">
        <f>N188*VLOOKUP('Données projet'!$B$9,Paramètres!$A$1:$I$89,3,0)*VLOOKUP('Données projet'!$B$9,Paramètres!$A$1:$I$89,5,0)</f>
        <v>5.4683368944097316E-13</v>
      </c>
      <c r="P188" s="14">
        <f t="shared" si="141"/>
        <v>6.7409479707670667E-12</v>
      </c>
      <c r="Q188" s="22">
        <f t="shared" si="162"/>
        <v>1.2692886391529001E-11</v>
      </c>
      <c r="R188" s="62">
        <f t="shared" si="109"/>
        <v>293.33333333334599</v>
      </c>
      <c r="S188" s="62">
        <f ca="1">AVERAGE(OFFSET($R$3,0,0,'Données projet'!$E$9+1,1))-AVERAGE(OFFSET($H$3,0,0,'Données projet'!$E$9+1,1))</f>
        <v>417.73464038490249</v>
      </c>
      <c r="T188" s="62">
        <f t="shared" si="142"/>
        <v>330.26301310239984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34.361246665842806</v>
      </c>
      <c r="AA188" s="23">
        <f>EXP(-LN(2)/25)*AA187+(1-EXP(-LN(2)/25))/(LN(2)/25)*Calculateur!V188*Calculateur!X188*VLOOKUP('Données projet'!$B$9,Paramètres!$A$1:$I$89,3,0)*0.475*44/12</f>
        <v>2.4140628706475877</v>
      </c>
      <c r="AB188" s="23">
        <f>EXP(-LN(2)/2)*AB187+(1-EXP(-LN(2)/2))/(LN(2)/2)*V188*Y188*VLOOKUP('Données projet'!$B$9,Paramètres!$A$1:$I$89,3,0)*0.475*44/12</f>
        <v>6.503648014155E-15</v>
      </c>
      <c r="AC188" s="24">
        <f t="shared" si="163"/>
        <v>36.775309536490404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1.1368683772161603E-12</v>
      </c>
      <c r="O189" s="14">
        <f>N189*VLOOKUP('Données projet'!$B$9,Paramètres!$A$1:$I$89,3,0)*VLOOKUP('Données projet'!$B$9,Paramètres!$A$1:$I$89,5,0)</f>
        <v>5.4683368944097316E-13</v>
      </c>
      <c r="P189" s="14">
        <f t="shared" si="141"/>
        <v>6.7409479707670667E-12</v>
      </c>
      <c r="Q189" s="22">
        <f t="shared" si="162"/>
        <v>1.2692886391529001E-11</v>
      </c>
      <c r="R189" s="62">
        <f t="shared" si="109"/>
        <v>293.33333333334599</v>
      </c>
      <c r="S189" s="62">
        <f ca="1">AVERAGE(OFFSET($R$3,0,0,'Données projet'!$E$9+1,1))-AVERAGE(OFFSET($H$3,0,0,'Données projet'!$E$9+1,1))</f>
        <v>417.73464038490249</v>
      </c>
      <c r="T189" s="62">
        <f t="shared" si="142"/>
        <v>330.26301310239984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33.687443577016637</v>
      </c>
      <c r="AA189" s="23">
        <f>EXP(-LN(2)/25)*AA188+(1-EXP(-LN(2)/25))/(LN(2)/25)*Calculateur!V189*Calculateur!X189*VLOOKUP('Données projet'!$B$9,Paramètres!$A$1:$I$89,3,0)*0.475*44/12</f>
        <v>2.3480501944996806</v>
      </c>
      <c r="AB189" s="23">
        <f>EXP(-LN(2)/2)*AB188+(1-EXP(-LN(2)/2))/(LN(2)/2)*V189*Y189*VLOOKUP('Données projet'!$B$9,Paramètres!$A$1:$I$89,3,0)*0.475*44/12</f>
        <v>4.5987736132594239E-15</v>
      </c>
      <c r="AC189" s="24">
        <f t="shared" si="163"/>
        <v>36.035493771516322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1.1368683772161603E-12</v>
      </c>
      <c r="O190" s="14">
        <f>N190*VLOOKUP('Données projet'!$B$9,Paramètres!$A$1:$I$89,3,0)*VLOOKUP('Données projet'!$B$9,Paramètres!$A$1:$I$89,5,0)</f>
        <v>5.4683368944097316E-13</v>
      </c>
      <c r="P190" s="14">
        <f t="shared" si="141"/>
        <v>6.7409479707670667E-12</v>
      </c>
      <c r="Q190" s="22">
        <f t="shared" si="162"/>
        <v>1.2692886391529001E-11</v>
      </c>
      <c r="R190" s="62">
        <f t="shared" si="109"/>
        <v>293.33333333334599</v>
      </c>
      <c r="S190" s="62">
        <f ca="1">AVERAGE(OFFSET($R$3,0,0,'Données projet'!$E$9+1,1))-AVERAGE(OFFSET($H$3,0,0,'Données projet'!$E$9+1,1))</f>
        <v>417.73464038490249</v>
      </c>
      <c r="T190" s="62">
        <f t="shared" si="142"/>
        <v>330.26301310239984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33.026853355783047</v>
      </c>
      <c r="AA190" s="23">
        <f>EXP(-LN(2)/25)*AA189+(1-EXP(-LN(2)/25))/(LN(2)/25)*Calculateur!V190*Calculateur!X190*VLOOKUP('Données projet'!$B$9,Paramètres!$A$1:$I$89,3,0)*0.475*44/12</f>
        <v>2.2838426384524935</v>
      </c>
      <c r="AB190" s="23">
        <f>EXP(-LN(2)/2)*AB189+(1-EXP(-LN(2)/2))/(LN(2)/2)*V190*Y190*VLOOKUP('Données projet'!$B$9,Paramètres!$A$1:$I$89,3,0)*0.475*44/12</f>
        <v>3.2518240070775E-15</v>
      </c>
      <c r="AC190" s="24">
        <f t="shared" si="163"/>
        <v>35.310695994235537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1.1368683772161603E-12</v>
      </c>
      <c r="O191" s="14">
        <f>N191*VLOOKUP('Données projet'!$B$9,Paramètres!$A$1:$I$89,3,0)*VLOOKUP('Données projet'!$B$9,Paramètres!$A$1:$I$89,5,0)</f>
        <v>5.4683368944097316E-13</v>
      </c>
      <c r="P191" s="14">
        <f t="shared" si="141"/>
        <v>6.7409479707670667E-12</v>
      </c>
      <c r="Q191" s="22">
        <f t="shared" si="162"/>
        <v>1.2692886391529001E-11</v>
      </c>
      <c r="R191" s="62">
        <f t="shared" si="109"/>
        <v>293.33333333334599</v>
      </c>
      <c r="S191" s="62">
        <f ca="1">AVERAGE(OFFSET($R$3,0,0,'Données projet'!$E$9+1,1))-AVERAGE(OFFSET($H$3,0,0,'Données projet'!$E$9+1,1))</f>
        <v>417.73464038490249</v>
      </c>
      <c r="T191" s="62">
        <f t="shared" si="142"/>
        <v>330.26301310239984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32.379216905867594</v>
      </c>
      <c r="AA191" s="23">
        <f>EXP(-LN(2)/25)*AA190+(1-EXP(-LN(2)/25))/(LN(2)/25)*Calculateur!V191*Calculateur!X191*VLOOKUP('Données projet'!$B$9,Paramètres!$A$1:$I$89,3,0)*0.475*44/12</f>
        <v>2.2213908414019454</v>
      </c>
      <c r="AB191" s="23">
        <f>EXP(-LN(2)/2)*AB190+(1-EXP(-LN(2)/2))/(LN(2)/2)*V191*Y191*VLOOKUP('Données projet'!$B$9,Paramètres!$A$1:$I$89,3,0)*0.475*44/12</f>
        <v>2.2993868066297119E-15</v>
      </c>
      <c r="AC191" s="24">
        <f t="shared" si="163"/>
        <v>34.600607747269542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1.1368683772161603E-12</v>
      </c>
      <c r="O192" s="14">
        <f>N192*VLOOKUP('Données projet'!$B$9,Paramètres!$A$1:$I$89,3,0)*VLOOKUP('Données projet'!$B$9,Paramètres!$A$1:$I$89,5,0)</f>
        <v>5.4683368944097316E-13</v>
      </c>
      <c r="P192" s="14">
        <f t="shared" si="141"/>
        <v>6.7409479707670667E-12</v>
      </c>
      <c r="Q192" s="22">
        <f t="shared" si="162"/>
        <v>1.2692886391529001E-11</v>
      </c>
      <c r="R192" s="62">
        <f t="shared" si="109"/>
        <v>293.33333333334599</v>
      </c>
      <c r="S192" s="62">
        <f ca="1">AVERAGE(OFFSET($R$3,0,0,'Données projet'!$E$9+1,1))-AVERAGE(OFFSET($H$3,0,0,'Données projet'!$E$9+1,1))</f>
        <v>417.73464038490249</v>
      </c>
      <c r="T192" s="62">
        <f t="shared" si="142"/>
        <v>330.26301310239984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31.744280211715754</v>
      </c>
      <c r="AA192" s="23">
        <f>EXP(-LN(2)/25)*AA191+(1-EXP(-LN(2)/25))/(LN(2)/25)*Calculateur!V192*Calculateur!X192*VLOOKUP('Données projet'!$B$9,Paramètres!$A$1:$I$89,3,0)*0.475*44/12</f>
        <v>2.160646792025942</v>
      </c>
      <c r="AB192" s="23">
        <f>EXP(-LN(2)/2)*AB191+(1-EXP(-LN(2)/2))/(LN(2)/2)*V192*Y192*VLOOKUP('Données projet'!$B$9,Paramètres!$A$1:$I$89,3,0)*0.475*44/12</f>
        <v>1.62591200353875E-15</v>
      </c>
      <c r="AC192" s="24">
        <f t="shared" si="163"/>
        <v>33.904927003741697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1.1368683772161603E-12</v>
      </c>
      <c r="O193" s="14">
        <f>N193*VLOOKUP('Données projet'!$B$9,Paramètres!$A$1:$I$89,3,0)*VLOOKUP('Données projet'!$B$9,Paramètres!$A$1:$I$89,5,0)</f>
        <v>5.4683368944097316E-13</v>
      </c>
      <c r="P193" s="14">
        <f t="shared" si="141"/>
        <v>6.7409479707670667E-12</v>
      </c>
      <c r="Q193" s="22">
        <f t="shared" si="162"/>
        <v>1.2692886391529001E-11</v>
      </c>
      <c r="R193" s="62">
        <f t="shared" si="109"/>
        <v>293.33333333334599</v>
      </c>
      <c r="S193" s="62">
        <f ca="1">AVERAGE(OFFSET($R$3,0,0,'Données projet'!$E$9+1,1))-AVERAGE(OFFSET($H$3,0,0,'Données projet'!$E$9+1,1))</f>
        <v>417.73464038490249</v>
      </c>
      <c r="T193" s="62">
        <f t="shared" si="142"/>
        <v>330.26301310239984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31.121794238863089</v>
      </c>
      <c r="AA193" s="23">
        <f>EXP(-LN(2)/25)*AA192+(1-EXP(-LN(2)/25))/(LN(2)/25)*Calculateur!V193*Calculateur!X193*VLOOKUP('Données projet'!$B$9,Paramètres!$A$1:$I$89,3,0)*0.475*44/12</f>
        <v>2.1015637918745163</v>
      </c>
      <c r="AB193" s="23">
        <f>EXP(-LN(2)/2)*AB192+(1-EXP(-LN(2)/2))/(LN(2)/2)*V193*Y193*VLOOKUP('Données projet'!$B$9,Paramètres!$A$1:$I$89,3,0)*0.475*44/12</f>
        <v>1.149693403314856E-15</v>
      </c>
      <c r="AC193" s="24">
        <f t="shared" si="163"/>
        <v>33.223358030737607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1.1368683772161603E-12</v>
      </c>
      <c r="O194" s="14">
        <f>N194*VLOOKUP('Données projet'!$B$9,Paramètres!$A$1:$I$89,3,0)*VLOOKUP('Données projet'!$B$9,Paramètres!$A$1:$I$89,5,0)</f>
        <v>5.4683368944097316E-13</v>
      </c>
      <c r="P194" s="14">
        <f t="shared" si="141"/>
        <v>6.7409479707670667E-12</v>
      </c>
      <c r="Q194" s="22">
        <f t="shared" si="162"/>
        <v>1.2692886391529001E-11</v>
      </c>
      <c r="R194" s="62">
        <f t="shared" si="109"/>
        <v>293.33333333334599</v>
      </c>
      <c r="S194" s="62">
        <f ca="1">AVERAGE(OFFSET($R$3,0,0,'Données projet'!$E$9+1,1))-AVERAGE(OFFSET($H$3,0,0,'Données projet'!$E$9+1,1))</f>
        <v>417.73464038490249</v>
      </c>
      <c r="T194" s="62">
        <f t="shared" si="142"/>
        <v>330.26301310239984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30.51151483625911</v>
      </c>
      <c r="AA194" s="23">
        <f>EXP(-LN(2)/25)*AA193+(1-EXP(-LN(2)/25))/(LN(2)/25)*Calculateur!V194*Calculateur!X194*VLOOKUP('Données projet'!$B$9,Paramètres!$A$1:$I$89,3,0)*0.475*44/12</f>
        <v>2.044096419469271</v>
      </c>
      <c r="AB194" s="23">
        <f>EXP(-LN(2)/2)*AB193+(1-EXP(-LN(2)/2))/(LN(2)/2)*V194*Y194*VLOOKUP('Données projet'!$B$9,Paramètres!$A$1:$I$89,3,0)*0.475*44/12</f>
        <v>8.1295600176937501E-16</v>
      </c>
      <c r="AC194" s="24">
        <f t="shared" si="163"/>
        <v>32.55561125572838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1.1368683772161603E-12</v>
      </c>
      <c r="O195" s="14">
        <f>N195*VLOOKUP('Données projet'!$B$9,Paramètres!$A$1:$I$89,3,0)*VLOOKUP('Données projet'!$B$9,Paramètres!$A$1:$I$89,5,0)</f>
        <v>5.4683368944097316E-13</v>
      </c>
      <c r="P195" s="14">
        <f t="shared" si="141"/>
        <v>6.7409479707670667E-12</v>
      </c>
      <c r="Q195" s="22">
        <f t="shared" si="162"/>
        <v>1.2692886391529001E-11</v>
      </c>
      <c r="R195" s="62">
        <f t="shared" ref="R195:R203" si="191">Q195+(I195+J195)*44/12</f>
        <v>293.33333333334599</v>
      </c>
      <c r="S195" s="62">
        <f ca="1">AVERAGE(OFFSET($R$3,0,0,'Données projet'!$E$9+1,1))-AVERAGE(OFFSET($H$3,0,0,'Données projet'!$E$9+1,1))</f>
        <v>417.73464038490249</v>
      </c>
      <c r="T195" s="62">
        <f t="shared" si="142"/>
        <v>330.26301310239984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29.913202640506515</v>
      </c>
      <c r="AA195" s="23">
        <f>EXP(-LN(2)/25)*AA194+(1-EXP(-LN(2)/25))/(LN(2)/25)*Calculateur!V195*Calculateur!X195*VLOOKUP('Données projet'!$B$9,Paramètres!$A$1:$I$89,3,0)*0.475*44/12</f>
        <v>1.9882004953845249</v>
      </c>
      <c r="AB195" s="23">
        <f>EXP(-LN(2)/2)*AB194+(1-EXP(-LN(2)/2))/(LN(2)/2)*V195*Y195*VLOOKUP('Données projet'!$B$9,Paramètres!$A$1:$I$89,3,0)*0.475*44/12</f>
        <v>5.7484670165742799E-16</v>
      </c>
      <c r="AC195" s="24">
        <f t="shared" si="163"/>
        <v>31.901403135891041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1.1368683772161603E-12</v>
      </c>
      <c r="O196" s="14">
        <f>N196*VLOOKUP('Données projet'!$B$9,Paramètres!$A$1:$I$89,3,0)*VLOOKUP('Données projet'!$B$9,Paramètres!$A$1:$I$89,5,0)</f>
        <v>5.4683368944097316E-13</v>
      </c>
      <c r="P196" s="14">
        <f t="shared" si="141"/>
        <v>6.7409479707670667E-12</v>
      </c>
      <c r="Q196" s="22">
        <f t="shared" si="162"/>
        <v>1.2692886391529001E-11</v>
      </c>
      <c r="R196" s="62">
        <f t="shared" si="191"/>
        <v>293.33333333334599</v>
      </c>
      <c r="S196" s="62">
        <f ca="1">AVERAGE(OFFSET($R$3,0,0,'Données projet'!$E$9+1,1))-AVERAGE(OFFSET($H$3,0,0,'Données projet'!$E$9+1,1))</f>
        <v>417.73464038490249</v>
      </c>
      <c r="T196" s="62">
        <f t="shared" si="142"/>
        <v>330.26301310239984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29.326622981978225</v>
      </c>
      <c r="AA196" s="23">
        <f>EXP(-LN(2)/25)*AA195+(1-EXP(-LN(2)/25))/(LN(2)/25)*Calculateur!V196*Calculateur!X196*VLOOKUP('Données projet'!$B$9,Paramètres!$A$1:$I$89,3,0)*0.475*44/12</f>
        <v>1.933833048283315</v>
      </c>
      <c r="AB196" s="23">
        <f>EXP(-LN(2)/2)*AB195+(1-EXP(-LN(2)/2))/(LN(2)/2)*V196*Y196*VLOOKUP('Données projet'!$B$9,Paramètres!$A$1:$I$89,3,0)*0.475*44/12</f>
        <v>4.064780008846875E-16</v>
      </c>
      <c r="AC196" s="24">
        <f t="shared" si="163"/>
        <v>31.26045603026154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1.1368683772161603E-12</v>
      </c>
      <c r="O197" s="14">
        <f>N197*VLOOKUP('Données projet'!$B$9,Paramètres!$A$1:$I$89,3,0)*VLOOKUP('Données projet'!$B$9,Paramètres!$A$1:$I$89,5,0)</f>
        <v>5.4683368944097316E-13</v>
      </c>
      <c r="P197" s="14">
        <f t="shared" ref="P197:P203" si="203">EXP(-1.0587+0.8836*LN(O197)+0.284)</f>
        <v>6.7409479707670667E-12</v>
      </c>
      <c r="Q197" s="22">
        <f t="shared" si="162"/>
        <v>1.2692886391529001E-11</v>
      </c>
      <c r="R197" s="62">
        <f t="shared" si="191"/>
        <v>293.33333333334599</v>
      </c>
      <c r="S197" s="62">
        <f ca="1">AVERAGE(OFFSET($R$3,0,0,'Données projet'!$E$9+1,1))-AVERAGE(OFFSET($H$3,0,0,'Données projet'!$E$9+1,1))</f>
        <v>417.73464038490249</v>
      </c>
      <c r="T197" s="62">
        <f t="shared" ref="T197:T203" si="204">$T$3</f>
        <v>330.26301310239984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28.75154579277541</v>
      </c>
      <c r="AA197" s="23">
        <f>EXP(-LN(2)/25)*AA196+(1-EXP(-LN(2)/25))/(LN(2)/25)*Calculateur!V197*Calculateur!X197*VLOOKUP('Données projet'!$B$9,Paramètres!$A$1:$I$89,3,0)*0.475*44/12</f>
        <v>1.8809522818821476</v>
      </c>
      <c r="AB197" s="23">
        <f>EXP(-LN(2)/2)*AB196+(1-EXP(-LN(2)/2))/(LN(2)/2)*V197*Y197*VLOOKUP('Données projet'!$B$9,Paramètres!$A$1:$I$89,3,0)*0.475*44/12</f>
        <v>2.8742335082871399E-16</v>
      </c>
      <c r="AC197" s="24">
        <f t="shared" si="163"/>
        <v>30.632498074657558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1.1368683772161603E-12</v>
      </c>
      <c r="O198" s="14">
        <f>N198*VLOOKUP('Données projet'!$B$9,Paramètres!$A$1:$I$89,3,0)*VLOOKUP('Données projet'!$B$9,Paramètres!$A$1:$I$89,5,0)</f>
        <v>5.4683368944097316E-13</v>
      </c>
      <c r="P198" s="14">
        <f t="shared" si="203"/>
        <v>6.7409479707670667E-12</v>
      </c>
      <c r="Q198" s="22">
        <f t="shared" si="162"/>
        <v>1.2692886391529001E-11</v>
      </c>
      <c r="R198" s="62">
        <f t="shared" si="191"/>
        <v>293.33333333334599</v>
      </c>
      <c r="S198" s="62">
        <f ca="1">AVERAGE(OFFSET($R$3,0,0,'Données projet'!$E$9+1,1))-AVERAGE(OFFSET($H$3,0,0,'Données projet'!$E$9+1,1))</f>
        <v>417.73464038490249</v>
      </c>
      <c r="T198" s="62">
        <f t="shared" si="204"/>
        <v>330.26301310239984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28.187745516490413</v>
      </c>
      <c r="AA198" s="23">
        <f>EXP(-LN(2)/25)*AA197+(1-EXP(-LN(2)/25))/(LN(2)/25)*Calculateur!V198*Calculateur!X198*VLOOKUP('Données projet'!$B$9,Paramètres!$A$1:$I$89,3,0)*0.475*44/12</f>
        <v>1.8295175428190986</v>
      </c>
      <c r="AB198" s="23">
        <f>EXP(-LN(2)/2)*AB197+(1-EXP(-LN(2)/2))/(LN(2)/2)*V198*Y198*VLOOKUP('Données projet'!$B$9,Paramètres!$A$1:$I$89,3,0)*0.475*44/12</f>
        <v>2.0323900044234375E-16</v>
      </c>
      <c r="AC198" s="24">
        <f t="shared" si="163"/>
        <v>30.01726305930951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1.1368683772161603E-12</v>
      </c>
      <c r="O199" s="14">
        <f>N199*VLOOKUP('Données projet'!$B$9,Paramètres!$A$1:$I$89,3,0)*VLOOKUP('Données projet'!$B$9,Paramètres!$A$1:$I$89,5,0)</f>
        <v>5.4683368944097316E-13</v>
      </c>
      <c r="P199" s="14">
        <f t="shared" si="203"/>
        <v>6.7409479707670667E-12</v>
      </c>
      <c r="Q199" s="22">
        <f t="shared" si="162"/>
        <v>1.2692886391529001E-11</v>
      </c>
      <c r="R199" s="62">
        <f t="shared" si="191"/>
        <v>293.33333333334599</v>
      </c>
      <c r="S199" s="62">
        <f ca="1">AVERAGE(OFFSET($R$3,0,0,'Données projet'!$E$9+1,1))-AVERAGE(OFFSET($H$3,0,0,'Données projet'!$E$9+1,1))</f>
        <v>417.73464038490249</v>
      </c>
      <c r="T199" s="62">
        <f t="shared" si="204"/>
        <v>330.26301310239984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27.63500101973915</v>
      </c>
      <c r="AA199" s="23">
        <f>EXP(-LN(2)/25)*AA198+(1-EXP(-LN(2)/25))/(LN(2)/25)*Calculateur!V199*Calculateur!X199*VLOOKUP('Données projet'!$B$9,Paramètres!$A$1:$I$89,3,0)*0.475*44/12</f>
        <v>1.7794892894005643</v>
      </c>
      <c r="AB199" s="23">
        <f>EXP(-LN(2)/2)*AB198+(1-EXP(-LN(2)/2))/(LN(2)/2)*V199*Y199*VLOOKUP('Données projet'!$B$9,Paramètres!$A$1:$I$89,3,0)*0.475*44/12</f>
        <v>1.43711675414357E-16</v>
      </c>
      <c r="AC199" s="24">
        <f t="shared" si="163"/>
        <v>29.414490309139715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1.1368683772161603E-12</v>
      </c>
      <c r="O200" s="14">
        <f>N200*VLOOKUP('Données projet'!$B$9,Paramètres!$A$1:$I$89,3,0)*VLOOKUP('Données projet'!$B$9,Paramètres!$A$1:$I$89,5,0)</f>
        <v>5.4683368944097316E-13</v>
      </c>
      <c r="P200" s="14">
        <f t="shared" si="203"/>
        <v>6.7409479707670667E-12</v>
      </c>
      <c r="Q200" s="22">
        <f t="shared" si="162"/>
        <v>1.2692886391529001E-11</v>
      </c>
      <c r="R200" s="62">
        <f t="shared" si="191"/>
        <v>293.33333333334599</v>
      </c>
      <c r="S200" s="62">
        <f ca="1">AVERAGE(OFFSET($R$3,0,0,'Données projet'!$E$9+1,1))-AVERAGE(OFFSET($H$3,0,0,'Données projet'!$E$9+1,1))</f>
        <v>417.73464038490249</v>
      </c>
      <c r="T200" s="62">
        <f t="shared" si="204"/>
        <v>330.26301310239984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27.093095505428327</v>
      </c>
      <c r="AA200" s="23">
        <f>EXP(-LN(2)/25)*AA199+(1-EXP(-LN(2)/25))/(LN(2)/25)*Calculateur!V200*Calculateur!X200*VLOOKUP('Données projet'!$B$9,Paramètres!$A$1:$I$89,3,0)*0.475*44/12</f>
        <v>1.7308290612026311</v>
      </c>
      <c r="AB200" s="23">
        <f>EXP(-LN(2)/2)*AB199+(1-EXP(-LN(2)/2))/(LN(2)/2)*V200*Y200*VLOOKUP('Données projet'!$B$9,Paramètres!$A$1:$I$89,3,0)*0.475*44/12</f>
        <v>1.0161950022117188E-16</v>
      </c>
      <c r="AC200" s="24">
        <f t="shared" si="163"/>
        <v>28.823924566630957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1.1368683772161603E-12</v>
      </c>
      <c r="O201" s="14">
        <f>N201*VLOOKUP('Données projet'!$B$9,Paramètres!$A$1:$I$89,3,0)*VLOOKUP('Données projet'!$B$9,Paramètres!$A$1:$I$89,5,0)</f>
        <v>5.4683368944097316E-13</v>
      </c>
      <c r="P201" s="14">
        <f t="shared" si="203"/>
        <v>6.7409479707670667E-12</v>
      </c>
      <c r="Q201" s="22">
        <f t="shared" si="162"/>
        <v>1.2692886391529001E-11</v>
      </c>
      <c r="R201" s="62">
        <f t="shared" si="191"/>
        <v>293.33333333334599</v>
      </c>
      <c r="S201" s="62">
        <f ca="1">AVERAGE(OFFSET($R$3,0,0,'Données projet'!$E$9+1,1))-AVERAGE(OFFSET($H$3,0,0,'Données projet'!$E$9+1,1))</f>
        <v>417.73464038490249</v>
      </c>
      <c r="T201" s="62">
        <f t="shared" si="204"/>
        <v>330.26301310239984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26.561816427723411</v>
      </c>
      <c r="AA201" s="23">
        <f>EXP(-LN(2)/25)*AA200+(1-EXP(-LN(2)/25))/(LN(2)/25)*Calculateur!V201*Calculateur!X201*VLOOKUP('Données projet'!$B$9,Paramètres!$A$1:$I$89,3,0)*0.475*44/12</f>
        <v>1.6834994495037008</v>
      </c>
      <c r="AB201" s="23">
        <f>EXP(-LN(2)/2)*AB200+(1-EXP(-LN(2)/2))/(LN(2)/2)*V201*Y201*VLOOKUP('Données projet'!$B$9,Paramètres!$A$1:$I$89,3,0)*0.475*44/12</f>
        <v>7.1855837707178498E-17</v>
      </c>
      <c r="AC201" s="24">
        <f t="shared" si="163"/>
        <v>28.24531587722711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1.1368683772161603E-12</v>
      </c>
      <c r="O202" s="14">
        <f>N202*VLOOKUP('Données projet'!$B$9,Paramètres!$A$1:$I$89,3,0)*VLOOKUP('Données projet'!$B$9,Paramètres!$A$1:$I$89,5,0)</f>
        <v>5.4683368944097316E-13</v>
      </c>
      <c r="P202" s="14">
        <f t="shared" si="203"/>
        <v>6.7409479707670667E-12</v>
      </c>
      <c r="Q202" s="22">
        <f t="shared" si="162"/>
        <v>1.2692886391529001E-11</v>
      </c>
      <c r="R202" s="62">
        <f t="shared" si="191"/>
        <v>293.33333333334599</v>
      </c>
      <c r="S202" s="62">
        <f ca="1">AVERAGE(OFFSET($R$3,0,0,'Données projet'!$E$9+1,1))-AVERAGE(OFFSET($H$3,0,0,'Données projet'!$E$9+1,1))</f>
        <v>417.73464038490249</v>
      </c>
      <c r="T202" s="62">
        <f t="shared" si="204"/>
        <v>330.26301310239984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26.040955408684049</v>
      </c>
      <c r="AA202" s="23">
        <f>EXP(-LN(2)/25)*AA201+(1-EXP(-LN(2)/25))/(LN(2)/25)*Calculateur!V202*Calculateur!X202*VLOOKUP('Données projet'!$B$9,Paramètres!$A$1:$I$89,3,0)*0.475*44/12</f>
        <v>1.6374640685256336</v>
      </c>
      <c r="AB202" s="23">
        <f>EXP(-LN(2)/2)*AB201+(1-EXP(-LN(2)/2))/(LN(2)/2)*V202*Y202*VLOOKUP('Données projet'!$B$9,Paramètres!$A$1:$I$89,3,0)*0.475*44/12</f>
        <v>5.0809750110585938E-17</v>
      </c>
      <c r="AC202" s="24">
        <f t="shared" si="163"/>
        <v>27.678419477209683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1.1368683772161603E-12</v>
      </c>
      <c r="O203" s="14">
        <f>N203*VLOOKUP('Données projet'!$B$9,Paramètres!$A$1:$I$89,3,0)*VLOOKUP('Données projet'!$B$9,Paramètres!$A$1:$I$89,5,0)</f>
        <v>5.4683368944097316E-13</v>
      </c>
      <c r="P203" s="14">
        <f t="shared" si="203"/>
        <v>6.7409479707670667E-12</v>
      </c>
      <c r="Q203" s="22">
        <f t="shared" si="162"/>
        <v>1.2692886391529001E-11</v>
      </c>
      <c r="R203" s="62">
        <f t="shared" si="191"/>
        <v>293.33333333334599</v>
      </c>
      <c r="S203" s="62">
        <f ca="1">AVERAGE(OFFSET($R$3,0,0,'Données projet'!$E$9+1,1))-AVERAGE(OFFSET($H$3,0,0,'Données projet'!$E$9+1,1))</f>
        <v>417.73464038490249</v>
      </c>
      <c r="T203" s="62">
        <f t="shared" si="204"/>
        <v>330.26301310239984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25.530308156534197</v>
      </c>
      <c r="AA203" s="23">
        <f>EXP(-LN(2)/25)*AA202+(1-EXP(-LN(2)/25))/(LN(2)/25)*Calculateur!V203*Calculateur!X203*VLOOKUP('Données projet'!$B$9,Paramètres!$A$1:$I$89,3,0)*0.475*44/12</f>
        <v>1.5926875274613073</v>
      </c>
      <c r="AB203" s="23">
        <f>EXP(-LN(2)/2)*AB202+(1-EXP(-LN(2)/2))/(LN(2)/2)*V203*Y203*VLOOKUP('Données projet'!$B$9,Paramètres!$A$1:$I$89,3,0)*0.475*44/12</f>
        <v>3.5927918853589249E-17</v>
      </c>
      <c r="AC203" s="24">
        <f t="shared" si="163"/>
        <v>27.122995683995505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1.2372861583129209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Sapin de Nordmann</v>
      </c>
      <c r="B6" s="155">
        <f>'Données projet'!D9</f>
        <v>0.75</v>
      </c>
      <c r="C6" s="156">
        <f ca="1">IF(OR('Données projet'!B9="",'Données projet'!C9="",'Données projet'!C9=0%),0,Calculateur!S3)</f>
        <v>417.73464038490249</v>
      </c>
      <c r="D6" s="156">
        <f>IF(OR('Données projet'!B9="",'Données projet'!C9="",'Données projet'!C9=0%),0,Calculateur!T3)</f>
        <v>330.26301310239984</v>
      </c>
      <c r="E6" s="156">
        <f ca="1">MIN(C6,D6)</f>
        <v>330.26301310239984</v>
      </c>
      <c r="F6" s="156">
        <f ca="1">E6*B6</f>
        <v>247.69725982679989</v>
      </c>
      <c r="G6" s="156">
        <f ca="1">F6*(100%-'Données projet'!$C$24)*(100%-'Données projet'!$C$25)*(100%-'Données projet'!$C$26)*(100%-'Données projet'!$C$27)</f>
        <v>189.48840376750192</v>
      </c>
      <c r="H6" s="157">
        <f>IF(OR('Données projet'!B9="",'Données projet'!C9="",'Données projet'!C9=0%),0,AVERAGE(Calculateur!$AC$3:$AC$33)*B6)</f>
        <v>1.7351973515483805</v>
      </c>
      <c r="I6" s="158">
        <f>H6*(100%-'Données projet'!$C$24)*(100%-'Données projet'!$C$25)*(100%-'Données projet'!$C$26)*(100%-'Données projet'!$C$27)</f>
        <v>1.3274259739345111</v>
      </c>
      <c r="J6" s="159">
        <f>IF(OR('Données projet'!B9="",'Données projet'!C9="",'Données projet'!C9=0%),0,SUM(Calculateur!$V$3:$V$33)*VLOOKUP('Données projet'!$B$9,Paramètres!$A$1:$I$89,9,0)*B6)</f>
        <v>12.899999999999999</v>
      </c>
      <c r="K6" s="160">
        <f>J6*(100%-'Données projet'!$C$24)*(100%-'Données projet'!$C$25)*(100%-'Données projet'!$C$26)*(100%-'Données projet'!$C$27)</f>
        <v>9.8684999999999992</v>
      </c>
      <c r="L6" s="161">
        <f ca="1">G6+I6+K6</f>
        <v>200.68432974143644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247.69725982679989</v>
      </c>
      <c r="G16" s="175">
        <f t="shared" ca="1" si="3"/>
        <v>189.48840376750192</v>
      </c>
      <c r="H16" s="176">
        <f t="shared" si="3"/>
        <v>1.7351973515483805</v>
      </c>
      <c r="I16" s="176">
        <f t="shared" si="3"/>
        <v>1.3274259739345111</v>
      </c>
      <c r="J16" s="177">
        <f t="shared" si="3"/>
        <v>12.899999999999999</v>
      </c>
      <c r="K16" s="177">
        <f t="shared" si="3"/>
        <v>9.8684999999999992</v>
      </c>
      <c r="L16" s="178">
        <f t="shared" ca="1" si="3"/>
        <v>200.68432974143644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Sapin de Nordmann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5"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Sapin de Nordmann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-1253.703783332161</v>
      </c>
      <c r="U10" s="190">
        <f>'Données projet'!D9</f>
        <v>0.75</v>
      </c>
      <c r="V10" s="189">
        <f>U10*T10</f>
        <v>-940.27783749912078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Sapin de Nordmann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2145/0.75</f>
        <v>2860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(1930.5+262.5+520.56)/0.75</f>
        <v>3618.08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500+242</f>
        <v>742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550</f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40</v>
      </c>
      <c r="C23" s="206">
        <v>7</v>
      </c>
      <c r="D23" s="194">
        <f>B23*C23</f>
        <v>280</v>
      </c>
      <c r="E23" s="206"/>
      <c r="F23" s="261"/>
      <c r="H23" s="203">
        <v>4</v>
      </c>
      <c r="I23" s="204">
        <v>550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-5830.8214220952159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550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112</v>
      </c>
      <c r="C25" s="206">
        <v>12</v>
      </c>
      <c r="D25" s="194">
        <f t="shared" si="2"/>
        <v>1344</v>
      </c>
      <c r="E25" s="206"/>
      <c r="F25" s="264"/>
      <c r="G25" s="1"/>
      <c r="H25" s="203">
        <v>6</v>
      </c>
      <c r="I25" s="204">
        <f>550+350+(296.28/0.75)</f>
        <v>1295.04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-5830.8214220952159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168</v>
      </c>
      <c r="C26" s="206">
        <v>18</v>
      </c>
      <c r="D26" s="194">
        <f t="shared" si="2"/>
        <v>3024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70</v>
      </c>
      <c r="B27" s="193">
        <f>'Données projet'!D40</f>
        <v>194</v>
      </c>
      <c r="C27" s="206">
        <v>25</v>
      </c>
      <c r="D27" s="194">
        <f t="shared" si="2"/>
        <v>4850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80</v>
      </c>
      <c r="B28" s="193">
        <f>'Données projet'!D41</f>
        <v>753</v>
      </c>
      <c r="C28" s="206">
        <v>30</v>
      </c>
      <c r="D28" s="194">
        <f t="shared" si="2"/>
        <v>22590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2022-04-29T09:46:23Z</dcterms:modified>
</cp:coreProperties>
</file>