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Sabres\Projet Villenave_112021\"/>
    </mc:Choice>
  </mc:AlternateContent>
  <bookViews>
    <workbookView xWindow="0" yWindow="0" windowWidth="28800" windowHeight="12708" tabRatio="866" activeTab="5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BQ4" i="2" s="1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HI4" i="2" l="1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EA5" i="2" s="1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HI5" i="2" l="1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R6" i="2" s="1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V6" i="2" l="1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EW7" i="2" s="1"/>
  <c r="FO7" i="2"/>
  <c r="FN7" i="2"/>
  <c r="DY7" i="2"/>
  <c r="EB7" i="2" s="1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FS7" i="2" l="1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HG9" i="2" s="1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I9" i="2" l="1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EA10" i="2" s="1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I10" i="2" l="1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I12" i="2" l="1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B14" i="2" s="1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I14" i="2" l="1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HI18" i="2" l="1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HG20" i="2" s="1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I20" i="2" l="1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HH21" i="2" s="1"/>
  <c r="GJ21" i="2"/>
  <c r="HD21" i="2"/>
  <c r="GI21" i="2"/>
  <c r="FO21" i="2"/>
  <c r="FN21" i="2"/>
  <c r="DY21" i="2"/>
  <c r="EB21" i="2" s="1"/>
  <c r="ET21" i="2"/>
  <c r="EW21" i="2" s="1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X21" i="2" l="1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EW22" i="2" s="1"/>
  <c r="FO22" i="2"/>
  <c r="FN22" i="2"/>
  <c r="DY22" i="2"/>
  <c r="EB22" i="2" s="1"/>
  <c r="ES22" i="2"/>
  <c r="BN22" i="2"/>
  <c r="CH22" i="2"/>
  <c r="AS22" i="2"/>
  <c r="W22" i="2"/>
  <c r="DX22" i="2"/>
  <c r="EA22" i="2" s="1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I22" i="2" l="1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B28" i="2" s="1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X28" i="2" l="1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DG31" i="2" s="1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EC31" i="2" l="1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HG33" i="2" s="1"/>
  <c r="FO33" i="2"/>
  <c r="FN33" i="2"/>
  <c r="GI33" i="2"/>
  <c r="DY33" i="2"/>
  <c r="EB33" i="2" s="1"/>
  <c r="DD33" i="2"/>
  <c r="ET33" i="2"/>
  <c r="EW33" i="2" s="1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GM33" i="2" l="1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EA35" i="2" s="1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S35" i="2" l="1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B37" i="2" s="1"/>
  <c r="ET37" i="2"/>
  <c r="ES37" i="2"/>
  <c r="DD37" i="2"/>
  <c r="CH37" i="2"/>
  <c r="AS37" i="2"/>
  <c r="DX37" i="2"/>
  <c r="EA37" i="2" s="1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I37" i="2" l="1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EW38" i="2" s="1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V38" i="2" l="1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EX40" i="2" l="1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G42" i="2" s="1"/>
  <c r="HE42" i="2"/>
  <c r="GI42" i="2"/>
  <c r="GJ42" i="2"/>
  <c r="ET42" i="2"/>
  <c r="FN42" i="2"/>
  <c r="FO42" i="2"/>
  <c r="DY42" i="2"/>
  <c r="BN42" i="2"/>
  <c r="ES42" i="2"/>
  <c r="EV42" i="2" s="1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C42" i="2" l="1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DG43" i="2" s="1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FS43" i="2" l="1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I44" i="2" l="1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B45" i="2" s="1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C45" i="2" l="1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EW46" i="2" s="1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FS46" i="2" l="1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FS47" i="2" l="1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FS48" i="2" l="1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G50" i="2" s="1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W50" i="2" l="1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HI51" i="2" l="1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HI52" i="2" l="1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EA53" i="2" s="1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C53" i="2" l="1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HG57" i="2" s="1"/>
  <c r="FN57" i="2"/>
  <c r="DY57" i="2"/>
  <c r="EB57" i="2" s="1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C57" i="2" l="1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EA58" i="2" s="1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X58" i="2" l="1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FS59" i="2" l="1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G60" i="2" s="1"/>
  <c r="HE60" i="2"/>
  <c r="HH60" i="2" s="1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FS60" i="2" l="1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HI61" i="2" l="1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B62" i="2" s="1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C62" i="2" l="1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I63" i="2" l="1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I64" i="2" l="1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HH66" i="2" s="1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W66" i="2" l="1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HH67" i="2" s="1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FS67" i="2" l="1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EW70" i="2" s="1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C70" i="2" l="1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I71" i="2" l="1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FR74" i="2" s="1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C74" i="2" l="1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X75" i="2" l="1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AU78" i="2" l="1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G82" i="2" s="1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X82" i="2" l="1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HG85" i="2" s="1"/>
  <c r="GI85" i="2"/>
  <c r="FO85" i="2"/>
  <c r="FN85" i="2"/>
  <c r="ET85" i="2"/>
  <c r="EW85" i="2" s="1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FS85" i="2" l="1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FS86" i="2" l="1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G87" i="2" s="1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I87" i="2" l="1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EC90" i="2" l="1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EW92" i="2" s="1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HI92" i="2" l="1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EC93" i="2" s="1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FS93" i="2" l="1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FQ95" i="2" s="1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S95" i="2" l="1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C98" i="2" l="1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HH99" i="2" s="1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X99" i="2" l="1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AU100" i="2" l="1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HI104" i="2" l="1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X105" i="2" l="1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EB107" i="2" s="1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I107" i="2" l="1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X108" i="2" l="1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EB109" i="2" s="1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HI109" i="2" l="1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FS112" i="2" l="1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AW113" i="2" l="1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C114" i="2" l="1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EV116" i="2" s="1"/>
  <c r="DX116" i="2"/>
  <c r="EA116" i="2" s="1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I116" i="2" l="1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X117" i="2" l="1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FQ118" i="2" s="1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I118" i="2" l="1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G119" i="2" s="1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I119" i="2" l="1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HH120" i="2" s="1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C120" i="2" l="1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AW121" i="2" l="1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HH122" i="2" s="1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AU122" i="2" l="1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HH123" i="2" s="1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FS123" i="2" l="1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C124" i="2" l="1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G126" i="2" s="1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I126" i="2" l="1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V127" i="2" s="1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C127" i="2" l="1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I128" i="2" l="1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EW130" i="2" s="1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A130" i="2" l="1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I132" i="2" l="1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W133" i="2" s="1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I133" i="2" l="1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EW134" i="2" s="1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C134" i="2" l="1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EW135" i="2" s="1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HI135" i="2" l="1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FS137" i="2" l="1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HI138" i="2" l="1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EB139" i="2" s="1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X139" i="2" l="1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G140" i="2" s="1"/>
  <c r="HE140" i="2"/>
  <c r="HH140" i="2" s="1"/>
  <c r="FO140" i="2"/>
  <c r="FR140" i="2" s="1"/>
  <c r="GI140" i="2"/>
  <c r="ES140" i="2"/>
  <c r="DX140" i="2"/>
  <c r="CI140" i="2"/>
  <c r="BM140" i="2"/>
  <c r="GJ140" i="2"/>
  <c r="FN140" i="2"/>
  <c r="DY140" i="2"/>
  <c r="EB140" i="2" s="1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EX140" i="2" s="1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I140" i="2" l="1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FS142" i="2" l="1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C143" i="2" l="1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G144" i="2" s="1"/>
  <c r="HE144" i="2"/>
  <c r="HH144" i="2" s="1"/>
  <c r="FO144" i="2"/>
  <c r="FR144" i="2" s="1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HI144" i="2" l="1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I145" i="2" l="1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G146" i="2" s="1"/>
  <c r="HE146" i="2"/>
  <c r="HH146" i="2" s="1"/>
  <c r="GJ146" i="2"/>
  <c r="GI146" i="2"/>
  <c r="ET146" i="2"/>
  <c r="FN146" i="2"/>
  <c r="DD146" i="2"/>
  <c r="BN146" i="2"/>
  <c r="FO146" i="2"/>
  <c r="FR146" i="2" s="1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X146" i="2" l="1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FS149" i="2" l="1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I150" i="2" s="1"/>
  <c r="HF150" i="2"/>
  <c r="HB150" i="2"/>
  <c r="GS150" i="2"/>
  <c r="GR150" i="2"/>
  <c r="GK150" i="2"/>
  <c r="GH150" i="2"/>
  <c r="FL150" i="2"/>
  <c r="FC150" i="2"/>
  <c r="FW150" i="2"/>
  <c r="FM150" i="2"/>
  <c r="FS150" i="2" s="1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X150" i="2" l="1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HI151" i="2" l="1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HI153" i="2" l="1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V156" i="2" l="1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B157" i="2" s="1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FS157" i="2" l="1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FS159" i="2" l="1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X160" i="2" l="1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B162" i="2" s="1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FS162" i="2" l="1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I163" i="2" s="1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V163" i="2" s="1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FS163" i="2" l="1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EV164" i="2" s="1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C164" i="2" l="1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S167" i="2" l="1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I169" i="2" l="1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C172" i="2" l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HG174" i="2" s="1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A174" i="2" l="1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EW175" i="2" s="1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X175" i="2" l="1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I178" i="2" l="1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V179" i="2" s="1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FS179" i="2" l="1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X186" i="2" l="1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FS188" i="2" l="1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EB190" i="2" s="1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HI190" i="2" l="1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AW192" i="2" l="1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S193" i="2" l="1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AW194" i="2" l="1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AU195" i="2" l="1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EC197" i="2" s="1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X197" i="2" l="1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I199" i="2" l="1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HI201" i="2" l="1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V202" i="2" l="1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BP203" i="2" s="1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EC203" i="2" l="1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<sst xmlns="http://schemas.openxmlformats.org/spreadsheetml/2006/main" count="1170" uniqueCount="324">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</sst>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2.1432339041486439</c:v>
                </c:pt>
                <c:pt idx="2">
                  <c:v>2.9624125431396595</c:v>
                </c:pt>
                <c:pt idx="3">
                  <c:v>4.0960382720811017</c:v>
                </c:pt>
                <c:pt idx="4">
                  <c:v>5.665299100937438</c:v>
                </c:pt>
                <c:pt idx="5">
                  <c:v>7.838263549491888</c:v>
                </c:pt>
                <c:pt idx="6">
                  <c:v>10.84807851462142</c:v>
                </c:pt>
                <c:pt idx="7">
                  <c:v>15.018253432744125</c:v>
                </c:pt>
                <c:pt idx="8">
                  <c:v>20.797798100704636</c:v>
                </c:pt>
                <c:pt idx="9">
                  <c:v>28.810065054279107</c:v>
                </c:pt>
                <c:pt idx="10">
                  <c:v>39.920656183703365</c:v>
                </c:pt>
                <c:pt idx="11">
                  <c:v>55.728814260984997</c:v>
                </c:pt>
                <c:pt idx="12">
                  <c:v>73.803102399192525</c:v>
                </c:pt>
                <c:pt idx="13">
                  <c:v>76.18607486224613</c:v>
                </c:pt>
                <c:pt idx="14">
                  <c:v>95.186564611203053</c:v>
                </c:pt>
                <c:pt idx="15">
                  <c:v>115.53301629645597</c:v>
                </c:pt>
                <c:pt idx="16">
                  <c:v>137.09597959969219</c:v>
                </c:pt>
                <c:pt idx="17">
                  <c:v>159.61689603880973</c:v>
                </c:pt>
                <c:pt idx="18">
                  <c:v>182.71012786498821</c:v>
                </c:pt>
                <c:pt idx="19">
                  <c:v>157.92734542365716</c:v>
                </c:pt>
                <c:pt idx="20">
                  <c:v>178.56386264293323</c:v>
                </c:pt>
                <c:pt idx="21">
                  <c:v>199.53227181605993</c:v>
                </c:pt>
                <c:pt idx="22">
                  <c:v>220.83649103083076</c:v>
                </c:pt>
                <c:pt idx="23">
                  <c:v>242.09352745507479</c:v>
                </c:pt>
                <c:pt idx="24">
                  <c:v>263.43655821796307</c:v>
                </c:pt>
                <c:pt idx="25">
                  <c:v>284.74058466024275</c:v>
                </c:pt>
                <c:pt idx="26">
                  <c:v>233.33844328835971</c:v>
                </c:pt>
                <c:pt idx="27">
                  <c:v>251.74153008738961</c:v>
                </c:pt>
                <c:pt idx="28">
                  <c:v>269.72899324208106</c:v>
                </c:pt>
                <c:pt idx="29">
                  <c:v>287.49716700006434</c:v>
                </c:pt>
                <c:pt idx="30">
                  <c:v>305.240786782334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46320"/>
        <c:axId val="-1120943056"/>
      </c:scatterChart>
      <c:valAx>
        <c:axId val="-112094632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3056"/>
        <c:crosses val="autoZero"/>
        <c:crossBetween val="midCat"/>
      </c:valAx>
      <c:valAx>
        <c:axId val="-11209430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632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52848"/>
        <c:axId val="-1120945232"/>
      </c:scatterChart>
      <c:valAx>
        <c:axId val="-112095284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5232"/>
        <c:crosses val="autoZero"/>
        <c:crossBetween val="midCat"/>
      </c:valAx>
      <c:valAx>
        <c:axId val="-1120945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28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56112"/>
        <c:axId val="-1120935984"/>
      </c:scatterChart>
      <c:valAx>
        <c:axId val="-11209561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35984"/>
        <c:crosses val="autoZero"/>
        <c:crossBetween val="midCat"/>
      </c:valAx>
      <c:valAx>
        <c:axId val="-11209359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61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57744"/>
        <c:axId val="-1120949584"/>
      </c:scatterChart>
      <c:valAx>
        <c:axId val="-11209577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9584"/>
        <c:crosses val="autoZero"/>
        <c:crossBetween val="midCat"/>
      </c:valAx>
      <c:valAx>
        <c:axId val="-112094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77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37072"/>
        <c:axId val="-1120958288"/>
      </c:scatterChart>
      <c:valAx>
        <c:axId val="-11209370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8288"/>
        <c:crosses val="autoZero"/>
        <c:crossBetween val="midCat"/>
      </c:valAx>
      <c:valAx>
        <c:axId val="-1120958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37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57200"/>
        <c:axId val="-1120948496"/>
      </c:scatterChart>
      <c:valAx>
        <c:axId val="-11209572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8496"/>
        <c:crosses val="autoZero"/>
        <c:crossBetween val="midCat"/>
      </c:valAx>
      <c:valAx>
        <c:axId val="-11209484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72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30544"/>
        <c:axId val="-1120956656"/>
      </c:scatterChart>
      <c:valAx>
        <c:axId val="-11209305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6656"/>
        <c:crosses val="autoZero"/>
        <c:crossBetween val="midCat"/>
      </c:valAx>
      <c:valAx>
        <c:axId val="-1120956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305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47408"/>
        <c:axId val="-1120940880"/>
      </c:scatterChart>
      <c:valAx>
        <c:axId val="-11209474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0880"/>
        <c:crosses val="autoZero"/>
        <c:crossBetween val="midCat"/>
      </c:valAx>
      <c:valAx>
        <c:axId val="-1120940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474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55024"/>
        <c:axId val="-1120950128"/>
      </c:scatterChart>
      <c:valAx>
        <c:axId val="-11209550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0128"/>
        <c:crosses val="autoZero"/>
        <c:crossBetween val="midCat"/>
      </c:valAx>
      <c:valAx>
        <c:axId val="-1120950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550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120939792"/>
        <c:axId val="-1120928368"/>
      </c:scatterChart>
      <c:valAx>
        <c:axId val="-11209397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28368"/>
        <c:crosses val="autoZero"/>
        <c:crossBetween val="midCat"/>
      </c:valAx>
      <c:valAx>
        <c:axId val="-112092836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11209397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=""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=""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=""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=""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=""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=""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=""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=""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77734375" customWidth="1"/>
    <col min="2" max="13" width="15.777343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opLeftCell="A14" zoomScale="90" zoomScaleNormal="90" workbookViewId="0">
      <selection activeCell="F45" sqref="F45"/>
    </sheetView>
  </sheetViews>
  <sheetFormatPr baseColWidth="10" defaultColWidth="11.44140625" defaultRowHeight="14.4" x14ac:dyDescent="0.3"/>
  <cols>
    <col min="1" max="1" width="13.77734375" style="25" customWidth="1"/>
    <col min="2" max="2" width="36.21875" style="25" customWidth="1"/>
    <col min="3" max="3" width="14.77734375" style="25" bestFit="1" customWidth="1"/>
    <col min="4" max="4" width="16.44140625" style="25" customWidth="1"/>
    <col min="5" max="5" width="23.21875" style="25" customWidth="1"/>
    <col min="6" max="6" width="28.77734375" style="25" bestFit="1" customWidth="1"/>
    <col min="7" max="8" width="14.77734375" style="25" customWidth="1"/>
    <col min="9" max="9" width="17" style="25" customWidth="1"/>
    <col min="10" max="10" width="13.777343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36</v>
      </c>
      <c r="C9" s="35">
        <v>1</v>
      </c>
      <c r="D9" s="36">
        <f t="shared" ref="D9:D18" si="0">C9*$C$5</f>
        <v>1</v>
      </c>
      <c r="E9" s="37">
        <v>30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10</v>
      </c>
      <c r="B36" s="63">
        <v>28.8</v>
      </c>
      <c r="C36" s="63"/>
      <c r="D36" s="63"/>
      <c r="E36" s="54"/>
      <c r="F36" s="54"/>
      <c r="G36" s="54"/>
      <c r="H36" s="54"/>
      <c r="I36" s="52">
        <f>IFERROR(B36/A36,"")</f>
        <v>2.88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11</v>
      </c>
      <c r="B37" s="63">
        <v>40.6</v>
      </c>
      <c r="C37" s="63"/>
      <c r="D37" s="63"/>
      <c r="E37" s="54"/>
      <c r="F37" s="54"/>
      <c r="G37" s="54"/>
      <c r="H37" s="54"/>
      <c r="I37" s="56">
        <f t="shared" ref="I37:I55" si="1">IF(A37&lt;&gt;0,(B37-(B36-D36))/(A37-A36),"")</f>
        <v>11.8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12</v>
      </c>
      <c r="B38" s="63">
        <v>54.2</v>
      </c>
      <c r="C38" s="63">
        <v>1</v>
      </c>
      <c r="D38" s="63">
        <v>10.9</v>
      </c>
      <c r="E38" s="54"/>
      <c r="F38" s="54"/>
      <c r="G38" s="54">
        <v>1</v>
      </c>
      <c r="H38" s="54"/>
      <c r="I38" s="56">
        <f t="shared" si="1"/>
        <v>13.600000000000001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13</v>
      </c>
      <c r="B39" s="63">
        <v>56</v>
      </c>
      <c r="C39" s="63"/>
      <c r="D39" s="63"/>
      <c r="E39" s="54"/>
      <c r="F39" s="54"/>
      <c r="G39" s="54"/>
      <c r="H39" s="54"/>
      <c r="I39" s="52">
        <f t="shared" si="1"/>
        <v>12.699999999999996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14</v>
      </c>
      <c r="B40" s="63">
        <v>70.400000000000006</v>
      </c>
      <c r="C40" s="63"/>
      <c r="D40" s="63"/>
      <c r="E40" s="54"/>
      <c r="F40" s="54"/>
      <c r="G40" s="54"/>
      <c r="H40" s="54"/>
      <c r="I40" s="52">
        <f t="shared" si="1"/>
        <v>14.400000000000006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15</v>
      </c>
      <c r="B41" s="63">
        <v>85.9</v>
      </c>
      <c r="C41" s="63"/>
      <c r="D41" s="63"/>
      <c r="E41" s="54"/>
      <c r="F41" s="54"/>
      <c r="G41" s="54"/>
      <c r="H41" s="54"/>
      <c r="I41" s="56">
        <f t="shared" si="1"/>
        <v>15.5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16</v>
      </c>
      <c r="B42" s="63">
        <v>102.4</v>
      </c>
      <c r="C42" s="63"/>
      <c r="D42" s="63"/>
      <c r="E42" s="54"/>
      <c r="F42" s="54"/>
      <c r="G42" s="54"/>
      <c r="H42" s="54"/>
      <c r="I42" s="56">
        <f t="shared" si="1"/>
        <v>16.5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17</v>
      </c>
      <c r="B43" s="63">
        <v>119.7</v>
      </c>
      <c r="C43" s="63"/>
      <c r="D43" s="63"/>
      <c r="E43" s="54"/>
      <c r="F43" s="54"/>
      <c r="G43" s="54"/>
      <c r="H43" s="54"/>
      <c r="I43" s="52">
        <f t="shared" si="1"/>
        <v>17.299999999999997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18</v>
      </c>
      <c r="B44" s="63">
        <v>137.5</v>
      </c>
      <c r="C44" s="63">
        <v>2</v>
      </c>
      <c r="D44" s="63">
        <v>33.299999999999997</v>
      </c>
      <c r="E44" s="54">
        <v>0.15</v>
      </c>
      <c r="F44" s="54"/>
      <c r="G44" s="54">
        <v>0.85</v>
      </c>
      <c r="H44" s="54"/>
      <c r="I44" s="52">
        <f t="shared" si="1"/>
        <v>17.799999999999997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19</v>
      </c>
      <c r="B45" s="63">
        <v>118.4</v>
      </c>
      <c r="C45" s="63"/>
      <c r="D45" s="63"/>
      <c r="E45" s="54"/>
      <c r="F45" s="54"/>
      <c r="G45" s="54"/>
      <c r="H45" s="54"/>
      <c r="I45" s="52">
        <f t="shared" si="1"/>
        <v>14.200000000000003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20</v>
      </c>
      <c r="B46" s="63">
        <v>134.30000000000001</v>
      </c>
      <c r="C46" s="63"/>
      <c r="D46" s="63"/>
      <c r="E46" s="54"/>
      <c r="F46" s="54"/>
      <c r="G46" s="54"/>
      <c r="H46" s="54"/>
      <c r="I46" s="52">
        <f t="shared" si="1"/>
        <v>15.900000000000006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21</v>
      </c>
      <c r="B47" s="63">
        <v>150.5</v>
      </c>
      <c r="C47" s="63"/>
      <c r="D47" s="63"/>
      <c r="E47" s="54"/>
      <c r="F47" s="54"/>
      <c r="G47" s="54"/>
      <c r="H47" s="54"/>
      <c r="I47" s="52">
        <f t="shared" si="1"/>
        <v>16.199999999999989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22</v>
      </c>
      <c r="B48" s="63">
        <v>167</v>
      </c>
      <c r="C48" s="63"/>
      <c r="D48" s="63"/>
      <c r="E48" s="54"/>
      <c r="F48" s="54"/>
      <c r="G48" s="54"/>
      <c r="H48" s="54"/>
      <c r="I48" s="52">
        <f t="shared" si="1"/>
        <v>16.5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23</v>
      </c>
      <c r="B49" s="63">
        <v>183.5</v>
      </c>
      <c r="C49" s="63"/>
      <c r="D49" s="63"/>
      <c r="E49" s="54"/>
      <c r="F49" s="54"/>
      <c r="G49" s="54"/>
      <c r="H49" s="54"/>
      <c r="I49" s="52">
        <f t="shared" si="1"/>
        <v>16.5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24</v>
      </c>
      <c r="B50" s="53">
        <v>200.1</v>
      </c>
      <c r="C50" s="53"/>
      <c r="D50" s="53"/>
      <c r="E50" s="54"/>
      <c r="F50" s="54"/>
      <c r="G50" s="54"/>
      <c r="H50" s="54"/>
      <c r="I50" s="52">
        <f t="shared" si="1"/>
        <v>16.599999999999994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25</v>
      </c>
      <c r="B51" s="53">
        <v>216.7</v>
      </c>
      <c r="C51" s="53">
        <v>3</v>
      </c>
      <c r="D51" s="53">
        <v>52.4</v>
      </c>
      <c r="E51" s="54">
        <v>0.4</v>
      </c>
      <c r="F51" s="54"/>
      <c r="G51" s="54">
        <v>0.6</v>
      </c>
      <c r="H51" s="54"/>
      <c r="I51" s="52">
        <f t="shared" si="1"/>
        <v>16.599999999999994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26</v>
      </c>
      <c r="B52" s="53">
        <v>176.7</v>
      </c>
      <c r="C52" s="53"/>
      <c r="D52" s="53"/>
      <c r="E52" s="54"/>
      <c r="F52" s="54"/>
      <c r="G52" s="54"/>
      <c r="H52" s="54"/>
      <c r="I52" s="52">
        <f t="shared" si="1"/>
        <v>12.400000000000006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27</v>
      </c>
      <c r="B53" s="53">
        <v>191</v>
      </c>
      <c r="C53" s="53"/>
      <c r="D53" s="53"/>
      <c r="E53" s="54"/>
      <c r="F53" s="54"/>
      <c r="G53" s="54"/>
      <c r="H53" s="54"/>
      <c r="I53" s="52">
        <f t="shared" si="1"/>
        <v>14.300000000000011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28</v>
      </c>
      <c r="B54" s="53">
        <v>205</v>
      </c>
      <c r="C54" s="53"/>
      <c r="D54" s="53"/>
      <c r="E54" s="54"/>
      <c r="F54" s="54"/>
      <c r="G54" s="54"/>
      <c r="H54" s="54"/>
      <c r="I54" s="52">
        <f t="shared" si="1"/>
        <v>14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30</v>
      </c>
      <c r="B55" s="53">
        <v>232.7</v>
      </c>
      <c r="C55" s="53"/>
      <c r="D55" s="53">
        <v>232.7</v>
      </c>
      <c r="E55" s="54">
        <v>0.8</v>
      </c>
      <c r="F55" s="54"/>
      <c r="G55" s="54">
        <v>0.2</v>
      </c>
      <c r="H55" s="54"/>
      <c r="I55" s="52">
        <f t="shared" si="1"/>
        <v>13.849999999999994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topLeftCell="A4" zoomScale="115" zoomScaleNormal="115" workbookViewId="0">
      <selection activeCell="G24" sqref="G24"/>
    </sheetView>
  </sheetViews>
  <sheetFormatPr baseColWidth="10" defaultColWidth="11.44140625" defaultRowHeight="14.4" x14ac:dyDescent="0.3"/>
  <cols>
    <col min="1" max="1" width="5.77734375" style="1" customWidth="1"/>
    <col min="2" max="2" width="14.21875" style="1" customWidth="1"/>
    <col min="3" max="3" width="62.21875" style="1" customWidth="1"/>
    <col min="4" max="5" width="4.21875" style="1" customWidth="1"/>
    <col min="6" max="6" width="14.21875" style="1" customWidth="1"/>
    <col min="7" max="7" width="73.2187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71" bestFit="1" customWidth="1"/>
    <col min="2" max="4" width="11.44140625" style="71"/>
    <col min="5" max="5" width="9.5546875" style="71" customWidth="1"/>
    <col min="6" max="7" width="11.44140625" style="71"/>
    <col min="8" max="8" width="10.7773437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77734375" style="71" bestFit="1" customWidth="1"/>
    <col min="25" max="25" width="14.5546875" style="71" bestFit="1" customWidth="1"/>
    <col min="26" max="26" width="12.44140625" style="71" bestFit="1" customWidth="1"/>
    <col min="27" max="27" width="9.7773437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21875" style="71" bestFit="1" customWidth="1"/>
    <col min="45" max="45" width="11.77734375" style="71" bestFit="1" customWidth="1"/>
    <col min="46" max="46" width="8.44140625" style="71" bestFit="1" customWidth="1"/>
    <col min="47" max="47" width="9.44140625" style="71" bestFit="1" customWidth="1"/>
    <col min="48" max="48" width="9.7773437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2187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21875" style="71" bestFit="1" customWidth="1"/>
    <col min="66" max="66" width="11.77734375" style="71" bestFit="1" customWidth="1"/>
    <col min="67" max="67" width="8.44140625" style="71" bestFit="1" customWidth="1"/>
    <col min="68" max="68" width="9.44140625" style="71" bestFit="1" customWidth="1"/>
    <col min="69" max="69" width="9.7773437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777343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21875" style="71" bestFit="1" customWidth="1"/>
    <col min="87" max="87" width="11.77734375" style="71" bestFit="1" customWidth="1"/>
    <col min="88" max="88" width="8.44140625" style="71" bestFit="1" customWidth="1"/>
    <col min="89" max="89" width="9.44140625" style="71" bestFit="1" customWidth="1"/>
    <col min="90" max="90" width="9.7773437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21875" style="71" bestFit="1" customWidth="1"/>
    <col min="108" max="108" width="11.77734375" style="71" bestFit="1" customWidth="1"/>
    <col min="109" max="109" width="8.44140625" style="71" bestFit="1" customWidth="1"/>
    <col min="110" max="110" width="9.44140625" style="71" bestFit="1" customWidth="1"/>
    <col min="111" max="111" width="9.7773437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2187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21875" style="71" bestFit="1" customWidth="1"/>
    <col min="129" max="129" width="11.77734375" style="71" bestFit="1" customWidth="1"/>
    <col min="130" max="130" width="8.44140625" style="71" bestFit="1" customWidth="1"/>
    <col min="131" max="131" width="9.44140625" style="71" bestFit="1" customWidth="1"/>
    <col min="132" max="132" width="9.7773437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21875" style="71" bestFit="1" customWidth="1"/>
    <col min="150" max="150" width="11.77734375" style="71" bestFit="1" customWidth="1"/>
    <col min="151" max="151" width="8.44140625" style="71" bestFit="1" customWidth="1"/>
    <col min="152" max="152" width="9.44140625" style="71" bestFit="1" customWidth="1"/>
    <col min="153" max="153" width="9.7773437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21875" style="71" bestFit="1" customWidth="1"/>
    <col min="171" max="171" width="11.77734375" style="71" bestFit="1" customWidth="1"/>
    <col min="172" max="172" width="8.21875" style="71" bestFit="1" customWidth="1"/>
    <col min="173" max="173" width="9.44140625" style="71" bestFit="1" customWidth="1"/>
    <col min="174" max="174" width="9.7773437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2187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7773437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2187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21875" style="71" bestFit="1" customWidth="1"/>
    <col min="213" max="213" width="11.77734375" style="71" bestFit="1" customWidth="1"/>
    <col min="214" max="214" width="8.44140625" style="71" bestFit="1" customWidth="1"/>
    <col min="215" max="215" width="9.44140625" style="71" bestFit="1" customWidth="1"/>
    <col min="216" max="216" width="9.7773437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maritime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/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105.65599058387949</v>
      </c>
      <c r="T3" s="62">
        <f>IF('Données projet'!E9&gt;30,$R$33-$H$33,LOOKUP('Données projet'!$E$9,$A$3:$A$203,R3:R203)-LOOKUP('Données projet'!$E$9,$A$3:$A$203,$H$3:$H$203))</f>
        <v>263.7057787204958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2.88</v>
      </c>
      <c r="N4" s="14">
        <f>IF('Données projet'!$A$36&gt;35,N3+M4-V3,IF(A4&lt;'Données projet'!$A$36,$K$205^A4,IF(A4='Données projet'!$A$36,'Données projet'!$B$36,N3+M4-V3)))</f>
        <v>1.3993915551845928</v>
      </c>
      <c r="O4" s="14">
        <f>N4*VLOOKUP('Données projet'!$B$9,Paramètres!$A$1:$I$89,3,0)*VLOOKUP('Données projet'!$B$9,Paramètres!$A$1:$I$89,5,0)</f>
        <v>0.83683615000038658</v>
      </c>
      <c r="P4" s="14">
        <f>EXP(-1.0587+0.8836*LN(O4)+0.284)</f>
        <v>0.39372877104189702</v>
      </c>
      <c r="Q4" s="22">
        <f t="shared" ref="Q4:Q34" si="2">(O4+P4)*0.475*44/12</f>
        <v>2.1432339041486439</v>
      </c>
      <c r="R4" s="62">
        <f t="shared" si="0"/>
        <v>295.47656723748196</v>
      </c>
      <c r="S4" s="62">
        <f ca="1">AVERAGE(OFFSET($R$3,0,0,'Données projet'!$E$9+1,1))-AVERAGE(OFFSET($H$3,0,0,'Données projet'!$E$9+1,1))</f>
        <v>105.65599058387949</v>
      </c>
      <c r="T4" s="62">
        <f>$T$3</f>
        <v>263.7057787204958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2.88</v>
      </c>
      <c r="N5" s="14">
        <f>IF('Données projet'!$A$36&gt;35,N4+M5-V4,IF(A5&lt;'Données projet'!$A$36,$K$205^A5,IF(A5='Données projet'!$A$36,'Données projet'!$B$36,N4+M5-V4)))</f>
        <v>1.9582967247219532</v>
      </c>
      <c r="O5" s="14">
        <f>N5*VLOOKUP('Données projet'!$B$9,Paramètres!$A$1:$I$89,3,0)*VLOOKUP('Données projet'!$B$9,Paramètres!$A$1:$I$89,5,0)</f>
        <v>1.1710614413837281</v>
      </c>
      <c r="P5" s="14">
        <f t="shared" ref="P5:P68" si="33">EXP(-1.0587+0.8836*LN(O5)+0.284)</f>
        <v>0.52984528195004754</v>
      </c>
      <c r="Q5" s="22">
        <f t="shared" si="2"/>
        <v>2.9624125431396595</v>
      </c>
      <c r="R5" s="62">
        <f t="shared" si="0"/>
        <v>296.29574587647295</v>
      </c>
      <c r="S5" s="62">
        <f ca="1">AVERAGE(OFFSET($R$3,0,0,'Données projet'!$E$9+1,1))-AVERAGE(OFFSET($H$3,0,0,'Données projet'!$E$9+1,1))</f>
        <v>105.65599058387949</v>
      </c>
      <c r="T5" s="62">
        <f t="shared" ref="T5:T68" si="34">$T$3</f>
        <v>263.7057787204958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2.88</v>
      </c>
      <c r="N6" s="14">
        <f>IF('Données projet'!$A$36&gt;35,N5+M6-V5,IF(A6&lt;'Données projet'!$A$36,$K$205^A6,IF(A6='Données projet'!$A$36,'Données projet'!$B$36,N5+M6-V5)))</f>
        <v>2.7404238991215486</v>
      </c>
      <c r="O6" s="14">
        <f>N6*VLOOKUP('Données projet'!$B$9,Paramètres!$A$1:$I$89,3,0)*VLOOKUP('Données projet'!$B$9,Paramètres!$A$1:$I$89,5,0)</f>
        <v>1.6387734916746861</v>
      </c>
      <c r="P6" s="14">
        <f t="shared" si="33"/>
        <v>0.71301881765417641</v>
      </c>
      <c r="Q6" s="22">
        <f t="shared" si="2"/>
        <v>4.0960382720811017</v>
      </c>
      <c r="R6" s="62">
        <f t="shared" si="0"/>
        <v>297.42937160541442</v>
      </c>
      <c r="S6" s="62">
        <f ca="1">AVERAGE(OFFSET($R$3,0,0,'Données projet'!$E$9+1,1))-AVERAGE(OFFSET($H$3,0,0,'Données projet'!$E$9+1,1))</f>
        <v>105.65599058387949</v>
      </c>
      <c r="T6" s="62">
        <f t="shared" si="34"/>
        <v>263.7057787204958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2.88</v>
      </c>
      <c r="N7" s="14">
        <f>IF('Données projet'!$A$36&gt;35,N6+M7-V6,IF(A7&lt;'Données projet'!$A$36,$K$205^A7,IF(A7='Données projet'!$A$36,'Données projet'!$B$36,N6+M7-V6)))</f>
        <v>3.8349260620567294</v>
      </c>
      <c r="O7" s="14">
        <f>N7*VLOOKUP('Données projet'!$B$9,Paramètres!$A$1:$I$89,3,0)*VLOOKUP('Données projet'!$B$9,Paramètres!$A$1:$I$89,5,0)</f>
        <v>2.2932857851099242</v>
      </c>
      <c r="P7" s="14">
        <f t="shared" si="33"/>
        <v>0.95951752643310306</v>
      </c>
      <c r="Q7" s="22">
        <f t="shared" si="2"/>
        <v>5.665299100937438</v>
      </c>
      <c r="R7" s="62">
        <f t="shared" si="0"/>
        <v>298.99863243427075</v>
      </c>
      <c r="S7" s="62">
        <f ca="1">AVERAGE(OFFSET($R$3,0,0,'Données projet'!$E$9+1,1))-AVERAGE(OFFSET($H$3,0,0,'Données projet'!$E$9+1,1))</f>
        <v>105.65599058387949</v>
      </c>
      <c r="T7" s="62">
        <f t="shared" si="34"/>
        <v>263.7057787204958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2.88</v>
      </c>
      <c r="N8" s="14">
        <f>IF('Données projet'!$A$36&gt;35,N7+M8-V7,IF(A8&lt;'Données projet'!$A$36,$K$205^A8,IF(A8='Données projet'!$A$36,'Données projet'!$B$36,N7+M8-V7)))</f>
        <v>5.3665631459994927</v>
      </c>
      <c r="O8" s="14">
        <f>N8*VLOOKUP('Données projet'!$B$9,Paramètres!$A$1:$I$89,3,0)*VLOOKUP('Données projet'!$B$9,Paramètres!$A$1:$I$89,5,0)</f>
        <v>3.2092047613076966</v>
      </c>
      <c r="P8" s="14">
        <f t="shared" si="33"/>
        <v>1.2912336403144407</v>
      </c>
      <c r="Q8" s="22">
        <f t="shared" si="2"/>
        <v>7.838263549491888</v>
      </c>
      <c r="R8" s="62">
        <f t="shared" si="0"/>
        <v>301.17159688282521</v>
      </c>
      <c r="S8" s="62">
        <f ca="1">AVERAGE(OFFSET($R$3,0,0,'Données projet'!$E$9+1,1))-AVERAGE(OFFSET($H$3,0,0,'Données projet'!$E$9+1,1))</f>
        <v>105.65599058387949</v>
      </c>
      <c r="T8" s="62">
        <f t="shared" si="34"/>
        <v>263.7057787204958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2.88</v>
      </c>
      <c r="N9" s="14">
        <f>IF('Données projet'!$A$36&gt;35,N8+M9-V8,IF(A9&lt;'Données projet'!$A$36,$K$205^A9,IF(A9='Données projet'!$A$36,'Données projet'!$B$36,N8+M9-V8)))</f>
        <v>7.5099231468765506</v>
      </c>
      <c r="O9" s="14">
        <f>N9*VLOOKUP('Données projet'!$B$9,Paramètres!$A$1:$I$89,3,0)*VLOOKUP('Données projet'!$B$9,Paramètres!$A$1:$I$89,5,0)</f>
        <v>4.490934041832177</v>
      </c>
      <c r="P9" s="14">
        <f t="shared" si="33"/>
        <v>1.7376277847447161</v>
      </c>
      <c r="Q9" s="22">
        <f t="shared" si="2"/>
        <v>10.84807851462142</v>
      </c>
      <c r="R9" s="62">
        <f t="shared" si="0"/>
        <v>304.18141184795473</v>
      </c>
      <c r="S9" s="62">
        <f ca="1">AVERAGE(OFFSET($R$3,0,0,'Données projet'!$E$9+1,1))-AVERAGE(OFFSET($H$3,0,0,'Données projet'!$E$9+1,1))</f>
        <v>105.65599058387949</v>
      </c>
      <c r="T9" s="62">
        <f t="shared" si="34"/>
        <v>263.7057787204958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2.88</v>
      </c>
      <c r="N10" s="14">
        <f>IF('Données projet'!$A$36&gt;35,N9+M10-V9,IF(A10&lt;'Données projet'!$A$36,$K$205^A10,IF(A10='Données projet'!$A$36,'Données projet'!$B$36,N9+M10-V9)))</f>
        <v>10.509323031824348</v>
      </c>
      <c r="O10" s="14">
        <f>N10*VLOOKUP('Données projet'!$B$9,Paramètres!$A$1:$I$89,3,0)*VLOOKUP('Données projet'!$B$9,Paramètres!$A$1:$I$89,5,0)</f>
        <v>6.2845751730309605</v>
      </c>
      <c r="P10" s="14">
        <f t="shared" si="33"/>
        <v>2.3383454582096852</v>
      </c>
      <c r="Q10" s="22">
        <f t="shared" si="2"/>
        <v>15.018253432744125</v>
      </c>
      <c r="R10" s="62">
        <f t="shared" si="0"/>
        <v>308.35158676607745</v>
      </c>
      <c r="S10" s="62">
        <f ca="1">AVERAGE(OFFSET($R$3,0,0,'Données projet'!$E$9+1,1))-AVERAGE(OFFSET($H$3,0,0,'Données projet'!$E$9+1,1))</f>
        <v>105.65599058387949</v>
      </c>
      <c r="T10" s="62">
        <f t="shared" si="34"/>
        <v>263.7057787204958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2.88</v>
      </c>
      <c r="N11" s="14">
        <f>IF('Données projet'!$A$36&gt;35,N10+M11-V10,IF(A11&lt;'Données projet'!$A$36,$K$205^A11,IF(A11='Données projet'!$A$36,'Données projet'!$B$36,N10+M11-V10)))</f>
        <v>14.706657901441934</v>
      </c>
      <c r="O11" s="14">
        <f>N11*VLOOKUP('Données projet'!$B$9,Paramètres!$A$1:$I$89,3,0)*VLOOKUP('Données projet'!$B$9,Paramètres!$A$1:$I$89,5,0)</f>
        <v>8.7945814250622778</v>
      </c>
      <c r="P11" s="14">
        <f t="shared" si="33"/>
        <v>3.1467380585958864</v>
      </c>
      <c r="Q11" s="22">
        <f t="shared" si="2"/>
        <v>20.797798100704636</v>
      </c>
      <c r="R11" s="62">
        <f t="shared" si="0"/>
        <v>314.13113143403797</v>
      </c>
      <c r="S11" s="62">
        <f ca="1">AVERAGE(OFFSET($R$3,0,0,'Données projet'!$E$9+1,1))-AVERAGE(OFFSET($H$3,0,0,'Données projet'!$E$9+1,1))</f>
        <v>105.65599058387949</v>
      </c>
      <c r="T11" s="62">
        <f t="shared" si="34"/>
        <v>263.7057787204958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2.88</v>
      </c>
      <c r="N12" s="14">
        <f>IF('Données projet'!$A$36&gt;35,N11+M12-V11,IF(A12&lt;'Données projet'!$A$36,$K$205^A12,IF(A12='Données projet'!$A$36,'Données projet'!$B$36,N11+M12-V11)))</f>
        <v>20.580372872266608</v>
      </c>
      <c r="O12" s="14">
        <f>N12*VLOOKUP('Données projet'!$B$9,Paramètres!$A$1:$I$89,3,0)*VLOOKUP('Données projet'!$B$9,Paramètres!$A$1:$I$89,5,0)</f>
        <v>12.307062977615432</v>
      </c>
      <c r="P12" s="14">
        <f t="shared" si="33"/>
        <v>4.2346011683821443</v>
      </c>
      <c r="Q12" s="22">
        <f t="shared" si="2"/>
        <v>28.810065054279107</v>
      </c>
      <c r="R12" s="62">
        <f t="shared" si="0"/>
        <v>322.14339838761242</v>
      </c>
      <c r="S12" s="62">
        <f ca="1">AVERAGE(OFFSET($R$3,0,0,'Données projet'!$E$9+1,1))-AVERAGE(OFFSET($H$3,0,0,'Données projet'!$E$9+1,1))</f>
        <v>105.65599058387949</v>
      </c>
      <c r="T12" s="62">
        <f t="shared" si="34"/>
        <v>263.7057787204958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>
        <f>VLOOKUP(A13,'Données projet'!$A$35:$I$55,2,0)</f>
        <v>28.8</v>
      </c>
      <c r="L13" s="13">
        <f>VLOOKUP(A13,'Données projet'!$A$35:$I$55,9,0)</f>
        <v>2.88</v>
      </c>
      <c r="M13" s="13">
        <f t="array" ref="M13">INDEX(L:L,MIN(IF(ISNUMBER(L13:L209),ROW(L13:L209),"")))</f>
        <v>2.88</v>
      </c>
      <c r="N13" s="14">
        <f>IF('Données projet'!$A$36&gt;35,N12+M13-V12,IF(A13&lt;'Données projet'!$A$36,$K$205^A13,IF(A13='Données projet'!$A$36,'Données projet'!$B$36,N12+M13-V12)))</f>
        <v>28.8</v>
      </c>
      <c r="O13" s="14">
        <f>N13*VLOOKUP('Données projet'!$B$9,Paramètres!$A$1:$I$89,3,0)*VLOOKUP('Données projet'!$B$9,Paramètres!$A$1:$I$89,5,0)</f>
        <v>17.2224</v>
      </c>
      <c r="P13" s="14">
        <f t="shared" si="33"/>
        <v>5.698550918872745</v>
      </c>
      <c r="Q13" s="22">
        <f t="shared" si="2"/>
        <v>39.920656183703365</v>
      </c>
      <c r="R13" s="62">
        <f t="shared" si="0"/>
        <v>333.2539895170367</v>
      </c>
      <c r="S13" s="62">
        <f ca="1">AVERAGE(OFFSET($R$3,0,0,'Données projet'!$E$9+1,1))-AVERAGE(OFFSET($H$3,0,0,'Données projet'!$E$9+1,1))</f>
        <v>105.65599058387949</v>
      </c>
      <c r="T13" s="62">
        <f t="shared" si="34"/>
        <v>263.7057787204958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>
        <f>VLOOKUP(A14,'Données projet'!$A$35:$I$55,2,0)</f>
        <v>40.6</v>
      </c>
      <c r="L14" s="13">
        <f>VLOOKUP(A14,'Données projet'!$A$35:$I$55,9,0)</f>
        <v>11.8</v>
      </c>
      <c r="M14" s="13">
        <f t="array" ref="M14">INDEX(L:L,MIN(IF(ISNUMBER(L14:L210),ROW(L14:L210),"")))</f>
        <v>11.8</v>
      </c>
      <c r="N14" s="14">
        <f>IF('Données projet'!$A$36&gt;35,N13+M14-V13,IF(A14&lt;'Données projet'!$A$36,$K$205^A14,IF(A14='Données projet'!$A$36,'Données projet'!$B$36,N13+M14-V13)))</f>
        <v>40.6</v>
      </c>
      <c r="O14" s="14">
        <f>N14*VLOOKUP('Données projet'!$B$9,Paramètres!$A$1:$I$89,3,0)*VLOOKUP('Données projet'!$B$9,Paramètres!$A$1:$I$89,5,0)</f>
        <v>24.278800000000004</v>
      </c>
      <c r="P14" s="14">
        <f t="shared" si="33"/>
        <v>7.7186053173119591</v>
      </c>
      <c r="Q14" s="22">
        <f t="shared" si="2"/>
        <v>55.728814260984997</v>
      </c>
      <c r="R14" s="62">
        <f t="shared" si="0"/>
        <v>349.06214759431833</v>
      </c>
      <c r="S14" s="62">
        <f ca="1">AVERAGE(OFFSET($R$3,0,0,'Données projet'!$E$9+1,1))-AVERAGE(OFFSET($H$3,0,0,'Données projet'!$E$9+1,1))</f>
        <v>105.65599058387949</v>
      </c>
      <c r="T14" s="62">
        <f t="shared" si="34"/>
        <v>263.7057787204958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>
        <f>VLOOKUP(A15,'Données projet'!$A$35:$I$55,2,0)</f>
        <v>54.2</v>
      </c>
      <c r="L15" s="13">
        <f>VLOOKUP(A15,'Données projet'!$A$35:$I$55,9,0)</f>
        <v>13.600000000000001</v>
      </c>
      <c r="M15" s="13">
        <f t="array" ref="M15">INDEX(L:L,MIN(IF(ISNUMBER(L15:L211),ROW(L15:L211),"")))</f>
        <v>13.600000000000001</v>
      </c>
      <c r="N15" s="14">
        <f>IF('Données projet'!$A$36&gt;35,N14+M15-V14,IF(A15&lt;'Données projet'!$A$36,$K$205^A15,IF(A15='Données projet'!$A$36,'Données projet'!$B$36,N14+M15-V14)))</f>
        <v>54.2</v>
      </c>
      <c r="O15" s="14">
        <f>N15*VLOOKUP('Données projet'!$B$9,Paramètres!$A$1:$I$89,3,0)*VLOOKUP('Données projet'!$B$9,Paramètres!$A$1:$I$89,5,0)</f>
        <v>32.411600000000007</v>
      </c>
      <c r="P15" s="14">
        <f t="shared" si="33"/>
        <v>9.9633870234598199</v>
      </c>
      <c r="Q15" s="22">
        <f t="shared" si="2"/>
        <v>73.803102399192525</v>
      </c>
      <c r="R15" s="62">
        <f t="shared" si="0"/>
        <v>367.13643573252585</v>
      </c>
      <c r="S15" s="62">
        <f ca="1">AVERAGE(OFFSET($R$3,0,0,'Données projet'!$E$9+1,1))-AVERAGE(OFFSET($H$3,0,0,'Données projet'!$E$9+1,1))</f>
        <v>105.65599058387949</v>
      </c>
      <c r="T15" s="62">
        <f t="shared" si="34"/>
        <v>263.7057787204958</v>
      </c>
      <c r="U15" s="16">
        <f>IF(ISNA(VLOOKUP(A15,'Données projet'!$A$35:$I$55,3,0)),0,VLOOKUP(A15,'Données projet'!$A$35:$I$55,3,0))</f>
        <v>1</v>
      </c>
      <c r="V15" s="16">
        <f>IF(ISNA(VLOOKUP(A15,'Données projet'!$A$35:$I$55,4,0)),0,VLOOKUP(A15,'Données projet'!$A$35:$I$55,4,0))</f>
        <v>10.9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1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7.3801165617370108</v>
      </c>
      <c r="AC15" s="24">
        <f t="shared" si="3"/>
        <v>7.3801165617370108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56</v>
      </c>
      <c r="L16" s="13">
        <f>VLOOKUP(A16,'Données projet'!$A$35:$I$55,9,0)</f>
        <v>12.699999999999996</v>
      </c>
      <c r="M16" s="13">
        <f t="array" ref="M16">INDEX(L:L,MIN(IF(ISNUMBER(L16:L212),ROW(L16:L212),"")))</f>
        <v>12.699999999999996</v>
      </c>
      <c r="N16" s="14">
        <f>IF('Données projet'!$A$36&gt;35,N15+M16-V15,IF(A16&lt;'Données projet'!$A$36,$K$205^A16,IF(A16='Données projet'!$A$36,'Données projet'!$B$36,N15+M16-V15)))</f>
        <v>56.000000000000007</v>
      </c>
      <c r="O16" s="14">
        <f>N16*VLOOKUP('Données projet'!$B$9,Paramètres!$A$1:$I$89,3,0)*VLOOKUP('Données projet'!$B$9,Paramètres!$A$1:$I$89,5,0)</f>
        <v>33.488000000000007</v>
      </c>
      <c r="P16" s="14">
        <f t="shared" si="33"/>
        <v>10.255200877844667</v>
      </c>
      <c r="Q16" s="22">
        <f t="shared" si="2"/>
        <v>76.18607486224613</v>
      </c>
      <c r="R16" s="62">
        <f t="shared" si="0"/>
        <v>369.51940819557944</v>
      </c>
      <c r="S16" s="62">
        <f ca="1">AVERAGE(OFFSET($R$3,0,0,'Données projet'!$E$9+1,1))-AVERAGE(OFFSET($H$3,0,0,'Données projet'!$E$9+1,1))</f>
        <v>105.65599058387949</v>
      </c>
      <c r="T16" s="62">
        <f t="shared" si="34"/>
        <v>263.7057787204958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5.2185304667513881</v>
      </c>
      <c r="AC16" s="24">
        <f t="shared" si="3"/>
        <v>5.2185304667513881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>
        <f>VLOOKUP(A17,'Données projet'!$A$35:$I$55,2,0)</f>
        <v>70.400000000000006</v>
      </c>
      <c r="L17" s="13">
        <f>VLOOKUP(A17,'Données projet'!$A$35:$I$55,9,0)</f>
        <v>14.400000000000006</v>
      </c>
      <c r="M17" s="13">
        <f t="array" ref="M17">INDEX(L:L,MIN(IF(ISNUMBER(L17:L213),ROW(L17:L213),"")))</f>
        <v>14.400000000000006</v>
      </c>
      <c r="N17" s="14">
        <f>IF('Données projet'!$A$36&gt;35,N16+M17-V16,IF(A17&lt;'Données projet'!$A$36,$K$205^A17,IF(A17='Données projet'!$A$36,'Données projet'!$B$36,N16+M17-V16)))</f>
        <v>70.400000000000006</v>
      </c>
      <c r="O17" s="14">
        <f>N17*VLOOKUP('Données projet'!$B$9,Paramètres!$A$1:$I$89,3,0)*VLOOKUP('Données projet'!$B$9,Paramètres!$A$1:$I$89,5,0)</f>
        <v>42.09920000000001</v>
      </c>
      <c r="P17" s="14">
        <f t="shared" si="33"/>
        <v>12.553372982508934</v>
      </c>
      <c r="Q17" s="22">
        <f t="shared" si="2"/>
        <v>95.186564611203053</v>
      </c>
      <c r="R17" s="62">
        <f t="shared" si="0"/>
        <v>388.51989794453635</v>
      </c>
      <c r="S17" s="62">
        <f ca="1">AVERAGE(OFFSET($R$3,0,0,'Données projet'!$E$9+1,1))-AVERAGE(OFFSET($H$3,0,0,'Données projet'!$E$9+1,1))</f>
        <v>105.65599058387949</v>
      </c>
      <c r="T17" s="62">
        <f t="shared" si="34"/>
        <v>263.7057787204958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3.6900582808685058</v>
      </c>
      <c r="AC17" s="24">
        <f t="shared" si="3"/>
        <v>3.6900582808685058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>
        <f>VLOOKUP(A18,'Données projet'!$A$35:$I$55,2,0)</f>
        <v>85.9</v>
      </c>
      <c r="L18" s="13">
        <f>VLOOKUP(A18,'Données projet'!$A$35:$I$55,9,0)</f>
        <v>15.5</v>
      </c>
      <c r="M18" s="13">
        <f t="array" ref="M18">INDEX(L:L,MIN(IF(ISNUMBER(L18:L214),ROW(L18:L214),"")))</f>
        <v>15.5</v>
      </c>
      <c r="N18" s="14">
        <f>IF('Données projet'!$A$36&gt;35,N17+M18-V17,IF(A18&lt;'Données projet'!$A$36,$K$205^A18,IF(A18='Données projet'!$A$36,'Données projet'!$B$36,N17+M18-V17)))</f>
        <v>85.9</v>
      </c>
      <c r="O18" s="14">
        <f>N18*VLOOKUP('Données projet'!$B$9,Paramètres!$A$1:$I$89,3,0)*VLOOKUP('Données projet'!$B$9,Paramètres!$A$1:$I$89,5,0)</f>
        <v>51.368200000000009</v>
      </c>
      <c r="P18" s="14">
        <f t="shared" si="33"/>
        <v>14.966546198922087</v>
      </c>
      <c r="Q18" s="22">
        <f t="shared" si="2"/>
        <v>115.53301629645597</v>
      </c>
      <c r="R18" s="62">
        <f t="shared" si="0"/>
        <v>408.86634962978928</v>
      </c>
      <c r="S18" s="62">
        <f ca="1">AVERAGE(OFFSET($R$3,0,0,'Données projet'!$E$9+1,1))-AVERAGE(OFFSET($H$3,0,0,'Données projet'!$E$9+1,1))</f>
        <v>105.65599058387949</v>
      </c>
      <c r="T18" s="62">
        <f t="shared" si="34"/>
        <v>263.7057787204958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2.6092652333756945</v>
      </c>
      <c r="AC18" s="24">
        <f t="shared" si="3"/>
        <v>2.6092652333756945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>
        <f>VLOOKUP(A19,'Données projet'!$A$35:$I$55,2,0)</f>
        <v>102.4</v>
      </c>
      <c r="L19" s="13">
        <f>VLOOKUP(A19,'Données projet'!$A$35:$I$55,9,0)</f>
        <v>16.5</v>
      </c>
      <c r="M19" s="13">
        <f t="array" ref="M19">INDEX(L:L,MIN(IF(ISNUMBER(L19:L215),ROW(L19:L215),"")))</f>
        <v>16.5</v>
      </c>
      <c r="N19" s="14">
        <f>IF('Données projet'!$A$36&gt;35,N18+M19-V18,IF(A19&lt;'Données projet'!$A$36,$K$205^A19,IF(A19='Données projet'!$A$36,'Données projet'!$B$36,N18+M19-V18)))</f>
        <v>102.4</v>
      </c>
      <c r="O19" s="14">
        <f>N19*VLOOKUP('Données projet'!$B$9,Paramètres!$A$1:$I$89,3,0)*VLOOKUP('Données projet'!$B$9,Paramètres!$A$1:$I$89,5,0)</f>
        <v>61.235200000000013</v>
      </c>
      <c r="P19" s="14">
        <f t="shared" si="33"/>
        <v>17.480194985469186</v>
      </c>
      <c r="Q19" s="22">
        <f t="shared" si="2"/>
        <v>137.09597959969219</v>
      </c>
      <c r="R19" s="62">
        <f t="shared" si="0"/>
        <v>430.42931293302547</v>
      </c>
      <c r="S19" s="62">
        <f ca="1">AVERAGE(OFFSET($R$3,0,0,'Données projet'!$E$9+1,1))-AVERAGE(OFFSET($H$3,0,0,'Données projet'!$E$9+1,1))</f>
        <v>105.65599058387949</v>
      </c>
      <c r="T19" s="62">
        <f t="shared" si="34"/>
        <v>263.7057787204958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1.8450291404342531</v>
      </c>
      <c r="AC19" s="24">
        <f t="shared" si="3"/>
        <v>1.8450291404342531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>
        <f>VLOOKUP(A20,'Données projet'!$A$35:$I$55,2,0)</f>
        <v>119.7</v>
      </c>
      <c r="L20" s="13">
        <f>VLOOKUP(A20,'Données projet'!$A$35:$I$55,9,0)</f>
        <v>17.299999999999997</v>
      </c>
      <c r="M20" s="13">
        <f t="array" ref="M20">INDEX(L:L,MIN(IF(ISNUMBER(L20:L216),ROW(L20:L216),"")))</f>
        <v>17.299999999999997</v>
      </c>
      <c r="N20" s="14">
        <f>IF('Données projet'!$A$36&gt;35,N19+M20-V19,IF(A20&lt;'Données projet'!$A$36,$K$205^A20,IF(A20='Données projet'!$A$36,'Données projet'!$B$36,N19+M20-V19)))</f>
        <v>119.7</v>
      </c>
      <c r="O20" s="14">
        <f>N20*VLOOKUP('Données projet'!$B$9,Paramètres!$A$1:$I$89,3,0)*VLOOKUP('Données projet'!$B$9,Paramètres!$A$1:$I$89,5,0)</f>
        <v>71.580600000000004</v>
      </c>
      <c r="P20" s="14">
        <f t="shared" si="33"/>
        <v>20.06546471127832</v>
      </c>
      <c r="Q20" s="22">
        <f t="shared" si="2"/>
        <v>159.61689603880973</v>
      </c>
      <c r="R20" s="62">
        <f t="shared" si="0"/>
        <v>452.95022937214304</v>
      </c>
      <c r="S20" s="62">
        <f ca="1">AVERAGE(OFFSET($R$3,0,0,'Données projet'!$E$9+1,1))-AVERAGE(OFFSET($H$3,0,0,'Données projet'!$E$9+1,1))</f>
        <v>105.65599058387949</v>
      </c>
      <c r="T20" s="62">
        <f t="shared" si="34"/>
        <v>263.7057787204958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1.3046326166878475</v>
      </c>
      <c r="AC20" s="24">
        <f t="shared" si="3"/>
        <v>1.3046326166878475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137.5</v>
      </c>
      <c r="L21" s="13">
        <f>VLOOKUP(A21,'Données projet'!$A$35:$I$55,9,0)</f>
        <v>17.799999999999997</v>
      </c>
      <c r="M21" s="13">
        <f t="array" ref="M21">INDEX(L:L,MIN(IF(ISNUMBER(L21:L217),ROW(L21:L217),"")))</f>
        <v>17.799999999999997</v>
      </c>
      <c r="N21" s="14">
        <f>IF('Données projet'!$A$36&gt;35,N20+M21-V20,IF(A21&lt;'Données projet'!$A$36,$K$205^A21,IF(A21='Données projet'!$A$36,'Données projet'!$B$36,N20+M21-V20)))</f>
        <v>137.5</v>
      </c>
      <c r="O21" s="14">
        <f>N21*VLOOKUP('Données projet'!$B$9,Paramètres!$A$1:$I$89,3,0)*VLOOKUP('Données projet'!$B$9,Paramètres!$A$1:$I$89,5,0)</f>
        <v>82.225000000000009</v>
      </c>
      <c r="P21" s="14">
        <f t="shared" si="33"/>
        <v>22.680336573198979</v>
      </c>
      <c r="Q21" s="22">
        <f t="shared" si="2"/>
        <v>182.71012786498821</v>
      </c>
      <c r="R21" s="62">
        <f t="shared" si="0"/>
        <v>476.04346119832155</v>
      </c>
      <c r="S21" s="62">
        <f ca="1">AVERAGE(OFFSET($R$3,0,0,'Données projet'!$E$9+1,1))-AVERAGE(OFFSET($H$3,0,0,'Données projet'!$E$9+1,1))</f>
        <v>105.65599058387949</v>
      </c>
      <c r="T21" s="62">
        <f t="shared" si="34"/>
        <v>263.7057787204958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33.299999999999997</v>
      </c>
      <c r="W21" s="17">
        <f>IF(ISNA(VLOOKUP(A21,'Données projet'!$A$35:$I$55,5,0)),0%,VLOOKUP(A21,'Données projet'!$A$35:$I$55,5,0)*VLOOKUP('Données projet'!$B$9,Paramètres!$A$1:$I$89,7,0))</f>
        <v>6.7500000000000004E-2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0.85</v>
      </c>
      <c r="Z21" s="23">
        <f>EXP(-LN(2)/35)*Z20+(1-EXP(-LN(2)/35))/(LN(2)/35)*V21*W21*VLOOKUP('Données projet'!$B$9,Paramètres!$A$1:$I$89,3,0)*0.475*44/12</f>
        <v>1.7831075823191076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20.087120008746123</v>
      </c>
      <c r="AC21" s="24">
        <f t="shared" si="3"/>
        <v>21.87022759106523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>
        <f>VLOOKUP(A22,'Données projet'!$A$35:$I$55,2,0)</f>
        <v>118.4</v>
      </c>
      <c r="L22" s="13">
        <f>VLOOKUP(A22,'Données projet'!$A$35:$I$55,9,0)</f>
        <v>14.200000000000003</v>
      </c>
      <c r="M22" s="13">
        <f t="array" ref="M22">INDEX(L:L,MIN(IF(ISNUMBER(L22:L218),ROW(L22:L218),"")))</f>
        <v>14.200000000000003</v>
      </c>
      <c r="N22" s="14">
        <f>IF('Données projet'!$A$36&gt;35,N21+M22-V21,IF(A22&lt;'Données projet'!$A$36,$K$205^A22,IF(A22='Données projet'!$A$36,'Données projet'!$B$36,N21+M22-V21)))</f>
        <v>118.39999999999999</v>
      </c>
      <c r="O22" s="14">
        <f>N22*VLOOKUP('Données projet'!$B$9,Paramètres!$A$1:$I$89,3,0)*VLOOKUP('Données projet'!$B$9,Paramètres!$A$1:$I$89,5,0)</f>
        <v>70.803200000000004</v>
      </c>
      <c r="P22" s="14">
        <f t="shared" si="33"/>
        <v>19.872787803056738</v>
      </c>
      <c r="Q22" s="22">
        <f t="shared" si="2"/>
        <v>157.92734542365716</v>
      </c>
      <c r="R22" s="62">
        <f t="shared" si="0"/>
        <v>451.2606787569905</v>
      </c>
      <c r="S22" s="62">
        <f ca="1">AVERAGE(OFFSET($R$3,0,0,'Données projet'!$E$9+1,1))-AVERAGE(OFFSET($H$3,0,0,'Données projet'!$E$9+1,1))</f>
        <v>105.65599058387949</v>
      </c>
      <c r="T22" s="62">
        <f t="shared" si="34"/>
        <v>263.7057787204958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1.7481419302180647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14.203738772692367</v>
      </c>
      <c r="AC22" s="24">
        <f t="shared" si="3"/>
        <v>15.951880702910431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134.30000000000001</v>
      </c>
      <c r="L23" s="13">
        <f>VLOOKUP(A23,'Données projet'!$A$35:$I$55,9,0)</f>
        <v>15.900000000000006</v>
      </c>
      <c r="M23" s="13">
        <f t="array" ref="M23">INDEX(L:L,MIN(IF(ISNUMBER(L23:L219),ROW(L23:L219),"")))</f>
        <v>15.900000000000006</v>
      </c>
      <c r="N23" s="14">
        <f>IF('Données projet'!$A$36&gt;35,N22+M23-V22,IF(A23&lt;'Données projet'!$A$36,$K$205^A23,IF(A23='Données projet'!$A$36,'Données projet'!$B$36,N22+M23-V22)))</f>
        <v>134.30000000000001</v>
      </c>
      <c r="O23" s="14">
        <f>N23*VLOOKUP('Données projet'!$B$9,Paramètres!$A$1:$I$89,3,0)*VLOOKUP('Données projet'!$B$9,Paramètres!$A$1:$I$89,5,0)</f>
        <v>80.311400000000006</v>
      </c>
      <c r="P23" s="14">
        <f t="shared" si="33"/>
        <v>22.213305823693705</v>
      </c>
      <c r="Q23" s="22">
        <f t="shared" si="2"/>
        <v>178.56386264293323</v>
      </c>
      <c r="R23" s="62">
        <f t="shared" si="0"/>
        <v>471.89719597626652</v>
      </c>
      <c r="S23" s="62">
        <f ca="1">AVERAGE(OFFSET($R$3,0,0,'Données projet'!$E$9+1,1))-AVERAGE(OFFSET($H$3,0,0,'Données projet'!$E$9+1,1))</f>
        <v>105.65599058387949</v>
      </c>
      <c r="T23" s="62">
        <f t="shared" si="34"/>
        <v>263.7057787204958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1.7138619332277814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10.043560004373063</v>
      </c>
      <c r="AC23" s="24">
        <f t="shared" si="3"/>
        <v>11.757421937600844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>
        <f>VLOOKUP(A24,'Données projet'!$A$35:$I$55,2,0)</f>
        <v>150.5</v>
      </c>
      <c r="L24" s="13">
        <f>VLOOKUP(A24,'Données projet'!$A$35:$I$55,9,0)</f>
        <v>16.199999999999989</v>
      </c>
      <c r="M24" s="13">
        <f t="array" ref="M24">INDEX(L:L,MIN(IF(ISNUMBER(L24:L220),ROW(L24:L220),"")))</f>
        <v>16.199999999999989</v>
      </c>
      <c r="N24" s="14">
        <f>IF('Données projet'!$A$36&gt;35,N23+M24-V23,IF(A24&lt;'Données projet'!$A$36,$K$205^A24,IF(A24='Données projet'!$A$36,'Données projet'!$B$36,N23+M24-V23)))</f>
        <v>150.5</v>
      </c>
      <c r="O24" s="14">
        <f>N24*VLOOKUP('Données projet'!$B$9,Paramètres!$A$1:$I$89,3,0)*VLOOKUP('Données projet'!$B$9,Paramètres!$A$1:$I$89,5,0)</f>
        <v>89.999000000000009</v>
      </c>
      <c r="P24" s="14">
        <f t="shared" si="33"/>
        <v>24.564983817833436</v>
      </c>
      <c r="Q24" s="22">
        <f t="shared" si="2"/>
        <v>199.53227181605993</v>
      </c>
      <c r="R24" s="62">
        <f t="shared" si="0"/>
        <v>492.86560514939322</v>
      </c>
      <c r="S24" s="62">
        <f ca="1">AVERAGE(OFFSET($R$3,0,0,'Données projet'!$E$9+1,1))-AVERAGE(OFFSET($H$3,0,0,'Données projet'!$E$9+1,1))</f>
        <v>105.65599058387949</v>
      </c>
      <c r="T24" s="62">
        <f t="shared" si="34"/>
        <v>263.7057787204958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1.6802541460697438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7.1018693863461841</v>
      </c>
      <c r="AC24" s="24">
        <f t="shared" si="3"/>
        <v>8.7821235324159286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>
        <f>VLOOKUP(A25,'Données projet'!$A$35:$I$55,2,0)</f>
        <v>167</v>
      </c>
      <c r="L25" s="13">
        <f>VLOOKUP(A25,'Données projet'!$A$35:$I$55,9,0)</f>
        <v>16.5</v>
      </c>
      <c r="M25" s="13">
        <f t="array" ref="M25">INDEX(L:L,MIN(IF(ISNUMBER(L25:L221),ROW(L25:L221),"")))</f>
        <v>16.5</v>
      </c>
      <c r="N25" s="14">
        <f>IF('Données projet'!$A$36&gt;35,N24+M25-V24,IF(A25&lt;'Données projet'!$A$36,$K$205^A25,IF(A25='Données projet'!$A$36,'Données projet'!$B$36,N24+M25-V24)))</f>
        <v>167</v>
      </c>
      <c r="O25" s="14">
        <f>N25*VLOOKUP('Données projet'!$B$9,Paramètres!$A$1:$I$89,3,0)*VLOOKUP('Données projet'!$B$9,Paramètres!$A$1:$I$89,5,0)</f>
        <v>99.866000000000014</v>
      </c>
      <c r="P25" s="14">
        <f t="shared" si="33"/>
        <v>26.93007140526165</v>
      </c>
      <c r="Q25" s="22">
        <f t="shared" si="2"/>
        <v>220.83649103083076</v>
      </c>
      <c r="R25" s="62">
        <f t="shared" si="0"/>
        <v>514.16982436416401</v>
      </c>
      <c r="S25" s="62">
        <f ca="1">AVERAGE(OFFSET($R$3,0,0,'Données projet'!$E$9+1,1))-AVERAGE(OFFSET($H$3,0,0,'Données projet'!$E$9+1,1))</f>
        <v>105.65599058387949</v>
      </c>
      <c r="T25" s="62">
        <f t="shared" si="34"/>
        <v>263.7057787204958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1.6473053871191492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5.0217800021865324</v>
      </c>
      <c r="AC25" s="24">
        <f t="shared" si="3"/>
        <v>6.6690853893056818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183.5</v>
      </c>
      <c r="L26" s="13">
        <f>VLOOKUP(A26,'Données projet'!$A$35:$I$55,9,0)</f>
        <v>16.5</v>
      </c>
      <c r="M26" s="13">
        <f t="array" ref="M26">INDEX(L:L,MIN(IF(ISNUMBER(L26:L222),ROW(L26:L222),"")))</f>
        <v>16.5</v>
      </c>
      <c r="N26" s="14">
        <f>IF('Données projet'!$A$36&gt;35,N25+M26-V25,IF(A26&lt;'Données projet'!$A$36,$K$205^A26,IF(A26='Données projet'!$A$36,'Données projet'!$B$36,N25+M26-V25)))</f>
        <v>183.5</v>
      </c>
      <c r="O26" s="14">
        <f>N26*VLOOKUP('Données projet'!$B$9,Paramètres!$A$1:$I$89,3,0)*VLOOKUP('Données projet'!$B$9,Paramètres!$A$1:$I$89,5,0)</f>
        <v>109.733</v>
      </c>
      <c r="P26" s="14">
        <f t="shared" si="33"/>
        <v>29.268068395258268</v>
      </c>
      <c r="Q26" s="22">
        <f t="shared" si="2"/>
        <v>242.09352745507479</v>
      </c>
      <c r="R26" s="62">
        <f t="shared" si="0"/>
        <v>535.42686078840813</v>
      </c>
      <c r="S26" s="62">
        <f ca="1">AVERAGE(OFFSET($R$3,0,0,'Données projet'!$E$9+1,1))-AVERAGE(OFFSET($H$3,0,0,'Données projet'!$E$9+1,1))</f>
        <v>105.65599058387949</v>
      </c>
      <c r="T26" s="62">
        <f t="shared" si="34"/>
        <v>263.7057787204958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1.6150027332348174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3.550934693173093</v>
      </c>
      <c r="AC26" s="24">
        <f t="shared" si="3"/>
        <v>5.1659374264079103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>
        <f>VLOOKUP(A27,'Données projet'!$A$35:$I$55,2,0)</f>
        <v>200.1</v>
      </c>
      <c r="L27" s="13">
        <f>VLOOKUP(A27,'Données projet'!$A$35:$I$55,9,0)</f>
        <v>16.599999999999994</v>
      </c>
      <c r="M27" s="13">
        <f t="array" ref="M27">INDEX(L:L,MIN(IF(ISNUMBER(L27:L223),ROW(L27:L223),"")))</f>
        <v>16.599999999999994</v>
      </c>
      <c r="N27" s="14">
        <f>IF('Données projet'!$A$36&gt;35,N26+M27-V26,IF(A27&lt;'Données projet'!$A$36,$K$205^A27,IF(A27='Données projet'!$A$36,'Données projet'!$B$36,N26+M27-V26)))</f>
        <v>200.1</v>
      </c>
      <c r="O27" s="14">
        <f>N27*VLOOKUP('Données projet'!$B$9,Paramètres!$A$1:$I$89,3,0)*VLOOKUP('Données projet'!$B$9,Paramètres!$A$1:$I$89,5,0)</f>
        <v>119.65980000000002</v>
      </c>
      <c r="P27" s="14">
        <f t="shared" si="33"/>
        <v>31.59564012514624</v>
      </c>
      <c r="Q27" s="22">
        <f t="shared" si="2"/>
        <v>263.43655821796307</v>
      </c>
      <c r="R27" s="62">
        <f t="shared" si="0"/>
        <v>556.76989155129638</v>
      </c>
      <c r="S27" s="62">
        <f ca="1">AVERAGE(OFFSET($R$3,0,0,'Données projet'!$E$9+1,1))-AVERAGE(OFFSET($H$3,0,0,'Données projet'!$E$9+1,1))</f>
        <v>105.65599058387949</v>
      </c>
      <c r="T27" s="62">
        <f t="shared" si="34"/>
        <v>263.7057787204958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1.5833335146904839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2.5108900010932667</v>
      </c>
      <c r="AC27" s="24">
        <f t="shared" si="3"/>
        <v>4.0942235157837503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216.7</v>
      </c>
      <c r="L28" s="13">
        <f>VLOOKUP(A28,'Données projet'!$A$35:$I$55,9,0)</f>
        <v>16.599999999999994</v>
      </c>
      <c r="M28" s="13">
        <f t="array" ref="M28">INDEX(L:L,MIN(IF(ISNUMBER(L28:L224),ROW(L28:L224),"")))</f>
        <v>16.599999999999994</v>
      </c>
      <c r="N28" s="14">
        <f>IF('Données projet'!$A$36&gt;35,N27+M28-V27,IF(A28&lt;'Données projet'!$A$36,$K$205^A28,IF(A28='Données projet'!$A$36,'Données projet'!$B$36,N27+M28-V27)))</f>
        <v>216.7</v>
      </c>
      <c r="O28" s="14">
        <f>N28*VLOOKUP('Données projet'!$B$9,Paramètres!$A$1:$I$89,3,0)*VLOOKUP('Données projet'!$B$9,Paramètres!$A$1:$I$89,5,0)</f>
        <v>129.5866</v>
      </c>
      <c r="P28" s="14">
        <f t="shared" si="33"/>
        <v>33.900817029804486</v>
      </c>
      <c r="Q28" s="22">
        <f t="shared" si="2"/>
        <v>284.74058466024275</v>
      </c>
      <c r="R28" s="62">
        <f t="shared" si="0"/>
        <v>578.07391799357606</v>
      </c>
      <c r="S28" s="62">
        <f ca="1">AVERAGE(OFFSET($R$3,0,0,'Données projet'!$E$9+1,1))-AVERAGE(OFFSET($H$3,0,0,'Données projet'!$E$9+1,1))</f>
        <v>105.65599058387949</v>
      </c>
      <c r="T28" s="62">
        <f t="shared" si="34"/>
        <v>263.7057787204958</v>
      </c>
      <c r="U28" s="16">
        <f>IF(ISNA(VLOOKUP(A28,'Données projet'!$A$35:$I$55,3,0)),0,VLOOKUP(A28,'Données projet'!$A$35:$I$55,3,0))</f>
        <v>3</v>
      </c>
      <c r="V28" s="16">
        <f>IF(ISNA(VLOOKUP(A28,'Données projet'!$A$35:$I$55,4,0)),0,VLOOKUP(A28,'Données projet'!$A$35:$I$55,4,0))</f>
        <v>52.4</v>
      </c>
      <c r="W28" s="17">
        <f>IF(ISNA(VLOOKUP(A28,'Données projet'!$A$35:$I$55,5,0)),0%,VLOOKUP(A28,'Données projet'!$A$35:$I$55,5,0)*VLOOKUP('Données projet'!$B$9,Paramètres!$A$1:$I$89,7,0))</f>
        <v>0.18000000000000002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0.6</v>
      </c>
      <c r="Z28" s="23">
        <f>EXP(-LN(2)/35)*Z27+(1-EXP(-LN(2)/35))/(LN(2)/35)*V28*W28*VLOOKUP('Données projet'!$B$9,Paramètres!$A$1:$I$89,3,0)*0.475*44/12</f>
        <v>9.0345545645415246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23.062702640257331</v>
      </c>
      <c r="AC28" s="24">
        <f t="shared" si="3"/>
        <v>32.097257204798858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>
        <f>VLOOKUP(A29,'Données projet'!$A$35:$I$55,2,0)</f>
        <v>176.7</v>
      </c>
      <c r="L29" s="13">
        <f>VLOOKUP(A29,'Données projet'!$A$35:$I$55,9,0)</f>
        <v>12.400000000000006</v>
      </c>
      <c r="M29" s="13">
        <f t="array" ref="M29">INDEX(L:L,MIN(IF(ISNUMBER(L29:L225),ROW(L29:L225),"")))</f>
        <v>12.400000000000006</v>
      </c>
      <c r="N29" s="14">
        <f>IF('Données projet'!$A$36&gt;35,N28+M29-V28,IF(A29&lt;'Données projet'!$A$36,$K$205^A29,IF(A29='Données projet'!$A$36,'Données projet'!$B$36,N28+M29-V28)))</f>
        <v>176.7</v>
      </c>
      <c r="O29" s="14">
        <f>N29*VLOOKUP('Données projet'!$B$9,Paramètres!$A$1:$I$89,3,0)*VLOOKUP('Données projet'!$B$9,Paramètres!$A$1:$I$89,5,0)</f>
        <v>105.6666</v>
      </c>
      <c r="P29" s="14">
        <f t="shared" si="33"/>
        <v>28.307625811498401</v>
      </c>
      <c r="Q29" s="22">
        <f t="shared" si="2"/>
        <v>233.33844328835971</v>
      </c>
      <c r="R29" s="62">
        <f t="shared" si="0"/>
        <v>526.67177662169297</v>
      </c>
      <c r="S29" s="62">
        <f ca="1">AVERAGE(OFFSET($R$3,0,0,'Données projet'!$E$9+1,1))-AVERAGE(OFFSET($H$3,0,0,'Données projet'!$E$9+1,1))</f>
        <v>105.65599058387949</v>
      </c>
      <c r="T29" s="62">
        <f t="shared" si="34"/>
        <v>263.7057787204958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8.8573924600650304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16.307793429414854</v>
      </c>
      <c r="AC29" s="24">
        <f t="shared" si="3"/>
        <v>25.165185889479886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>
        <f>VLOOKUP(A30,'Données projet'!$A$35:$I$55,2,0)</f>
        <v>191</v>
      </c>
      <c r="L30" s="13">
        <f>VLOOKUP(A30,'Données projet'!$A$35:$I$55,9,0)</f>
        <v>14.300000000000011</v>
      </c>
      <c r="M30" s="13">
        <f t="array" ref="M30">INDEX(L:L,MIN(IF(ISNUMBER(L30:L226),ROW(L30:L226),"")))</f>
        <v>14.300000000000011</v>
      </c>
      <c r="N30" s="14">
        <f>IF('Données projet'!$A$36&gt;35,N29+M30-V29,IF(A30&lt;'Données projet'!$A$36,$K$205^A30,IF(A30='Données projet'!$A$36,'Données projet'!$B$36,N29+M30-V29)))</f>
        <v>191</v>
      </c>
      <c r="O30" s="14">
        <f>N30*VLOOKUP('Données projet'!$B$9,Paramètres!$A$1:$I$89,3,0)*VLOOKUP('Données projet'!$B$9,Paramètres!$A$1:$I$89,5,0)</f>
        <v>114.218</v>
      </c>
      <c r="P30" s="14">
        <f t="shared" si="33"/>
        <v>30.322591437735639</v>
      </c>
      <c r="Q30" s="22">
        <f t="shared" si="2"/>
        <v>251.74153008738961</v>
      </c>
      <c r="R30" s="62">
        <f t="shared" si="0"/>
        <v>545.07486342072298</v>
      </c>
      <c r="S30" s="62">
        <f ca="1">AVERAGE(OFFSET($R$3,0,0,'Données projet'!$E$9+1,1))-AVERAGE(OFFSET($H$3,0,0,'Données projet'!$E$9+1,1))</f>
        <v>105.65599058387949</v>
      </c>
      <c r="T30" s="62">
        <f t="shared" si="34"/>
        <v>263.7057787204958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8.6837043963991061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11.531351320128667</v>
      </c>
      <c r="AC30" s="24">
        <f t="shared" si="3"/>
        <v>20.215055716527772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>
        <f>VLOOKUP(A31,'Données projet'!$A$35:$I$55,2,0)</f>
        <v>205</v>
      </c>
      <c r="L31" s="13">
        <f>VLOOKUP(A31,'Données projet'!$A$35:$I$55,9,0)</f>
        <v>14</v>
      </c>
      <c r="M31" s="13">
        <f t="array" ref="M31">INDEX(L:L,MIN(IF(ISNUMBER(L31:L227),ROW(L31:L227),"")))</f>
        <v>14</v>
      </c>
      <c r="N31" s="14">
        <f>IF('Données projet'!$A$36&gt;35,N30+M31-V30,IF(A31&lt;'Données projet'!$A$36,$K$205^A31,IF(A31='Données projet'!$A$36,'Données projet'!$B$36,N30+M31-V30)))</f>
        <v>205</v>
      </c>
      <c r="O31" s="14">
        <f>N31*VLOOKUP('Données projet'!$B$9,Paramètres!$A$1:$I$89,3,0)*VLOOKUP('Données projet'!$B$9,Paramètres!$A$1:$I$89,5,0)</f>
        <v>122.59</v>
      </c>
      <c r="P31" s="14">
        <f t="shared" si="33"/>
        <v>32.278321478706822</v>
      </c>
      <c r="Q31" s="22">
        <f t="shared" si="2"/>
        <v>269.72899324208106</v>
      </c>
      <c r="R31" s="62">
        <f t="shared" si="0"/>
        <v>563.06232657541432</v>
      </c>
      <c r="S31" s="62">
        <f ca="1">AVERAGE(OFFSET($R$3,0,0,'Données projet'!$E$9+1,1))-AVERAGE(OFFSET($H$3,0,0,'Données projet'!$E$9+1,1))</f>
        <v>105.65599058387949</v>
      </c>
      <c r="T31" s="62">
        <f t="shared" si="34"/>
        <v>263.7057787204958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8.5134222497224119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8.1538967147074288</v>
      </c>
      <c r="AC31" s="24">
        <f t="shared" si="3"/>
        <v>16.667318964429839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13.849999999999994</v>
      </c>
      <c r="N32" s="14">
        <f>IF('Données projet'!$A$36&gt;35,N31+M32-V31,IF(A32&lt;'Données projet'!$A$36,$K$205^A32,IF(A32='Données projet'!$A$36,'Données projet'!$B$36,N31+M32-V31)))</f>
        <v>218.85</v>
      </c>
      <c r="O32" s="14">
        <f>N32*VLOOKUP('Données projet'!$B$9,Paramètres!$A$1:$I$89,3,0)*VLOOKUP('Données projet'!$B$9,Paramètres!$A$1:$I$89,5,0)</f>
        <v>130.87230000000002</v>
      </c>
      <c r="P32" s="14">
        <f t="shared" si="33"/>
        <v>34.197843732094341</v>
      </c>
      <c r="Q32" s="22">
        <f t="shared" si="2"/>
        <v>287.49716700006434</v>
      </c>
      <c r="R32" s="62">
        <f t="shared" si="0"/>
        <v>580.83050033339759</v>
      </c>
      <c r="S32" s="62">
        <f ca="1">AVERAGE(OFFSET($R$3,0,0,'Données projet'!$E$9+1,1))-AVERAGE(OFFSET($H$3,0,0,'Données projet'!$E$9+1,1))</f>
        <v>105.65599058387949</v>
      </c>
      <c r="T32" s="62">
        <f t="shared" si="34"/>
        <v>263.7057787204958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8.3464792320801937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5.7656756600643346</v>
      </c>
      <c r="AC32" s="24">
        <f t="shared" si="3"/>
        <v>14.112154892144527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232.7</v>
      </c>
      <c r="L33" s="13">
        <f>VLOOKUP(A33,'Données projet'!$A$35:$I$55,9,0)</f>
        <v>13.849999999999994</v>
      </c>
      <c r="M33" s="13">
        <f t="array" ref="M33">INDEX(L:L,MIN(IF(ISNUMBER(L33:L229),ROW(L33:L229),"")))</f>
        <v>13.849999999999994</v>
      </c>
      <c r="N33" s="14">
        <f>IF('Données projet'!$A$36&gt;35,N32+M33-V32,IF(A33&lt;'Données projet'!$A$36,$K$205^A33,IF(A33='Données projet'!$A$36,'Données projet'!$B$36,N32+M33-V32)))</f>
        <v>232.7</v>
      </c>
      <c r="O33" s="14">
        <f>N33*VLOOKUP('Données projet'!$B$9,Paramètres!$A$1:$I$89,3,0)*VLOOKUP('Données projet'!$B$9,Paramètres!$A$1:$I$89,5,0)</f>
        <v>139.15460000000002</v>
      </c>
      <c r="P33" s="14">
        <f t="shared" si="33"/>
        <v>36.103268008995592</v>
      </c>
      <c r="Q33" s="22">
        <f t="shared" si="2"/>
        <v>305.240786782334</v>
      </c>
      <c r="R33" s="62">
        <f t="shared" si="0"/>
        <v>598.57412011566726</v>
      </c>
      <c r="S33" s="62">
        <f ca="1">AVERAGE(OFFSET($R$3,0,0,'Données projet'!$E$9+1,1))-AVERAGE(OFFSET($H$3,0,0,'Données projet'!$E$9+1,1))</f>
        <v>105.65599058387949</v>
      </c>
      <c r="T33" s="62">
        <f t="shared" si="34"/>
        <v>263.7057787204958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232.7</v>
      </c>
      <c r="W33" s="17">
        <f>IF(ISNA(VLOOKUP(A33,'Données projet'!$A$35:$I$55,5,0)),0%,VLOOKUP(A33,'Données projet'!$A$35:$I$55,5,0)*VLOOKUP('Données projet'!$B$9,Paramètres!$A$1:$I$89,7,0))</f>
        <v>0.36000000000000004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0.2</v>
      </c>
      <c r="Z33" s="23">
        <f>EXP(-LN(2)/35)*Z32+(1-EXP(-LN(2)/35))/(LN(2)/35)*V33*W33*VLOOKUP('Données projet'!$B$9,Paramètres!$A$1:$I$89,3,0)*0.475*44/12</f>
        <v>74.637926486715287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35.588014851228991</v>
      </c>
      <c r="AC33" s="24">
        <f t="shared" si="3"/>
        <v>110.22594133794428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105.65599058387949</v>
      </c>
      <c r="T34" s="62">
        <f t="shared" si="34"/>
        <v>263.7057787204958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73.174322272950775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25.164526630271585</v>
      </c>
      <c r="AC34" s="24">
        <f t="shared" si="3"/>
        <v>98.338848903222356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105.65599058387949</v>
      </c>
      <c r="T35" s="62">
        <f t="shared" si="34"/>
        <v>263.7057787204958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71.739418445107759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17.794007425614499</v>
      </c>
      <c r="AC35" s="24">
        <f t="shared" si="3"/>
        <v>89.533425870722255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105.65599058387949</v>
      </c>
      <c r="T36" s="62">
        <f t="shared" si="34"/>
        <v>263.7057787204958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70.332652206123825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12.582263315135794</v>
      </c>
      <c r="AC36" s="24">
        <f t="shared" si="3"/>
        <v>82.914915521259616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105.65599058387949</v>
      </c>
      <c r="T37" s="62">
        <f t="shared" si="34"/>
        <v>263.7057787204958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68.953471795043683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8.8970037128072512</v>
      </c>
      <c r="AC37" s="24">
        <f t="shared" si="3"/>
        <v>77.850475507850931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105.65599058387949</v>
      </c>
      <c r="T38" s="62">
        <f t="shared" si="34"/>
        <v>263.7057787204958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67.601336270607845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6.2911316575678979</v>
      </c>
      <c r="AC38" s="24">
        <f t="shared" si="3"/>
        <v>73.892467928175748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105.65599058387949</v>
      </c>
      <c r="T39" s="62">
        <f t="shared" si="34"/>
        <v>263.7057787204958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66.275715299084951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4.4485018564036256</v>
      </c>
      <c r="AC39" s="24">
        <f t="shared" si="3"/>
        <v>70.724217155488574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105.65599058387949</v>
      </c>
      <c r="T40" s="62">
        <f t="shared" si="34"/>
        <v>263.7057787204958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64.976088946264667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3.145565828783949</v>
      </c>
      <c r="AC40" s="24">
        <f t="shared" si="3"/>
        <v>68.121654775048611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105.65599058387949</v>
      </c>
      <c r="T41" s="62">
        <f t="shared" si="34"/>
        <v>263.7057787204958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63.701947473529387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2.2242509282018128</v>
      </c>
      <c r="AC41" s="24">
        <f t="shared" si="3"/>
        <v>65.926198401731199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105.65599058387949</v>
      </c>
      <c r="T42" s="62">
        <f t="shared" si="34"/>
        <v>263.7057787204958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62.452791137924883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1.5727829143919745</v>
      </c>
      <c r="AC42" s="24">
        <f t="shared" si="3"/>
        <v>64.025574052316856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105.65599058387949</v>
      </c>
      <c r="T43" s="62">
        <f t="shared" si="34"/>
        <v>263.7057787204958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61.228129996151452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1.1121254641009064</v>
      </c>
      <c r="AC43" s="24">
        <f t="shared" si="3"/>
        <v>62.340255460252358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105.65599058387949</v>
      </c>
      <c r="T44" s="62">
        <f t="shared" si="34"/>
        <v>263.7057787204958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60.027483712398663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0.78639145719598724</v>
      </c>
      <c r="AC44" s="24">
        <f t="shared" si="3"/>
        <v>60.813875169594652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105.65599058387949</v>
      </c>
      <c r="T45" s="62">
        <f t="shared" si="34"/>
        <v>263.7057787204958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58.850381369948344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0.5560627320504532</v>
      </c>
      <c r="AC45" s="24">
        <f t="shared" si="3"/>
        <v>59.406444101998801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105.65599058387949</v>
      </c>
      <c r="T46" s="62">
        <f t="shared" si="34"/>
        <v>263.7057787204958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57.696361286471941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0.39319572859799362</v>
      </c>
      <c r="AC46" s="24">
        <f t="shared" si="3"/>
        <v>58.089557015069936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105.65599058387949</v>
      </c>
      <c r="T47" s="62">
        <f t="shared" si="34"/>
        <v>263.7057787204958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56.564970832949761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0.2780313660252266</v>
      </c>
      <c r="AC47" s="24">
        <f t="shared" si="3"/>
        <v>56.843002198974986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105.65599058387949</v>
      </c>
      <c r="T48" s="62">
        <f t="shared" si="34"/>
        <v>263.7057787204958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55.455766256141111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0.19659786429899681</v>
      </c>
      <c r="AC48" s="24">
        <f t="shared" si="3"/>
        <v>55.652364120440105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105.65599058387949</v>
      </c>
      <c r="T49" s="62">
        <f t="shared" si="34"/>
        <v>263.7057787204958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54.368312504535687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0.1390156830126133</v>
      </c>
      <c r="AC49" s="24">
        <f t="shared" si="3"/>
        <v>54.507328187548303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105.65599058387949</v>
      </c>
      <c r="T50" s="62">
        <f t="shared" si="34"/>
        <v>263.7057787204958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53.302183057717954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9.8298932149498405E-2</v>
      </c>
      <c r="AC50" s="24">
        <f t="shared" si="3"/>
        <v>53.400481989867451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105.65599058387949</v>
      </c>
      <c r="T51" s="62">
        <f t="shared" si="34"/>
        <v>263.7057787204958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52.256959759077567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6.950784150630665E-2</v>
      </c>
      <c r="AC51" s="24">
        <f t="shared" si="3"/>
        <v>52.326467600583875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105.65599058387949</v>
      </c>
      <c r="T52" s="62">
        <f t="shared" si="34"/>
        <v>263.7057787204958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51.232232651800253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4.9149466074749203E-2</v>
      </c>
      <c r="AC52" s="24">
        <f t="shared" si="3"/>
        <v>51.281382117875005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105.65599058387949</v>
      </c>
      <c r="T53" s="62">
        <f t="shared" si="34"/>
        <v>263.7057787204958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50.227599818074829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3.4753920753153325E-2</v>
      </c>
      <c r="AC53" s="24">
        <f t="shared" si="3"/>
        <v>50.262353738827983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105.65599058387949</v>
      </c>
      <c r="T54" s="62">
        <f t="shared" si="34"/>
        <v>263.7057787204958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49.242667221453239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2.4574733037374601E-2</v>
      </c>
      <c r="AC54" s="24">
        <f t="shared" si="3"/>
        <v>49.267241954490615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105.65599058387949</v>
      </c>
      <c r="T55" s="62">
        <f t="shared" si="34"/>
        <v>263.7057787204958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48.277048552301828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1.7376960376576663E-2</v>
      </c>
      <c r="AC55" s="24">
        <f t="shared" si="3"/>
        <v>48.294425512678401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105.65599058387949</v>
      </c>
      <c r="T56" s="62">
        <f t="shared" si="34"/>
        <v>263.7057787204958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47.330365076283243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1.2287366518687301E-2</v>
      </c>
      <c r="AC56" s="24">
        <f t="shared" si="3"/>
        <v>47.342652442801928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105.65599058387949</v>
      </c>
      <c r="T57" s="62">
        <f t="shared" si="34"/>
        <v>263.7057787204958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46.40224548580948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8.6884801882883313E-3</v>
      </c>
      <c r="AC57" s="24">
        <f t="shared" si="3"/>
        <v>46.410933965997771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105.65599058387949</v>
      </c>
      <c r="T58" s="62">
        <f t="shared" si="34"/>
        <v>263.7057787204958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45.492325754407858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6.1436832593436503E-3</v>
      </c>
      <c r="AC58" s="24">
        <f t="shared" si="3"/>
        <v>45.498469437667204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105.65599058387949</v>
      </c>
      <c r="T59" s="62">
        <f t="shared" si="34"/>
        <v>263.7057787204958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44.600248993942785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4.3442400941441656E-3</v>
      </c>
      <c r="AC59" s="24">
        <f t="shared" si="3"/>
        <v>44.604593234036926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105.65599058387949</v>
      </c>
      <c r="T60" s="62">
        <f t="shared" si="34"/>
        <v>263.7057787204958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43.725665314637332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3.0718416296718252E-3</v>
      </c>
      <c r="AC60" s="24">
        <f t="shared" si="3"/>
        <v>43.728737156267002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105.65599058387949</v>
      </c>
      <c r="T61" s="62">
        <f t="shared" si="34"/>
        <v>263.7057787204958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42.868231687839689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2.1721200470720828E-3</v>
      </c>
      <c r="AC61" s="24">
        <f t="shared" si="3"/>
        <v>42.87040380788676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105.65599058387949</v>
      </c>
      <c r="T62" s="62">
        <f t="shared" si="34"/>
        <v>263.7057787204958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42.027611811480675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1.5359208148359126E-3</v>
      </c>
      <c r="AC62" s="24">
        <f t="shared" si="3"/>
        <v>42.029147732295513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105.65599058387949</v>
      </c>
      <c r="T63" s="62">
        <f t="shared" si="34"/>
        <v>263.7057787204958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41.203475978169564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1.0860600235360414E-3</v>
      </c>
      <c r="AC63" s="24">
        <f t="shared" si="3"/>
        <v>41.204562038193103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105.65599058387949</v>
      </c>
      <c r="T64" s="62">
        <f t="shared" si="34"/>
        <v>263.7057787204958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40.395500945876464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7.6796040741795629E-4</v>
      </c>
      <c r="AC64" s="24">
        <f t="shared" si="3"/>
        <v>40.396268906283879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105.65599058387949</v>
      </c>
      <c r="T65" s="62">
        <f t="shared" si="34"/>
        <v>263.7057787204958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39.603369811150522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5.430300117680207E-4</v>
      </c>
      <c r="AC65" s="24">
        <f t="shared" si="3"/>
        <v>39.603912841162291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105.65599058387949</v>
      </c>
      <c r="T66" s="62">
        <f t="shared" si="34"/>
        <v>263.7057787204958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38.826771884824268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3.8398020370897815E-4</v>
      </c>
      <c r="AC66" s="24">
        <f t="shared" si="3"/>
        <v>38.827155865027976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105.65599058387949</v>
      </c>
      <c r="T67" s="62">
        <f t="shared" si="34"/>
        <v>263.7057787204958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38.065402570155314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2.7151500588401035E-4</v>
      </c>
      <c r="AC67" s="24">
        <f t="shared" si="3"/>
        <v>38.065674085161199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105.65599058387949</v>
      </c>
      <c r="T68" s="62">
        <f t="shared" si="34"/>
        <v>263.7057787204958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37.318963243357587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1.9199010185448907E-4</v>
      </c>
      <c r="AC68" s="24">
        <f t="shared" ref="AC68:AC131" si="57">SUM(Z68:AB68)</f>
        <v>37.319155233459441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105.65599058387949</v>
      </c>
      <c r="T69" s="62">
        <f t="shared" ref="T69:T132" si="88">$T$3</f>
        <v>263.7057787204958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36.587161136475331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1.3575750294200518E-4</v>
      </c>
      <c r="AC69" s="24">
        <f t="shared" si="57"/>
        <v>36.587296893978269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105.65599058387949</v>
      </c>
      <c r="T70" s="62">
        <f t="shared" si="88"/>
        <v>263.7057787204958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35.869709222553823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9.5995050927244536E-5</v>
      </c>
      <c r="AC70" s="24">
        <f t="shared" si="57"/>
        <v>35.86980521760475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105.65599058387949</v>
      </c>
      <c r="T71" s="62">
        <f t="shared" si="88"/>
        <v>263.7057787204958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35.166326103061856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6.7878751471002588E-5</v>
      </c>
      <c r="AC71" s="24">
        <f t="shared" si="57"/>
        <v>35.166393981813329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105.65599058387949</v>
      </c>
      <c r="T72" s="62">
        <f t="shared" si="88"/>
        <v>263.7057787204958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34.476735897521792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4.7997525463622268E-5</v>
      </c>
      <c r="AC72" s="24">
        <f t="shared" si="57"/>
        <v>34.476783895047255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105.65599058387949</v>
      </c>
      <c r="T73" s="62">
        <f t="shared" si="88"/>
        <v>263.7057787204958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33.800668135303873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3.3939375735501294E-5</v>
      </c>
      <c r="AC73" s="24">
        <f t="shared" si="57"/>
        <v>33.800702074679606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105.65599058387949</v>
      </c>
      <c r="T74" s="62">
        <f t="shared" si="88"/>
        <v>263.7057787204958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33.137857649542426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2.3998762731811134E-5</v>
      </c>
      <c r="AC74" s="24">
        <f t="shared" si="57"/>
        <v>33.137881648305161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105.65599058387949</v>
      </c>
      <c r="T75" s="62">
        <f t="shared" si="88"/>
        <v>263.7057787204958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32.488044473132284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1.6969687867750647E-5</v>
      </c>
      <c r="AC75" s="24">
        <f t="shared" si="57"/>
        <v>32.488061442820154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105.65599058387949</v>
      </c>
      <c r="T76" s="62">
        <f t="shared" si="88"/>
        <v>263.7057787204958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31.850973736764647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1.1999381365905567E-5</v>
      </c>
      <c r="AC76" s="24">
        <f t="shared" si="57"/>
        <v>31.850985736146015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105.65599058387949</v>
      </c>
      <c r="T77" s="62">
        <f t="shared" si="88"/>
        <v>263.7057787204958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31.226395568962399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8.4848439338753235E-6</v>
      </c>
      <c r="AC77" s="24">
        <f t="shared" si="57"/>
        <v>31.226404053806334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105.65599058387949</v>
      </c>
      <c r="T78" s="62">
        <f t="shared" si="88"/>
        <v>263.7057787204958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30.614064998075687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5.9996906829527835E-6</v>
      </c>
      <c r="AC78" s="24">
        <f t="shared" si="57"/>
        <v>30.614070997766369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105.65599058387949</v>
      </c>
      <c r="T79" s="62">
        <f t="shared" si="88"/>
        <v>263.7057787204958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30.013741856199292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4.2424219669376618E-6</v>
      </c>
      <c r="AC79" s="24">
        <f t="shared" si="57"/>
        <v>30.013746098621258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105.65599058387949</v>
      </c>
      <c r="T80" s="62">
        <f t="shared" si="88"/>
        <v>263.7057787204958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29.425190684974133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2.9998453414763918E-6</v>
      </c>
      <c r="AC80" s="24">
        <f t="shared" si="57"/>
        <v>29.425193684819476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105.65599058387949</v>
      </c>
      <c r="T81" s="62">
        <f t="shared" si="88"/>
        <v>263.7057787204958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28.848180643235931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2.1212109834688309E-6</v>
      </c>
      <c r="AC81" s="24">
        <f t="shared" si="57"/>
        <v>28.848182764446914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105.65599058387949</v>
      </c>
      <c r="T82" s="62">
        <f t="shared" si="88"/>
        <v>263.7057787204958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28.282485416474842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1.4999226707381959E-6</v>
      </c>
      <c r="AC82" s="24">
        <f t="shared" si="57"/>
        <v>28.282486916397513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105.65599058387949</v>
      </c>
      <c r="T83" s="62">
        <f t="shared" si="88"/>
        <v>263.7057787204958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27.727883128070516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1.0606054917344154E-6</v>
      </c>
      <c r="AC83" s="24">
        <f t="shared" si="57"/>
        <v>27.727884188676008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105.65599058387949</v>
      </c>
      <c r="T84" s="62">
        <f t="shared" si="88"/>
        <v>263.7057787204958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27.184156252267808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7.4996133536909794E-7</v>
      </c>
      <c r="AC84" s="24">
        <f t="shared" si="57"/>
        <v>27.184157002229142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105.65599058387949</v>
      </c>
      <c r="T85" s="62">
        <f t="shared" si="88"/>
        <v>263.7057787204958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26.651091528858942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5.3030274586720772E-7</v>
      </c>
      <c r="AC85" s="24">
        <f t="shared" si="57"/>
        <v>26.651092059161687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105.65599058387949</v>
      </c>
      <c r="T86" s="62">
        <f t="shared" si="88"/>
        <v>263.7057787204958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26.128479879538748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3.7498066768454897E-7</v>
      </c>
      <c r="AC86" s="24">
        <f t="shared" si="57"/>
        <v>26.128480254519417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105.65599058387949</v>
      </c>
      <c r="T87" s="62">
        <f t="shared" si="88"/>
        <v>263.7057787204958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25.616116325900091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2.6515137293360386E-7</v>
      </c>
      <c r="AC87" s="24">
        <f t="shared" si="57"/>
        <v>25.616116591051465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105.65599058387949</v>
      </c>
      <c r="T88" s="62">
        <f t="shared" si="88"/>
        <v>263.7057787204958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25.113799909037379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1.8749033384227449E-7</v>
      </c>
      <c r="AC88" s="24">
        <f t="shared" si="57"/>
        <v>25.113800096527712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105.65599058387949</v>
      </c>
      <c r="T89" s="62">
        <f t="shared" si="88"/>
        <v>263.7057787204958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24.621333610726584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1.3257568646680193E-7</v>
      </c>
      <c r="AC89" s="24">
        <f t="shared" si="57"/>
        <v>24.621333743302269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105.65599058387949</v>
      </c>
      <c r="T90" s="62">
        <f t="shared" si="88"/>
        <v>263.7057787204958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24.138524276150878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9.3745166921137243E-8</v>
      </c>
      <c r="AC90" s="24">
        <f t="shared" si="57"/>
        <v>24.138524369896047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105.65599058387949</v>
      </c>
      <c r="T91" s="62">
        <f t="shared" si="88"/>
        <v>263.7057787204958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23.66518253814159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6.6287843233400965E-8</v>
      </c>
      <c r="AC91" s="24">
        <f t="shared" si="57"/>
        <v>23.665182604429432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105.65599058387949</v>
      </c>
      <c r="T92" s="62">
        <f t="shared" si="88"/>
        <v>263.7057787204958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23.201122742904708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4.6872583460568621E-8</v>
      </c>
      <c r="AC92" s="24">
        <f t="shared" si="57"/>
        <v>23.20112278977729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105.65599058387949</v>
      </c>
      <c r="T93" s="62">
        <f t="shared" si="88"/>
        <v>263.7057787204958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22.746162877203897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3.3143921616700482E-8</v>
      </c>
      <c r="AC93" s="24">
        <f t="shared" si="57"/>
        <v>22.74616291034782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105.65599058387949</v>
      </c>
      <c r="T94" s="62">
        <f t="shared" si="88"/>
        <v>263.7057787204958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22.30012449697136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2.3436291730284311E-8</v>
      </c>
      <c r="AC94" s="24">
        <f t="shared" si="57"/>
        <v>22.300124520407653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105.65599058387949</v>
      </c>
      <c r="T95" s="62">
        <f t="shared" si="88"/>
        <v>263.7057787204958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21.862832657318634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1.6571960808350241E-8</v>
      </c>
      <c r="AC95" s="24">
        <f t="shared" si="57"/>
        <v>21.862832673890594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105.65599058387949</v>
      </c>
      <c r="T96" s="62">
        <f t="shared" si="88"/>
        <v>263.7057787204958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21.434115843919813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1.1718145865142155E-8</v>
      </c>
      <c r="AC96" s="24">
        <f t="shared" si="57"/>
        <v>21.434115855637959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105.65599058387949</v>
      </c>
      <c r="T97" s="62">
        <f t="shared" si="88"/>
        <v>263.7057787204958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21.013805905740305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8.2859804041751206E-9</v>
      </c>
      <c r="AC97" s="24">
        <f t="shared" si="57"/>
        <v>21.013805914026285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105.65599058387949</v>
      </c>
      <c r="T98" s="62">
        <f t="shared" si="88"/>
        <v>263.7057787204958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20.60173798908475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5.8590729325710777E-9</v>
      </c>
      <c r="AC98" s="24">
        <f t="shared" si="57"/>
        <v>20.601737994943822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105.65599058387949</v>
      </c>
      <c r="T99" s="62">
        <f t="shared" si="88"/>
        <v>263.7057787204958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20.1977504729382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4.1429902020875603E-9</v>
      </c>
      <c r="AC99" s="24">
        <f t="shared" si="57"/>
        <v>20.19775047708119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105.65599058387949</v>
      </c>
      <c r="T100" s="62">
        <f t="shared" si="88"/>
        <v>263.7057787204958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19.801684905575229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2.9295364662855388E-9</v>
      </c>
      <c r="AC100" s="24">
        <f t="shared" si="57"/>
        <v>19.801684908504765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105.65599058387949</v>
      </c>
      <c r="T101" s="62">
        <f t="shared" si="88"/>
        <v>263.7057787204958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19.413385942412106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2.0714951010437802E-9</v>
      </c>
      <c r="AC101" s="24">
        <f t="shared" si="57"/>
        <v>19.413385944483601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105.65599058387949</v>
      </c>
      <c r="T102" s="62">
        <f t="shared" si="88"/>
        <v>263.7057787204958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19.032701285077628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1.4647682331427694E-9</v>
      </c>
      <c r="AC102" s="24">
        <f t="shared" si="57"/>
        <v>19.032701286542398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105.65599058387949</v>
      </c>
      <c r="T103" s="62">
        <f t="shared" si="88"/>
        <v>263.7057787204958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18.659481621678765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1.0357475505218901E-9</v>
      </c>
      <c r="AC103" s="24">
        <f t="shared" si="57"/>
        <v>18.659481622714512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105.65599058387949</v>
      </c>
      <c r="T104" s="62">
        <f t="shared" si="88"/>
        <v>263.7057787204958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18.293580568237637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7.3238411657138471E-10</v>
      </c>
      <c r="AC104" s="24">
        <f t="shared" si="57"/>
        <v>18.293580568970022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105.65599058387949</v>
      </c>
      <c r="T105" s="62">
        <f t="shared" si="88"/>
        <v>263.7057787204958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17.934854611276883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5.1787377526094504E-10</v>
      </c>
      <c r="AC105" s="24">
        <f t="shared" si="57"/>
        <v>17.934854611794758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105.65599058387949</v>
      </c>
      <c r="T106" s="62">
        <f t="shared" si="88"/>
        <v>263.7057787204958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17.583163051530903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3.6619205828569235E-10</v>
      </c>
      <c r="AC106" s="24">
        <f t="shared" si="57"/>
        <v>17.583163051897095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105.65599058387949</v>
      </c>
      <c r="T107" s="62">
        <f t="shared" si="88"/>
        <v>263.7057787204958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17.238367948760871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2.5893688763047252E-10</v>
      </c>
      <c r="AC107" s="24">
        <f t="shared" si="57"/>
        <v>17.238367949019807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105.65599058387949</v>
      </c>
      <c r="T108" s="62">
        <f t="shared" si="88"/>
        <v>263.7057787204958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16.900334067651912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1.8309602914284618E-10</v>
      </c>
      <c r="AC108" s="24">
        <f t="shared" si="57"/>
        <v>16.900334067835008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105.65599058387949</v>
      </c>
      <c r="T109" s="62">
        <f t="shared" si="88"/>
        <v>263.7057787204958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16.568928824771191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1.2946844381523626E-10</v>
      </c>
      <c r="AC109" s="24">
        <f t="shared" si="57"/>
        <v>16.568928824900659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105.65599058387949</v>
      </c>
      <c r="T110" s="62">
        <f t="shared" si="88"/>
        <v>263.7057787204958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16.244022236566121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9.1548014571423088E-11</v>
      </c>
      <c r="AC110" s="24">
        <f t="shared" si="57"/>
        <v>16.244022236657667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105.65599058387949</v>
      </c>
      <c r="T111" s="62">
        <f t="shared" si="88"/>
        <v>263.7057787204958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15.925486868382302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6.473422190761813E-11</v>
      </c>
      <c r="AC111" s="24">
        <f t="shared" si="57"/>
        <v>15.925486868447036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105.65599058387949</v>
      </c>
      <c r="T112" s="62">
        <f t="shared" si="88"/>
        <v>263.7057787204958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15.613197784481178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4.5774007285711544E-11</v>
      </c>
      <c r="AC112" s="24">
        <f t="shared" si="57"/>
        <v>15.613197784526951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105.65599058387949</v>
      </c>
      <c r="T113" s="62">
        <f t="shared" si="88"/>
        <v>263.7057787204958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15.307032499037822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3.2367110953809065E-11</v>
      </c>
      <c r="AC113" s="24">
        <f t="shared" si="57"/>
        <v>15.307032499070189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105.65599058387949</v>
      </c>
      <c r="T114" s="62">
        <f t="shared" si="88"/>
        <v>263.7057787204958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15.006870928099625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2.2887003642855772E-11</v>
      </c>
      <c r="AC114" s="24">
        <f t="shared" si="57"/>
        <v>15.006870928122511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105.65599058387949</v>
      </c>
      <c r="T115" s="62">
        <f t="shared" si="88"/>
        <v>263.7057787204958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14.712595342487045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1.6183555476904532E-11</v>
      </c>
      <c r="AC115" s="24">
        <f t="shared" si="57"/>
        <v>14.71259534250323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105.65599058387949</v>
      </c>
      <c r="T116" s="62">
        <f t="shared" si="88"/>
        <v>263.7057787204958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14.424090321617944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1.1443501821427886E-11</v>
      </c>
      <c r="AC116" s="24">
        <f t="shared" si="57"/>
        <v>14.424090321629388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105.65599058387949</v>
      </c>
      <c r="T117" s="62">
        <f t="shared" si="88"/>
        <v>263.7057787204958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14.141242708237399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8.0917777384522662E-12</v>
      </c>
      <c r="AC117" s="24">
        <f t="shared" si="57"/>
        <v>14.141242708245491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105.65599058387949</v>
      </c>
      <c r="T118" s="62">
        <f t="shared" si="88"/>
        <v>263.7057787204958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13.863941564035239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5.721750910713943E-12</v>
      </c>
      <c r="AC118" s="24">
        <f t="shared" si="57"/>
        <v>13.86394156404096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105.65599058387949</v>
      </c>
      <c r="T119" s="62">
        <f t="shared" si="88"/>
        <v>263.7057787204958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13.592078126133885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4.0458888692261331E-12</v>
      </c>
      <c r="AC119" s="24">
        <f t="shared" si="57"/>
        <v>13.592078126137931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105.65599058387949</v>
      </c>
      <c r="T120" s="62">
        <f t="shared" si="88"/>
        <v>263.7057787204958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13.325545764429451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2.8608754553569715E-12</v>
      </c>
      <c r="AC120" s="24">
        <f t="shared" si="57"/>
        <v>13.325545764432313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105.65599058387949</v>
      </c>
      <c r="T121" s="62">
        <f t="shared" si="88"/>
        <v>263.7057787204958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13.064239939769354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2.0229444346130666E-12</v>
      </c>
      <c r="AC121" s="24">
        <f t="shared" si="57"/>
        <v>13.064239939771378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105.65599058387949</v>
      </c>
      <c r="T122" s="62">
        <f t="shared" si="88"/>
        <v>263.7057787204958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12.808058162950026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1.4304377276784858E-12</v>
      </c>
      <c r="AC122" s="24">
        <f t="shared" si="57"/>
        <v>12.808058162951456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105.65599058387949</v>
      </c>
      <c r="T123" s="62">
        <f t="shared" si="88"/>
        <v>263.7057787204958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12.55689995451867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1.0114722173065333E-12</v>
      </c>
      <c r="AC123" s="24">
        <f t="shared" si="57"/>
        <v>12.556899954519681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105.65599058387949</v>
      </c>
      <c r="T124" s="62">
        <f t="shared" si="88"/>
        <v>263.7057787204958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12.310666805363272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7.1521886383924288E-13</v>
      </c>
      <c r="AC124" s="24">
        <f t="shared" si="57"/>
        <v>12.310666805363988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105.65599058387949</v>
      </c>
      <c r="T125" s="62">
        <f t="shared" si="88"/>
        <v>263.7057787204958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12.069262138075421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5.0573610865326664E-13</v>
      </c>
      <c r="AC125" s="24">
        <f t="shared" si="57"/>
        <v>12.069262138075928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105.65599058387949</v>
      </c>
      <c r="T126" s="62">
        <f t="shared" si="88"/>
        <v>263.7057787204958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11.832591269070777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3.5760943191962144E-13</v>
      </c>
      <c r="AC126" s="24">
        <f t="shared" si="57"/>
        <v>11.832591269071134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105.65599058387949</v>
      </c>
      <c r="T127" s="62">
        <f t="shared" si="88"/>
        <v>263.7057787204958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11.600561371452336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2.5286805432663332E-13</v>
      </c>
      <c r="AC127" s="24">
        <f t="shared" si="57"/>
        <v>11.600561371452589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105.65599058387949</v>
      </c>
      <c r="T128" s="62">
        <f t="shared" si="88"/>
        <v>263.7057787204958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11.373081438601931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1.7880471595981072E-13</v>
      </c>
      <c r="AC128" s="24">
        <f t="shared" si="57"/>
        <v>11.37308143860211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105.65599058387949</v>
      </c>
      <c r="T129" s="62">
        <f t="shared" si="88"/>
        <v>263.7057787204958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11.150062248485662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1.2643402716331666E-13</v>
      </c>
      <c r="AC129" s="24">
        <f t="shared" si="57"/>
        <v>11.150062248485789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105.65599058387949</v>
      </c>
      <c r="T130" s="62">
        <f t="shared" si="88"/>
        <v>263.7057787204958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10.931416328659301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8.940235797990536E-14</v>
      </c>
      <c r="AC130" s="24">
        <f t="shared" si="57"/>
        <v>10.93141632865939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105.65599058387949</v>
      </c>
      <c r="T131" s="62">
        <f t="shared" si="88"/>
        <v>263.7057787204958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10.717057921959892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6.321701358165833E-14</v>
      </c>
      <c r="AC131" s="24">
        <f t="shared" si="57"/>
        <v>10.717057921959956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105.65599058387949</v>
      </c>
      <c r="T132" s="62">
        <f t="shared" si="88"/>
        <v>263.7057787204958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10.50690295287014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4.470117898995268E-14</v>
      </c>
      <c r="AC132" s="24">
        <f t="shared" ref="AC132:AC153" si="111">SUM(Z132:AB132)</f>
        <v>10.506902952870185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105.65599058387949</v>
      </c>
      <c r="T133" s="62">
        <f t="shared" ref="T133:T196" si="142">$T$3</f>
        <v>263.7057787204958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10.300868994542364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3.1608506790829165E-14</v>
      </c>
      <c r="AC133" s="24">
        <f t="shared" si="111"/>
        <v>10.300868994542396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105.65599058387949</v>
      </c>
      <c r="T134" s="62">
        <f t="shared" si="142"/>
        <v>263.7057787204958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10.098875236469089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2.235058949497634E-14</v>
      </c>
      <c r="AC134" s="24">
        <f t="shared" si="111"/>
        <v>10.098875236469112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105.65599058387949</v>
      </c>
      <c r="T135" s="62">
        <f t="shared" si="142"/>
        <v>263.7057787204958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9.9008424527876038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1.5804253395414582E-14</v>
      </c>
      <c r="AC135" s="24">
        <f t="shared" si="111"/>
        <v>9.9008424527876198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105.65599058387949</v>
      </c>
      <c r="T136" s="62">
        <f t="shared" si="142"/>
        <v>263.7057787204958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9.7066929712060421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1.117529474748817E-14</v>
      </c>
      <c r="AC136" s="24">
        <f t="shared" si="111"/>
        <v>9.7066929712060528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105.65599058387949</v>
      </c>
      <c r="T137" s="62">
        <f t="shared" si="142"/>
        <v>263.7057787204958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9.5163506425388036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7.9021266977072912E-15</v>
      </c>
      <c r="AC137" s="24">
        <f t="shared" si="111"/>
        <v>9.5163506425388107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105.65599058387949</v>
      </c>
      <c r="T138" s="62">
        <f t="shared" si="142"/>
        <v>263.7057787204958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9.3297408108393718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5.587647373744085E-15</v>
      </c>
      <c r="AC138" s="24">
        <f t="shared" si="111"/>
        <v>9.3297408108393771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105.65599058387949</v>
      </c>
      <c r="T139" s="62">
        <f t="shared" si="142"/>
        <v>263.7057787204958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9.1467902841188078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3.9510633488536456E-15</v>
      </c>
      <c r="AC139" s="24">
        <f t="shared" si="111"/>
        <v>9.1467902841188113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105.65599058387949</v>
      </c>
      <c r="T140" s="62">
        <f t="shared" si="142"/>
        <v>263.7057787204958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8.9674273056384308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2.7938236868720425E-15</v>
      </c>
      <c r="AC140" s="24">
        <f t="shared" si="111"/>
        <v>8.9674273056384344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105.65599058387949</v>
      </c>
      <c r="T141" s="62">
        <f t="shared" si="142"/>
        <v>263.7057787204958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8.7915815257654408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1.9755316744268228E-15</v>
      </c>
      <c r="AC141" s="24">
        <f t="shared" si="111"/>
        <v>8.7915815257654426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105.65599058387949</v>
      </c>
      <c r="T142" s="62">
        <f t="shared" si="142"/>
        <v>263.7057787204958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8.6191839743804248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1.3969118434360212E-15</v>
      </c>
      <c r="AC142" s="24">
        <f t="shared" si="111"/>
        <v>8.6191839743804266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105.65599058387949</v>
      </c>
      <c r="T143" s="62">
        <f t="shared" si="142"/>
        <v>263.7057787204958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8.4501670338259451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9.877658372134114E-16</v>
      </c>
      <c r="AC143" s="24">
        <f t="shared" si="111"/>
        <v>8.4501670338259469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105.65599058387949</v>
      </c>
      <c r="T144" s="62">
        <f t="shared" si="142"/>
        <v>263.7057787204958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8.2844644123855851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6.9845592171801062E-16</v>
      </c>
      <c r="AC144" s="24">
        <f t="shared" si="111"/>
        <v>8.2844644123855851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105.65599058387949</v>
      </c>
      <c r="T145" s="62">
        <f t="shared" si="142"/>
        <v>263.7057787204958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8.1220111182830514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4.938829186067057E-16</v>
      </c>
      <c r="AC145" s="24">
        <f t="shared" si="111"/>
        <v>8.1220111182830514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105.65599058387949</v>
      </c>
      <c r="T146" s="62">
        <f t="shared" si="142"/>
        <v>263.7057787204958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7.9627434341911423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3.4922796085900531E-16</v>
      </c>
      <c r="AC146" s="24">
        <f t="shared" si="111"/>
        <v>7.9627434341911423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105.65599058387949</v>
      </c>
      <c r="T147" s="62">
        <f t="shared" si="142"/>
        <v>263.7057787204958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7.8065988922405802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2.4694145930335285E-16</v>
      </c>
      <c r="AC147" s="24">
        <f t="shared" si="111"/>
        <v>7.8065988922405802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105.65599058387949</v>
      </c>
      <c r="T148" s="62">
        <f t="shared" si="142"/>
        <v>263.7057787204958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7.6535162495189022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1.7461398042950266E-16</v>
      </c>
      <c r="AC148" s="24">
        <f t="shared" si="111"/>
        <v>7.6535162495189022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105.65599058387949</v>
      </c>
      <c r="T149" s="62">
        <f t="shared" si="142"/>
        <v>263.7057787204958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7.5034354640498035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1.2347072965167643E-16</v>
      </c>
      <c r="AC149" s="24">
        <f t="shared" si="111"/>
        <v>7.5034354640498035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105.65599058387949</v>
      </c>
      <c r="T150" s="62">
        <f t="shared" si="142"/>
        <v>263.7057787204958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7.3562976712435137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8.7306990214751328E-17</v>
      </c>
      <c r="AC150" s="24">
        <f t="shared" si="111"/>
        <v>7.3562976712435137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105.65599058387949</v>
      </c>
      <c r="T151" s="62">
        <f t="shared" si="142"/>
        <v>263.7057787204958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7.2120451608089633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6.1735364825838213E-17</v>
      </c>
      <c r="AC151" s="24">
        <f t="shared" si="111"/>
        <v>7.2120451608089633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105.65599058387949</v>
      </c>
      <c r="T152" s="62">
        <f t="shared" si="142"/>
        <v>263.7057787204958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7.0706213541186909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4.3653495107375664E-17</v>
      </c>
      <c r="AC152" s="24">
        <f t="shared" si="111"/>
        <v>7.0706213541186909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105.65599058387949</v>
      </c>
      <c r="T153" s="62">
        <f t="shared" si="142"/>
        <v>263.7057787204958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6.9319707820176104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3.0867682412919106E-17</v>
      </c>
      <c r="AC153" s="24">
        <f t="shared" si="111"/>
        <v>6.9319707820176104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105.65599058387949</v>
      </c>
      <c r="T154" s="62">
        <f t="shared" si="142"/>
        <v>263.7057787204958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6.7960390630669334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2.1826747553687832E-17</v>
      </c>
      <c r="AC154" s="24">
        <f t="shared" ref="AC154:AC203" si="163">SUM(Z154:AB154)</f>
        <v>6.7960390630669334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105.65599058387949</v>
      </c>
      <c r="T155" s="62">
        <f t="shared" si="142"/>
        <v>263.7057787204958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6.6627728822147176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1.5433841206459553E-17</v>
      </c>
      <c r="AC155" s="24">
        <f t="shared" si="163"/>
        <v>6.6627728822147176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105.65599058387949</v>
      </c>
      <c r="T156" s="62">
        <f t="shared" si="142"/>
        <v>263.7057787204958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6.5321199698846693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1.0913373776843916E-17</v>
      </c>
      <c r="AC156" s="24">
        <f t="shared" si="163"/>
        <v>6.5321199698846693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105.65599058387949</v>
      </c>
      <c r="T157" s="62">
        <f t="shared" si="142"/>
        <v>263.7057787204958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6.4040290814750058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7.7169206032297766E-18</v>
      </c>
      <c r="AC157" s="24">
        <f t="shared" si="163"/>
        <v>6.4040290814750058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105.65599058387949</v>
      </c>
      <c r="T158" s="62">
        <f t="shared" si="142"/>
        <v>263.7057787204958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6.2784499772593279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5.456686888421958E-18</v>
      </c>
      <c r="AC158" s="24">
        <f t="shared" si="163"/>
        <v>6.2784499772593279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105.65599058387949</v>
      </c>
      <c r="T159" s="62">
        <f t="shared" si="142"/>
        <v>263.7057787204958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6.1553334026816291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3.8584603016148883E-18</v>
      </c>
      <c r="AC159" s="24">
        <f t="shared" si="163"/>
        <v>6.1553334026816291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105.65599058387949</v>
      </c>
      <c r="T160" s="62">
        <f t="shared" si="142"/>
        <v>263.7057787204958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6.0346310690377036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2.728343444210979E-18</v>
      </c>
      <c r="AC160" s="24">
        <f t="shared" si="163"/>
        <v>6.0346310690377036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105.65599058387949</v>
      </c>
      <c r="T161" s="62">
        <f t="shared" si="142"/>
        <v>263.7057787204958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5.9162956345353814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1.9292301508074441E-18</v>
      </c>
      <c r="AC161" s="24">
        <f t="shared" si="163"/>
        <v>5.9162956345353814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105.65599058387949</v>
      </c>
      <c r="T162" s="62">
        <f t="shared" si="142"/>
        <v>263.7057787204958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5.800280685726162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1.3641717221054895E-18</v>
      </c>
      <c r="AC162" s="24">
        <f t="shared" si="163"/>
        <v>5.800280685726162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105.65599058387949</v>
      </c>
      <c r="T163" s="62">
        <f t="shared" si="142"/>
        <v>263.7057787204958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5.6865407193009592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9.6461507540372207E-19</v>
      </c>
      <c r="AC163" s="24">
        <f t="shared" si="163"/>
        <v>5.6865407193009592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105.65599058387949</v>
      </c>
      <c r="T164" s="62">
        <f t="shared" si="142"/>
        <v>263.7057787204958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5.575031124242825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6.8208586105274475E-19</v>
      </c>
      <c r="AC164" s="24">
        <f t="shared" si="163"/>
        <v>5.575031124242825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105.65599058387949</v>
      </c>
      <c r="T165" s="62">
        <f t="shared" si="142"/>
        <v>263.7057787204958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5.4657081643296443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4.8230753770186104E-19</v>
      </c>
      <c r="AC165" s="24">
        <f t="shared" si="163"/>
        <v>5.4657081643296443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105.65599058387949</v>
      </c>
      <c r="T166" s="62">
        <f t="shared" si="142"/>
        <v>263.7057787204958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5.3585289609799398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3.4104293052637237E-19</v>
      </c>
      <c r="AC166" s="24">
        <f t="shared" si="163"/>
        <v>5.3585289609799398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105.65599058387949</v>
      </c>
      <c r="T167" s="62">
        <f t="shared" si="142"/>
        <v>263.7057787204958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5.2534514764350639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2.4115376885093052E-19</v>
      </c>
      <c r="AC167" s="24">
        <f t="shared" si="163"/>
        <v>5.2534514764350639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105.65599058387949</v>
      </c>
      <c r="T168" s="62">
        <f t="shared" si="142"/>
        <v>263.7057787204958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5.150434497271176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1.7052146526318619E-19</v>
      </c>
      <c r="AC168" s="24">
        <f t="shared" si="163"/>
        <v>5.150434497271176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105.65599058387949</v>
      </c>
      <c r="T169" s="62">
        <f t="shared" si="142"/>
        <v>263.7057787204958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5.0494376182345384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1.2057688442546526E-19</v>
      </c>
      <c r="AC169" s="24">
        <f t="shared" si="163"/>
        <v>5.0494376182345384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105.65599058387949</v>
      </c>
      <c r="T170" s="62">
        <f t="shared" si="142"/>
        <v>263.7057787204958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4.9504212263937957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8.5260732631593094E-20</v>
      </c>
      <c r="AC170" s="24">
        <f t="shared" si="163"/>
        <v>4.9504212263937957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105.65599058387949</v>
      </c>
      <c r="T171" s="62">
        <f t="shared" si="142"/>
        <v>263.7057787204958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4.8533464856030148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6.028844221273263E-20</v>
      </c>
      <c r="AC171" s="24">
        <f t="shared" si="163"/>
        <v>4.8533464856030148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105.65599058387949</v>
      </c>
      <c r="T172" s="62">
        <f t="shared" si="142"/>
        <v>263.7057787204958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4.7581753212693956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4.2630366315796547E-20</v>
      </c>
      <c r="AC172" s="24">
        <f t="shared" si="163"/>
        <v>4.7581753212693956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105.65599058387949</v>
      </c>
      <c r="T173" s="62">
        <f t="shared" si="142"/>
        <v>263.7057787204958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4.6648704054196806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3.0144221106366315E-20</v>
      </c>
      <c r="AC173" s="24">
        <f t="shared" si="163"/>
        <v>4.6648704054196806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105.65599058387949</v>
      </c>
      <c r="T174" s="62">
        <f t="shared" si="142"/>
        <v>263.7057787204958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4.5733951420593986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2.1315183157898273E-20</v>
      </c>
      <c r="AC174" s="24">
        <f t="shared" si="163"/>
        <v>4.5733951420593986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105.65599058387949</v>
      </c>
      <c r="T175" s="62">
        <f t="shared" si="142"/>
        <v>263.7057787204958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4.483713652819211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1.5072110553183157E-20</v>
      </c>
      <c r="AC175" s="24">
        <f t="shared" si="163"/>
        <v>4.483713652819211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105.65599058387949</v>
      </c>
      <c r="T176" s="62">
        <f t="shared" si="142"/>
        <v>263.7057787204958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4.395790762882716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1.0657591578949137E-20</v>
      </c>
      <c r="AC176" s="24">
        <f t="shared" si="163"/>
        <v>4.395790762882716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105.65599058387949</v>
      </c>
      <c r="T177" s="62">
        <f t="shared" si="142"/>
        <v>263.7057787204958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4.309591987190208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7.5360552765915787E-21</v>
      </c>
      <c r="AC177" s="24">
        <f t="shared" si="163"/>
        <v>4.309591987190208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105.65599058387949</v>
      </c>
      <c r="T178" s="62">
        <f t="shared" si="142"/>
        <v>263.7057787204958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4.2250835169129681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5.3287957894745684E-21</v>
      </c>
      <c r="AC178" s="24">
        <f t="shared" si="163"/>
        <v>4.2250835169129681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105.65599058387949</v>
      </c>
      <c r="T179" s="62">
        <f t="shared" si="142"/>
        <v>263.7057787204958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4.1422322061927881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3.7680276382957894E-21</v>
      </c>
      <c r="AC179" s="24">
        <f t="shared" si="163"/>
        <v>4.1422322061927881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105.65599058387949</v>
      </c>
      <c r="T180" s="62">
        <f t="shared" si="142"/>
        <v>263.7057787204958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4.0610055591415213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2.6643978947372842E-21</v>
      </c>
      <c r="AC180" s="24">
        <f t="shared" si="163"/>
        <v>4.0610055591415213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105.65599058387949</v>
      </c>
      <c r="T181" s="62">
        <f t="shared" si="142"/>
        <v>263.7057787204958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3.9813717170955667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1.8840138191478947E-21</v>
      </c>
      <c r="AC181" s="24">
        <f t="shared" si="163"/>
        <v>3.9813717170955667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105.65599058387949</v>
      </c>
      <c r="T182" s="62">
        <f t="shared" si="142"/>
        <v>263.7057787204958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3.9032994461202857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1.3321989473686421E-21</v>
      </c>
      <c r="AC182" s="24">
        <f t="shared" si="163"/>
        <v>3.9032994461202857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105.65599058387949</v>
      </c>
      <c r="T183" s="62">
        <f t="shared" si="142"/>
        <v>263.7057787204958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3.8267581247594467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9.4200690957394734E-22</v>
      </c>
      <c r="AC183" s="24">
        <f t="shared" si="163"/>
        <v>3.8267581247594467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105.65599058387949</v>
      </c>
      <c r="T184" s="62">
        <f t="shared" si="142"/>
        <v>263.7057787204958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3.7517177320248978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6.6609947368432104E-22</v>
      </c>
      <c r="AC184" s="24">
        <f t="shared" si="163"/>
        <v>3.7517177320248978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105.65599058387949</v>
      </c>
      <c r="T185" s="62">
        <f t="shared" si="142"/>
        <v>263.7057787204958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3.6781488356217529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4.7100345478697367E-22</v>
      </c>
      <c r="AC185" s="24">
        <f t="shared" si="163"/>
        <v>3.6781488356217529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105.65599058387949</v>
      </c>
      <c r="T186" s="62">
        <f t="shared" si="142"/>
        <v>263.7057787204958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3.6060225804044777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3.3304973684216052E-22</v>
      </c>
      <c r="AC186" s="24">
        <f t="shared" si="163"/>
        <v>3.6060225804044777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105.65599058387949</v>
      </c>
      <c r="T187" s="62">
        <f t="shared" si="142"/>
        <v>263.7057787204958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3.5353106770593414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2.3550172739348683E-22</v>
      </c>
      <c r="AC187" s="24">
        <f t="shared" si="163"/>
        <v>3.5353106770593414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105.65599058387949</v>
      </c>
      <c r="T188" s="62">
        <f t="shared" si="142"/>
        <v>263.7057787204958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3.4659853910088012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1.6652486842108026E-22</v>
      </c>
      <c r="AC188" s="24">
        <f t="shared" si="163"/>
        <v>3.4659853910088012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105.65599058387949</v>
      </c>
      <c r="T189" s="62">
        <f t="shared" si="142"/>
        <v>263.7057787204958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3.3980195315334627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1.1775086369674342E-22</v>
      </c>
      <c r="AC189" s="24">
        <f t="shared" si="163"/>
        <v>3.3980195315334627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105.65599058387949</v>
      </c>
      <c r="T190" s="62">
        <f t="shared" si="142"/>
        <v>263.7057787204958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3.3313864411073548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8.3262434210540131E-23</v>
      </c>
      <c r="AC190" s="24">
        <f t="shared" si="163"/>
        <v>3.3313864411073548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105.65599058387949</v>
      </c>
      <c r="T191" s="62">
        <f t="shared" si="142"/>
        <v>263.7057787204958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3.2660599849423306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5.8875431848371709E-23</v>
      </c>
      <c r="AC191" s="24">
        <f t="shared" si="163"/>
        <v>3.2660599849423306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105.65599058387949</v>
      </c>
      <c r="T192" s="62">
        <f t="shared" si="142"/>
        <v>263.7057787204958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3.2020145407374989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4.1631217105270065E-23</v>
      </c>
      <c r="AC192" s="24">
        <f t="shared" si="163"/>
        <v>3.2020145407374989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105.65599058387949</v>
      </c>
      <c r="T193" s="62">
        <f t="shared" si="142"/>
        <v>263.7057787204958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3.1392249886296599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2.9437715924185854E-23</v>
      </c>
      <c r="AC193" s="24">
        <f t="shared" si="163"/>
        <v>3.1392249886296599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105.65599058387949</v>
      </c>
      <c r="T194" s="62">
        <f t="shared" si="142"/>
        <v>263.7057787204958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3.0776667013408106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2.0815608552635033E-23</v>
      </c>
      <c r="AC194" s="24">
        <f t="shared" si="163"/>
        <v>3.0776667013408106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105.65599058387949</v>
      </c>
      <c r="T195" s="62">
        <f t="shared" si="142"/>
        <v>263.7057787204958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3.0173155345188478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1.4718857962092927E-23</v>
      </c>
      <c r="AC195" s="24">
        <f t="shared" si="163"/>
        <v>3.0173155345188478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105.65599058387949</v>
      </c>
      <c r="T196" s="62">
        <f t="shared" si="142"/>
        <v>263.7057787204958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2.9581478172676867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1.0407804276317516E-23</v>
      </c>
      <c r="AC196" s="24">
        <f t="shared" si="163"/>
        <v>2.9581478172676867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105.65599058387949</v>
      </c>
      <c r="T197" s="62">
        <f t="shared" ref="T197:T203" si="204">$T$3</f>
        <v>263.7057787204958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2.900140342863077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7.3594289810464636E-24</v>
      </c>
      <c r="AC197" s="24">
        <f t="shared" si="163"/>
        <v>2.900140342863077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105.65599058387949</v>
      </c>
      <c r="T198" s="62">
        <f t="shared" si="204"/>
        <v>263.7057787204958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2.8432703596504756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5.2039021381587582E-24</v>
      </c>
      <c r="AC198" s="24">
        <f t="shared" si="163"/>
        <v>2.8432703596504756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105.65599058387949</v>
      </c>
      <c r="T199" s="62">
        <f t="shared" si="204"/>
        <v>263.7057787204958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2.7875155621214089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3.6797144905232318E-24</v>
      </c>
      <c r="AC199" s="24">
        <f t="shared" si="163"/>
        <v>2.7875155621214089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105.65599058387949</v>
      </c>
      <c r="T200" s="62">
        <f t="shared" si="204"/>
        <v>263.7057787204958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2.7328540821648186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2.6019510690793791E-24</v>
      </c>
      <c r="AC200" s="24">
        <f t="shared" si="163"/>
        <v>2.7328540821648186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105.65599058387949</v>
      </c>
      <c r="T201" s="62">
        <f t="shared" si="204"/>
        <v>263.7057787204958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2.6792644804899663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1.8398572452616159E-24</v>
      </c>
      <c r="AC201" s="24">
        <f t="shared" si="163"/>
        <v>2.6792644804899663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105.65599058387949</v>
      </c>
      <c r="T202" s="62">
        <f t="shared" si="204"/>
        <v>263.7057787204958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2.6267257382175284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1.3009755345396895E-24</v>
      </c>
      <c r="AC202" s="24">
        <f t="shared" si="163"/>
        <v>2.6267257382175284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105.65599058387949</v>
      </c>
      <c r="T203" s="62">
        <f t="shared" si="204"/>
        <v>263.7057787204958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2.5752172486355844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9.1992862263080795E-25</v>
      </c>
      <c r="AC203" s="24">
        <f t="shared" si="163"/>
        <v>2.5752172486355844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1.3993915551845928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77734375" style="5" bestFit="1" customWidth="1"/>
    <col min="3" max="3" width="11.77734375" style="5" bestFit="1" customWidth="1"/>
    <col min="4" max="4" width="40" style="5" bestFit="1" customWidth="1"/>
    <col min="5" max="5" width="11.77734375" style="5" bestFit="1" customWidth="1"/>
    <col min="6" max="6" width="13.77734375" style="5" bestFit="1" customWidth="1"/>
    <col min="7" max="7" width="11.44140625" style="5" bestFit="1" customWidth="1"/>
    <col min="8" max="8" width="39" style="5" bestFit="1" customWidth="1"/>
    <col min="9" max="9" width="16.7773437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tabSelected="1" workbookViewId="0">
      <selection activeCell="C17" sqref="C17"/>
    </sheetView>
  </sheetViews>
  <sheetFormatPr baseColWidth="10" defaultColWidth="11.44140625" defaultRowHeight="14.4" x14ac:dyDescent="0.3"/>
  <cols>
    <col min="1" max="1" width="22.777343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Pin maritime</v>
      </c>
      <c r="B6" s="155">
        <f>'Données projet'!D9</f>
        <v>1</v>
      </c>
      <c r="C6" s="156">
        <f ca="1">IF(OR('Données projet'!B9="",'Données projet'!C9="",'Données projet'!C9=0%),0,Calculateur!S3)</f>
        <v>105.65599058387949</v>
      </c>
      <c r="D6" s="156">
        <f>IF(OR('Données projet'!B9="",'Données projet'!C9="",'Données projet'!C9=0%),0,Calculateur!T3)</f>
        <v>263.7057787204958</v>
      </c>
      <c r="E6" s="156">
        <f ca="1">MIN(C6,D6)</f>
        <v>105.65599058387949</v>
      </c>
      <c r="F6" s="156">
        <f ca="1">E6*B6</f>
        <v>105.65599058387949</v>
      </c>
      <c r="G6" s="156">
        <f ca="1">F6*(100%-'Données projet'!$C$24)*(100%-'Données projet'!$C$25)*(100%-'Données projet'!$C$26)*(100%-'Données projet'!$C$27)</f>
        <v>64.661466237334253</v>
      </c>
      <c r="H6" s="157">
        <f>IF(OR('Données projet'!B9="",'Données projet'!C9="",'Données projet'!C9=0%),0,AVERAGE(Calculateur!$AC$3:$AC$33)*B6)</f>
        <v>10.155530529053859</v>
      </c>
      <c r="I6" s="158">
        <f>H6*(100%-'Données projet'!$C$24)*(100%-'Données projet'!$C$25)*(100%-'Données projet'!$C$26)*(100%-'Données projet'!$C$27)</f>
        <v>6.2151846837809623</v>
      </c>
      <c r="J6" s="159">
        <f>IF(OR('Données projet'!B9="",'Données projet'!C9="",'Données projet'!C9=0%),0,SUM(Calculateur!$V$3:$V$33)*VLOOKUP('Données projet'!$B$9,Paramètres!$A$1:$I$89,9,0)*B6)</f>
        <v>194.28699999999995</v>
      </c>
      <c r="K6" s="160">
        <f>J6*(100%-'Données projet'!$C$24)*(100%-'Données projet'!$C$25)*(100%-'Données projet'!$C$26)*(100%-'Données projet'!$C$27)</f>
        <v>118.90364399999997</v>
      </c>
      <c r="L6" s="161">
        <f ca="1">G6+I6+K6</f>
        <v>189.78029492111517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105.65599058387949</v>
      </c>
      <c r="G16" s="175">
        <f t="shared" ca="1" si="3"/>
        <v>64.661466237334253</v>
      </c>
      <c r="H16" s="176">
        <f t="shared" si="3"/>
        <v>10.155530529053859</v>
      </c>
      <c r="I16" s="176">
        <f t="shared" si="3"/>
        <v>6.2151846837809623</v>
      </c>
      <c r="J16" s="177">
        <f t="shared" si="3"/>
        <v>194.28699999999995</v>
      </c>
      <c r="K16" s="177">
        <f t="shared" si="3"/>
        <v>118.90364399999997</v>
      </c>
      <c r="L16" s="178">
        <f t="shared" ca="1" si="3"/>
        <v>189.78029492111517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zoomScale="90" zoomScaleNormal="9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21875" style="1" bestFit="1" customWidth="1"/>
    <col min="4" max="5" width="11.44140625" style="1"/>
    <col min="6" max="6" width="14" style="3" customWidth="1"/>
    <col min="7" max="7" width="17.5546875" style="3" customWidth="1"/>
    <col min="8" max="8" width="21.7773437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218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10</v>
      </c>
      <c r="B23" s="193">
        <f>'Données projet'!D36</f>
        <v>0</v>
      </c>
      <c r="C23" s="206"/>
      <c r="D23" s="194">
        <f>B23*C23</f>
        <v>0</v>
      </c>
      <c r="E23" s="206"/>
      <c r="F23" s="261"/>
      <c r="H23" s="203"/>
      <c r="I23" s="204"/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11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12</v>
      </c>
      <c r="B25" s="193">
        <f>'Données projet'!D38</f>
        <v>10.9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0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13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n'est pas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14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15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16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17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18</v>
      </c>
      <c r="B31" s="193">
        <f>'Données projet'!D44</f>
        <v>33.299999999999997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19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20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21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22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23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24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25</v>
      </c>
      <c r="B38" s="193">
        <f>'Données projet'!D51</f>
        <v>52.4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26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27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28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30</v>
      </c>
      <c r="B42" s="193">
        <f>'Données projet'!D55</f>
        <v>232.7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0</v>
      </c>
      <c r="B55" s="193">
        <f>'Données projet'!D63</f>
        <v>0</v>
      </c>
      <c r="C55" s="204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0</v>
      </c>
      <c r="B56" s="193">
        <f>'Données projet'!D64</f>
        <v>0</v>
      </c>
      <c r="C56" s="204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0</v>
      </c>
      <c r="B57" s="193">
        <f>'Données projet'!D65</f>
        <v>0</v>
      </c>
      <c r="C57" s="204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0</v>
      </c>
      <c r="B58" s="193">
        <f>'Données projet'!D66</f>
        <v>0</v>
      </c>
      <c r="C58" s="204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str">
        <f>IF(O63+1&lt;=MIN('Données projet'!$E$9:$E$18),O63+1,"STOP")</f>
        <v>STOP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2022-02-14T11:15:52Z</dcterms:modified>
</cp:coreProperties>
</file>