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 (Forinvest)\Fransylva Services\LBC\Dossiers LBC\Manon Lopez\POULARD\"/>
    </mc:Choice>
  </mc:AlternateContent>
  <xr:revisionPtr revIDLastSave="0" documentId="13_ncr:1_{5DAD31F5-3A48-43F2-A6F1-B02502A9912E}" xr6:coauthVersionLast="47" xr6:coauthVersionMax="47" xr10:uidLastSave="{00000000-0000-0000-0000-000000000000}"/>
  <bookViews>
    <workbookView xWindow="-98" yWindow="-98" windowWidth="17115" windowHeight="108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37" i="2" l="1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<sst xmlns="http://schemas.openxmlformats.org/spreadsheetml/2006/main" count="1173" uniqueCount="325">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</sst>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2.3573927374945955</c:v>
                </c:pt>
                <c:pt idx="2">
                  <c:v>4.1911320509724357</c:v>
                </c:pt>
                <c:pt idx="3">
                  <c:v>7.4588729239162079</c:v>
                </c:pt>
                <c:pt idx="4">
                  <c:v>13.287556707378092</c:v>
                </c:pt>
                <c:pt idx="5">
                  <c:v>23.693773483345904</c:v>
                </c:pt>
                <c:pt idx="6">
                  <c:v>42.28898294938638</c:v>
                </c:pt>
                <c:pt idx="7">
                  <c:v>59.797398536548144</c:v>
                </c:pt>
                <c:pt idx="8">
                  <c:v>79.580756028245176</c:v>
                </c:pt>
                <c:pt idx="9">
                  <c:v>101.10599122111279</c:v>
                </c:pt>
                <c:pt idx="10">
                  <c:v>123.83301884739957</c:v>
                </c:pt>
                <c:pt idx="11">
                  <c:v>147.24826108252839</c:v>
                </c:pt>
                <c:pt idx="12">
                  <c:v>170.8894099407722</c:v>
                </c:pt>
                <c:pt idx="13">
                  <c:v>194.36279545250491</c:v>
                </c:pt>
                <c:pt idx="14">
                  <c:v>217.35459362798045</c:v>
                </c:pt>
                <c:pt idx="15">
                  <c:v>239.63699904943348</c:v>
                </c:pt>
                <c:pt idx="16">
                  <c:v>261.07039460928752</c:v>
                </c:pt>
                <c:pt idx="17">
                  <c:v>281.60246898207163</c:v>
                </c:pt>
                <c:pt idx="18">
                  <c:v>301.26515714974011</c:v>
                </c:pt>
                <c:pt idx="19">
                  <c:v>320.17020840056995</c:v>
                </c:pt>
                <c:pt idx="20">
                  <c:v>338.50411819565176</c:v>
                </c:pt>
                <c:pt idx="21">
                  <c:v>356.52309411032587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141.90711501463102</c:v>
                </c:pt>
                <c:pt idx="22">
                  <c:v>151.24173586581256</c:v>
                </c:pt>
                <c:pt idx="23">
                  <c:v>160.56263289979026</c:v>
                </c:pt>
                <c:pt idx="24">
                  <c:v>169.87071609810968</c:v>
                </c:pt>
                <c:pt idx="25">
                  <c:v>179.16678741707776</c:v>
                </c:pt>
                <c:pt idx="26">
                  <c:v>188.45155867585586</c:v>
                </c:pt>
                <c:pt idx="27">
                  <c:v>197.72566572786536</c:v>
                </c:pt>
                <c:pt idx="28">
                  <c:v>206.98967982954616</c:v>
                </c:pt>
                <c:pt idx="29">
                  <c:v>216.244116864028</c:v>
                </c:pt>
                <c:pt idx="30">
                  <c:v>225.48944490087408</c:v>
                </c:pt>
                <c:pt idx="31">
                  <c:v>201.69138249922662</c:v>
                </c:pt>
                <c:pt idx="32">
                  <c:v>214.66868960441653</c:v>
                </c:pt>
                <c:pt idx="33">
                  <c:v>227.62794123403418</c:v>
                </c:pt>
                <c:pt idx="34">
                  <c:v>240.57031057620065</c:v>
                </c:pt>
                <c:pt idx="35">
                  <c:v>253.49683419033752</c:v>
                </c:pt>
                <c:pt idx="36">
                  <c:v>266.40843422457357</c:v>
                </c:pt>
                <c:pt idx="37">
                  <c:v>279.3059360959632</c:v>
                </c:pt>
                <c:pt idx="38">
                  <c:v>292.19008273113428</c:v>
                </c:pt>
                <c:pt idx="39">
                  <c:v>305.06154616178645</c:v>
                </c:pt>
                <c:pt idx="40">
                  <c:v>317.92093705953039</c:v>
                </c:pt>
                <c:pt idx="41">
                  <c:v>289.42168537152969</c:v>
                </c:pt>
                <c:pt idx="42">
                  <c:v>313.30199011471774</c:v>
                </c:pt>
                <c:pt idx="43">
                  <c:v>337.14193807260898</c:v>
                </c:pt>
                <c:pt idx="44">
                  <c:v>360.94478222068818</c:v>
                </c:pt>
                <c:pt idx="45">
                  <c:v>384.71331160080985</c:v>
                </c:pt>
                <c:pt idx="46">
                  <c:v>408.4499426558944</c:v>
                </c:pt>
                <c:pt idx="47">
                  <c:v>432.15678821262304</c:v>
                </c:pt>
                <c:pt idx="48">
                  <c:v>455.83571053274005</c:v>
                </c:pt>
                <c:pt idx="49">
                  <c:v>479.48836276507285</c:v>
                </c:pt>
                <c:pt idx="50">
                  <c:v>503.11622179266811</c:v>
                </c:pt>
                <c:pt idx="51">
                  <c:v>453.99152062774857</c:v>
                </c:pt>
                <c:pt idx="52">
                  <c:v>473.13318716770459</c:v>
                </c:pt>
                <c:pt idx="53">
                  <c:v>492.25837511593357</c:v>
                </c:pt>
                <c:pt idx="54">
                  <c:v>511.36781437723607</c:v>
                </c:pt>
                <c:pt idx="55">
                  <c:v>530.46217589177934</c:v>
                </c:pt>
                <c:pt idx="56">
                  <c:v>549.54207839275125</c:v>
                </c:pt>
                <c:pt idx="57">
                  <c:v>568.60809417712835</c:v>
                </c:pt>
                <c:pt idx="58">
                  <c:v>587.66075406259267</c:v>
                </c:pt>
                <c:pt idx="59">
                  <c:v>606.70055166855502</c:v>
                </c:pt>
                <c:pt idx="60">
                  <c:v>625.72794713217775</c:v>
                </c:pt>
                <c:pt idx="61">
                  <c:v>552.93905173231428</c:v>
                </c:pt>
                <c:pt idx="62">
                  <c:v>567.62789055825874</c:v>
                </c:pt>
                <c:pt idx="63">
                  <c:v>582.30878641286779</c:v>
                </c:pt>
                <c:pt idx="64">
                  <c:v>596.98196766472495</c:v>
                </c:pt>
                <c:pt idx="65">
                  <c:v>611.64765054663462</c:v>
                </c:pt>
                <c:pt idx="66">
                  <c:v>626.30604008207854</c:v>
                </c:pt>
                <c:pt idx="67">
                  <c:v>640.95733092047624</c:v>
                </c:pt>
                <c:pt idx="68">
                  <c:v>655.60170809214844</c:v>
                </c:pt>
                <c:pt idx="69">
                  <c:v>670.23934769235814</c:v>
                </c:pt>
                <c:pt idx="70">
                  <c:v>684.87041750252865</c:v>
                </c:pt>
                <c:pt idx="71">
                  <c:v>588.24170448623534</c:v>
                </c:pt>
                <c:pt idx="72">
                  <c:v>601.18800058986642</c:v>
                </c:pt>
                <c:pt idx="73">
                  <c:v>614.1285041485761</c:v>
                </c:pt>
                <c:pt idx="74">
                  <c:v>627.06335436950064</c:v>
                </c:pt>
                <c:pt idx="75">
                  <c:v>639.99268425091282</c:v>
                </c:pt>
                <c:pt idx="76">
                  <c:v>652.91662098160305</c:v>
                </c:pt>
                <c:pt idx="77">
                  <c:v>665.83528630701528</c:v>
                </c:pt>
                <c:pt idx="78">
                  <c:v>678.7487968655031</c:v>
                </c:pt>
                <c:pt idx="79">
                  <c:v>691.65726449767988</c:v>
                </c:pt>
                <c:pt idx="80">
                  <c:v>704.56079653149027</c:v>
                </c:pt>
                <c:pt idx="81">
                  <c:v>582.19638797457594</c:v>
                </c:pt>
                <c:pt idx="82">
                  <c:v>593.6220468508692</c:v>
                </c:pt>
                <c:pt idx="83">
                  <c:v>605.04313056757417</c:v>
                </c:pt>
                <c:pt idx="84">
                  <c:v>616.45973763797804</c:v>
                </c:pt>
                <c:pt idx="85">
                  <c:v>627.87196262998566</c:v>
                </c:pt>
                <c:pt idx="86">
                  <c:v>639.2798963944789</c:v>
                </c:pt>
                <c:pt idx="87">
                  <c:v>650.68362627653789</c:v>
                </c:pt>
                <c:pt idx="88">
                  <c:v>662.08323631108567</c:v>
                </c:pt>
                <c:pt idx="89">
                  <c:v>673.47880740437051</c:v>
                </c:pt>
                <c:pt idx="90">
                  <c:v>684.87041750252899</c:v>
                </c:pt>
                <c:pt idx="91">
                  <c:v>534.16258086091295</c:v>
                </c:pt>
                <c:pt idx="92">
                  <c:v>542.14767992558245</c:v>
                </c:pt>
                <c:pt idx="93">
                  <c:v>550.13030966459814</c:v>
                </c:pt>
                <c:pt idx="94">
                  <c:v>558.11051096895346</c:v>
                </c:pt>
                <c:pt idx="95">
                  <c:v>566.08832346468841</c:v>
                </c:pt>
                <c:pt idx="96">
                  <c:v>574.06378556968036</c:v>
                </c:pt>
                <c:pt idx="97">
                  <c:v>582.03693454711674</c:v>
                </c:pt>
                <c:pt idx="98">
                  <c:v>590.00780655588483</c:v>
                </c:pt>
                <c:pt idx="99">
                  <c:v>597.97643669809679</c:v>
                </c:pt>
                <c:pt idx="100">
                  <c:v>605.94285906394998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4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4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4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4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4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4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4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4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4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4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4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4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4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4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4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4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4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4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54" sqref="C54"/>
    </sheetView>
  </sheetViews>
  <sheetFormatPr baseColWidth="10" defaultColWidth="11.3984375" defaultRowHeight="14.25" x14ac:dyDescent="0.45"/>
  <cols>
    <col min="1" max="1" width="13.73046875" style="25" customWidth="1"/>
    <col min="2" max="2" width="36.1328125" style="25" customWidth="1"/>
    <col min="3" max="3" width="14.86328125" style="25" bestFit="1" customWidth="1"/>
    <col min="4" max="4" width="16.3984375" style="25" customWidth="1"/>
    <col min="5" max="5" width="23.265625" style="25" customWidth="1"/>
    <col min="6" max="6" width="28.86328125" style="25" bestFit="1" customWidth="1"/>
    <col min="7" max="8" width="14.73046875" style="25" customWidth="1"/>
    <col min="9" max="9" width="17" style="25" customWidth="1"/>
    <col min="10" max="10" width="13.86328125" style="25" customWidth="1"/>
    <col min="11" max="16384" width="11.3984375" style="25"/>
  </cols>
  <sheetData>
    <row r="1" spans="1:38" x14ac:dyDescent="0.4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4.65" thickBot="1" x14ac:dyDescent="0.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5.9" thickBot="1" x14ac:dyDescent="0.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5" x14ac:dyDescent="0.4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5" x14ac:dyDescent="0.45">
      <c r="A5" s="305" t="s">
        <v>231</v>
      </c>
      <c r="B5" s="305"/>
      <c r="C5" s="26">
        <v>7.26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4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5" x14ac:dyDescent="0.4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4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45">
      <c r="A9" s="33" t="s">
        <v>165</v>
      </c>
      <c r="B9" s="34" t="s">
        <v>112</v>
      </c>
      <c r="C9" s="35">
        <v>0.78</v>
      </c>
      <c r="D9" s="36">
        <f t="shared" ref="D9:D18" si="0">C9*$C$5</f>
        <v>5.6627999999999998</v>
      </c>
      <c r="E9" s="37">
        <v>21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45">
      <c r="A10" s="33" t="s">
        <v>166</v>
      </c>
      <c r="B10" s="34" t="s">
        <v>164</v>
      </c>
      <c r="C10" s="35">
        <v>0.22</v>
      </c>
      <c r="D10" s="36">
        <f t="shared" si="0"/>
        <v>1.5972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4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4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45">
      <c r="A19" s="100"/>
      <c r="B19" s="39" t="s">
        <v>175</v>
      </c>
      <c r="C19" s="40">
        <f>SUM(C9:C18)</f>
        <v>1</v>
      </c>
      <c r="D19" s="41">
        <f>SUM(D9:D18)</f>
        <v>7.26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6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4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4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4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28.5" x14ac:dyDescent="0.4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45">
      <c r="A36" s="53">
        <v>6</v>
      </c>
      <c r="B36" s="63">
        <v>35.935605797209938</v>
      </c>
      <c r="C36" s="63"/>
      <c r="D36" s="63"/>
      <c r="E36" s="54"/>
      <c r="F36" s="54"/>
      <c r="G36" s="54"/>
      <c r="H36" s="54"/>
      <c r="I36" s="52">
        <f>IFERROR(B36/A36,"")</f>
        <v>5.989267632868323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45">
      <c r="A37" s="53">
        <v>7</v>
      </c>
      <c r="B37" s="63">
        <v>51.329697170983444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15.394091373773506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45">
      <c r="A38" s="53">
        <v>8</v>
      </c>
      <c r="B38" s="63">
        <v>68.866740156031611</v>
      </c>
      <c r="C38" s="63"/>
      <c r="D38" s="63"/>
      <c r="E38" s="54"/>
      <c r="F38" s="54"/>
      <c r="G38" s="54"/>
      <c r="H38" s="54"/>
      <c r="I38" s="56">
        <f t="shared" si="1"/>
        <v>17.537042985048167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45">
      <c r="A39" s="53">
        <v>9</v>
      </c>
      <c r="B39" s="63">
        <v>88.074584182308115</v>
      </c>
      <c r="C39" s="63"/>
      <c r="D39" s="63"/>
      <c r="E39" s="54"/>
      <c r="F39" s="54"/>
      <c r="G39" s="54"/>
      <c r="H39" s="54"/>
      <c r="I39" s="52">
        <f t="shared" si="1"/>
        <v>19.207844026276504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45">
      <c r="A40" s="53">
        <v>10</v>
      </c>
      <c r="B40" s="63">
        <v>108.46570863192925</v>
      </c>
      <c r="C40" s="63"/>
      <c r="D40" s="63"/>
      <c r="E40" s="54"/>
      <c r="F40" s="54"/>
      <c r="G40" s="54"/>
      <c r="H40" s="54"/>
      <c r="I40" s="52">
        <f t="shared" si="1"/>
        <v>20.391124449621131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45">
      <c r="A41" s="53">
        <v>11</v>
      </c>
      <c r="B41" s="63">
        <v>129.57011555688183</v>
      </c>
      <c r="C41" s="63"/>
      <c r="D41" s="63"/>
      <c r="E41" s="54"/>
      <c r="F41" s="54"/>
      <c r="G41" s="54"/>
      <c r="H41" s="54"/>
      <c r="I41" s="56">
        <f t="shared" si="1"/>
        <v>21.104406924952585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45">
      <c r="A42" s="53">
        <v>12</v>
      </c>
      <c r="B42" s="63">
        <v>150.96001738193266</v>
      </c>
      <c r="C42" s="63"/>
      <c r="D42" s="63"/>
      <c r="E42" s="54"/>
      <c r="F42" s="54"/>
      <c r="G42" s="54"/>
      <c r="H42" s="54"/>
      <c r="I42" s="56">
        <f t="shared" si="1"/>
        <v>21.389901825050828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45">
      <c r="A43" s="53">
        <v>13</v>
      </c>
      <c r="B43" s="63">
        <v>172.2674773307306</v>
      </c>
      <c r="C43" s="63"/>
      <c r="D43" s="63"/>
      <c r="E43" s="54"/>
      <c r="F43" s="54"/>
      <c r="G43" s="54"/>
      <c r="H43" s="54"/>
      <c r="I43" s="52">
        <f t="shared" si="1"/>
        <v>21.307459948797941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45">
      <c r="A44" s="53">
        <v>14</v>
      </c>
      <c r="B44" s="63">
        <v>193.19609796880673</v>
      </c>
      <c r="C44" s="63"/>
      <c r="D44" s="63"/>
      <c r="E44" s="54"/>
      <c r="F44" s="54"/>
      <c r="G44" s="54"/>
      <c r="H44" s="54"/>
      <c r="I44" s="52">
        <f t="shared" si="1"/>
        <v>20.928620638076126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45">
      <c r="A45" s="53">
        <v>15</v>
      </c>
      <c r="B45" s="63">
        <v>213.52779091288861</v>
      </c>
      <c r="C45" s="63"/>
      <c r="D45" s="63"/>
      <c r="E45" s="54"/>
      <c r="F45" s="54"/>
      <c r="G45" s="54"/>
      <c r="H45" s="54"/>
      <c r="I45" s="52">
        <f t="shared" si="1"/>
        <v>20.33169294408188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45">
      <c r="A46" s="53">
        <v>16</v>
      </c>
      <c r="B46" s="63">
        <v>233.1255984116606</v>
      </c>
      <c r="C46" s="63"/>
      <c r="D46" s="63"/>
      <c r="E46" s="54"/>
      <c r="F46" s="54"/>
      <c r="G46" s="54"/>
      <c r="H46" s="54"/>
      <c r="I46" s="52">
        <f t="shared" si="1"/>
        <v>19.597807498771999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45">
      <c r="A47" s="53">
        <v>17</v>
      </c>
      <c r="B47" s="63">
        <v>251.9334751588101</v>
      </c>
      <c r="C47" s="63"/>
      <c r="D47" s="63"/>
      <c r="E47" s="54"/>
      <c r="F47" s="54"/>
      <c r="G47" s="54"/>
      <c r="H47" s="54"/>
      <c r="I47" s="52">
        <f t="shared" si="1"/>
        <v>18.807876747149493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45">
      <c r="A48" s="53">
        <v>18</v>
      </c>
      <c r="B48" s="63">
        <v>269.97387635491953</v>
      </c>
      <c r="C48" s="63"/>
      <c r="D48" s="63"/>
      <c r="E48" s="54"/>
      <c r="F48" s="54"/>
      <c r="G48" s="54"/>
      <c r="H48" s="54"/>
      <c r="I48" s="52">
        <f t="shared" si="1"/>
        <v>18.040401196109428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45">
      <c r="A49" s="53">
        <v>19</v>
      </c>
      <c r="B49" s="63">
        <v>287.3439356904687</v>
      </c>
      <c r="C49" s="63"/>
      <c r="D49" s="63"/>
      <c r="E49" s="54"/>
      <c r="F49" s="54"/>
      <c r="G49" s="54"/>
      <c r="H49" s="54"/>
      <c r="I49" s="52">
        <f t="shared" si="1"/>
        <v>17.370059335549172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45">
      <c r="A50" s="53">
        <v>20</v>
      </c>
      <c r="B50" s="53">
        <v>304.2109545779324</v>
      </c>
      <c r="C50" s="53"/>
      <c r="D50" s="53"/>
      <c r="E50" s="54"/>
      <c r="F50" s="54"/>
      <c r="G50" s="54"/>
      <c r="H50" s="54"/>
      <c r="I50" s="52">
        <f t="shared" si="1"/>
        <v>16.867018887463701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45">
      <c r="A51" s="53">
        <v>21</v>
      </c>
      <c r="B51" s="53">
        <v>320.80786161666225</v>
      </c>
      <c r="C51" s="53" t="s">
        <v>324</v>
      </c>
      <c r="D51" s="53">
        <v>320.80786161666225</v>
      </c>
      <c r="E51" s="54">
        <v>0.77</v>
      </c>
      <c r="F51" s="54">
        <v>0.21</v>
      </c>
      <c r="G51" s="54"/>
      <c r="H51" s="54"/>
      <c r="I51" s="52">
        <f t="shared" si="1"/>
        <v>16.596907038729853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4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4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4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4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4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4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4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4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4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28.5" x14ac:dyDescent="0.4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45">
      <c r="A62" s="63">
        <v>20</v>
      </c>
      <c r="B62" s="63">
        <v>158</v>
      </c>
      <c r="C62" s="63">
        <v>1</v>
      </c>
      <c r="D62" s="63">
        <v>31.6</v>
      </c>
      <c r="E62" s="292">
        <v>0</v>
      </c>
      <c r="F62" s="292">
        <v>0.56000000000000005</v>
      </c>
      <c r="G62" s="292">
        <v>0.44</v>
      </c>
      <c r="H62" s="292">
        <v>0</v>
      </c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45">
      <c r="A63" s="63">
        <v>30</v>
      </c>
      <c r="B63" s="63">
        <v>218</v>
      </c>
      <c r="C63" s="63">
        <v>2</v>
      </c>
      <c r="D63" s="63">
        <v>36.4</v>
      </c>
      <c r="E63" s="292">
        <v>0.7</v>
      </c>
      <c r="F63" s="292">
        <v>0.16800000000000001</v>
      </c>
      <c r="G63" s="292">
        <v>0.13200000000000001</v>
      </c>
      <c r="H63" s="292">
        <v>0</v>
      </c>
      <c r="I63" s="52">
        <f>IF(A63&lt;&gt;0,(B63-(B62-D62))/(A63-A62),"")</f>
        <v>9.16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45">
      <c r="A64" s="63">
        <v>40</v>
      </c>
      <c r="B64" s="63">
        <v>310</v>
      </c>
      <c r="C64" s="63">
        <v>3</v>
      </c>
      <c r="D64" s="63">
        <v>52.26666666666668</v>
      </c>
      <c r="E64" s="292">
        <v>0.7</v>
      </c>
      <c r="F64" s="292">
        <v>0.16800000000000001</v>
      </c>
      <c r="G64" s="292">
        <v>0.13200000000000001</v>
      </c>
      <c r="H64" s="292">
        <v>0</v>
      </c>
      <c r="I64" s="52">
        <f>IF(A64&lt;&gt;0,(B64-(B63-D63))/(A64-A63),"")</f>
        <v>12.84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45">
      <c r="A65" s="63">
        <v>50</v>
      </c>
      <c r="B65" s="63">
        <v>496</v>
      </c>
      <c r="C65" s="63">
        <v>4</v>
      </c>
      <c r="D65" s="63">
        <v>68.788888888888891</v>
      </c>
      <c r="E65" s="292">
        <v>0.7</v>
      </c>
      <c r="F65" s="292">
        <v>0.16800000000000001</v>
      </c>
      <c r="G65" s="292">
        <v>0.13200000000000001</v>
      </c>
      <c r="H65" s="292">
        <v>0</v>
      </c>
      <c r="I65" s="52">
        <f>IF(A65&lt;&gt;0,(B65-(B64-D64))/(A65-A64),"")</f>
        <v>23.826666666666664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45">
      <c r="A66" s="63">
        <v>60</v>
      </c>
      <c r="B66" s="63">
        <v>620</v>
      </c>
      <c r="C66" s="63">
        <v>5</v>
      </c>
      <c r="D66" s="63">
        <v>88.535185185185185</v>
      </c>
      <c r="E66" s="292">
        <v>0.7</v>
      </c>
      <c r="F66" s="292">
        <v>0.16800000000000001</v>
      </c>
      <c r="G66" s="292">
        <v>0.13200000000000001</v>
      </c>
      <c r="H66" s="292">
        <v>0</v>
      </c>
      <c r="I66" s="52">
        <f t="shared" ref="I66:I81" si="2">IF(A66&lt;&gt;0,(B66-(B65-D65))/(A66-A65),"")</f>
        <v>19.27888888888889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45">
      <c r="A67" s="63">
        <v>70</v>
      </c>
      <c r="B67" s="63">
        <v>680</v>
      </c>
      <c r="C67" s="63">
        <v>6</v>
      </c>
      <c r="D67" s="63">
        <v>111.0774691358025</v>
      </c>
      <c r="E67" s="292">
        <v>0.7</v>
      </c>
      <c r="F67" s="292">
        <v>0.16800000000000001</v>
      </c>
      <c r="G67" s="292">
        <v>0.13200000000000001</v>
      </c>
      <c r="H67" s="292">
        <v>0</v>
      </c>
      <c r="I67" s="52">
        <f t="shared" si="2"/>
        <v>14.853518518518513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45">
      <c r="A68" s="63">
        <v>80</v>
      </c>
      <c r="B68" s="63">
        <v>700</v>
      </c>
      <c r="C68" s="63">
        <v>7</v>
      </c>
      <c r="D68" s="63">
        <v>135.65375514403294</v>
      </c>
      <c r="E68" s="292">
        <v>0.7</v>
      </c>
      <c r="F68" s="292">
        <v>0.16800000000000001</v>
      </c>
      <c r="G68" s="292">
        <v>0.13200000000000001</v>
      </c>
      <c r="H68" s="292">
        <v>0</v>
      </c>
      <c r="I68" s="52">
        <f t="shared" si="2"/>
        <v>13.107746913580252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45">
      <c r="A69" s="53">
        <v>90</v>
      </c>
      <c r="B69" s="53">
        <v>680</v>
      </c>
      <c r="C69" s="63">
        <v>8</v>
      </c>
      <c r="D69" s="53">
        <v>160.72437414266119</v>
      </c>
      <c r="E69" s="292">
        <v>0.7</v>
      </c>
      <c r="F69" s="292">
        <v>0.16800000000000001</v>
      </c>
      <c r="G69" s="292">
        <v>0.13200000000000001</v>
      </c>
      <c r="H69" s="292">
        <v>0</v>
      </c>
      <c r="I69" s="52">
        <f t="shared" si="2"/>
        <v>11.565375514403296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45">
      <c r="A70" s="53">
        <v>100</v>
      </c>
      <c r="B70" s="53">
        <v>599.95366083676254</v>
      </c>
      <c r="C70" s="63" t="s">
        <v>324</v>
      </c>
      <c r="D70" s="53">
        <v>599.95366083676254</v>
      </c>
      <c r="E70" s="292">
        <v>0.7</v>
      </c>
      <c r="F70" s="292">
        <v>0.16800000000000001</v>
      </c>
      <c r="G70" s="292">
        <v>0.13200000000000001</v>
      </c>
      <c r="H70" s="292">
        <v>0</v>
      </c>
      <c r="I70" s="52">
        <f t="shared" si="2"/>
        <v>8.0678034979423732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4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4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4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4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4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4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4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4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4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4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4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4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4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4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4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4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28.5" x14ac:dyDescent="0.4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4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4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4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4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4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4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4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4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4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4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4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4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4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4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4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4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4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4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4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4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4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4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4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4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4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28.5" x14ac:dyDescent="0.4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4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4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4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4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4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4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4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4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4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4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4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4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4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4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4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4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4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4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4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4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4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4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4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4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4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28.5" x14ac:dyDescent="0.4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4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4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4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4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4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4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4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4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4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4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4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4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4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4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4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4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4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4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4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4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4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4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4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4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4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28.5" x14ac:dyDescent="0.4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4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4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4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4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4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4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4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4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4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4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4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4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4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4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4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4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4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4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4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4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4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4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4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4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4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28.5" x14ac:dyDescent="0.4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4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4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4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4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4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4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4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4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4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4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4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4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4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4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4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4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4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4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4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4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4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4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4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4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4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28.5" x14ac:dyDescent="0.4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4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4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4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4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4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4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4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4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4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4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4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4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4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4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4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4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4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4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4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4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4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4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4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4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4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28.5" x14ac:dyDescent="0.4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4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4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4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4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4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4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4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4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4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4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4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4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4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4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4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4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4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4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4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4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4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4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4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4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4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28.5" x14ac:dyDescent="0.4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4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4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4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4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4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4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4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4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4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4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4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4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4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4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4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4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4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4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4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4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4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4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4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4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4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4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4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4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4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4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4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4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4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4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4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4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4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4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4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4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4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4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4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4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4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4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4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4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4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4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4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4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4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4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4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4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4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4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4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4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4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4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4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4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4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4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4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4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4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4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4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4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4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4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4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4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4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4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4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4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4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4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4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4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4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4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4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4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4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4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4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4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4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4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4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4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4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4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4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4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4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4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4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4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4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4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4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4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4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4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4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4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4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4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4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4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4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4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4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4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4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4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4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4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4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4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4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4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4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4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4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4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4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4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4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4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4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4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4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4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4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4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4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4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4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4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4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4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4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4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4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4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4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4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4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4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4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4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3" zoomScale="115" zoomScaleNormal="115" workbookViewId="0">
      <selection activeCell="B17" sqref="B17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5.9" thickBot="1" x14ac:dyDescent="0.8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4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4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4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4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4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4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4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4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4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4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4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4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45">
      <c r="A16" s="25"/>
      <c r="B16" s="64">
        <v>0.75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45">
      <c r="A17" s="25"/>
      <c r="B17" s="64">
        <v>0.25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4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4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4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4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4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4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4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4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4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4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4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4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4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4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4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4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4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4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4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4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4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4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4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4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4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4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4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4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4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4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4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4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4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4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4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4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4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4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4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45">
      <c r="C104" s="5"/>
      <c r="F104" s="5"/>
    </row>
    <row r="105" spans="3:35" x14ac:dyDescent="0.45">
      <c r="C105" s="5"/>
      <c r="F105" s="5"/>
    </row>
    <row r="106" spans="3:35" x14ac:dyDescent="0.45">
      <c r="C106" s="5"/>
      <c r="F106" s="5"/>
    </row>
    <row r="107" spans="3:35" x14ac:dyDescent="0.45">
      <c r="C107" s="5"/>
      <c r="F107" s="5"/>
    </row>
    <row r="108" spans="3:35" x14ac:dyDescent="0.45">
      <c r="C108" s="5"/>
      <c r="F108" s="5"/>
    </row>
    <row r="109" spans="3:35" x14ac:dyDescent="0.45">
      <c r="C109" s="5"/>
      <c r="F109" s="5"/>
    </row>
    <row r="110" spans="3:35" x14ac:dyDescent="0.45">
      <c r="C110" s="5"/>
      <c r="F110" s="5"/>
    </row>
    <row r="111" spans="3:35" x14ac:dyDescent="0.45">
      <c r="C111" s="5"/>
      <c r="F111" s="5"/>
    </row>
    <row r="112" spans="3:35" x14ac:dyDescent="0.45">
      <c r="C112" s="5"/>
      <c r="F112" s="5"/>
    </row>
    <row r="113" spans="3:6" x14ac:dyDescent="0.45">
      <c r="C113" s="5"/>
      <c r="F113" s="5"/>
    </row>
    <row r="114" spans="3:6" x14ac:dyDescent="0.45">
      <c r="C114" s="5"/>
      <c r="F114" s="5"/>
    </row>
    <row r="115" spans="3:6" x14ac:dyDescent="0.45">
      <c r="C115" s="5"/>
      <c r="F115" s="5"/>
    </row>
    <row r="116" spans="3:6" x14ac:dyDescent="0.45">
      <c r="C116" s="5"/>
      <c r="F116" s="5"/>
    </row>
    <row r="117" spans="3:6" x14ac:dyDescent="0.45">
      <c r="C117" s="5"/>
      <c r="F117" s="5"/>
    </row>
    <row r="118" spans="3:6" x14ac:dyDescent="0.45">
      <c r="C118" s="5"/>
      <c r="F118" s="5"/>
    </row>
    <row r="119" spans="3:6" x14ac:dyDescent="0.45">
      <c r="C119" s="5"/>
      <c r="F119" s="5"/>
    </row>
    <row r="120" spans="3:6" x14ac:dyDescent="0.45">
      <c r="C120" s="5"/>
      <c r="F120" s="5"/>
    </row>
    <row r="121" spans="3:6" x14ac:dyDescent="0.45">
      <c r="C121" s="5"/>
      <c r="F121" s="5"/>
    </row>
    <row r="122" spans="3:6" x14ac:dyDescent="0.45">
      <c r="C122" s="5"/>
      <c r="F122" s="5"/>
    </row>
    <row r="123" spans="3:6" x14ac:dyDescent="0.45">
      <c r="C123" s="5"/>
      <c r="F123" s="5"/>
    </row>
    <row r="124" spans="3:6" x14ac:dyDescent="0.45">
      <c r="C124" s="5"/>
      <c r="F124" s="5"/>
    </row>
    <row r="125" spans="3:6" x14ac:dyDescent="0.45">
      <c r="C125" s="5"/>
      <c r="F125" s="5"/>
    </row>
    <row r="126" spans="3:6" x14ac:dyDescent="0.45">
      <c r="C126" s="5"/>
      <c r="F126" s="5"/>
    </row>
    <row r="127" spans="3:6" x14ac:dyDescent="0.45">
      <c r="C127" s="5"/>
      <c r="F127" s="5"/>
    </row>
    <row r="128" spans="3:6" x14ac:dyDescent="0.45">
      <c r="C128" s="5"/>
      <c r="F128" s="5"/>
    </row>
    <row r="129" spans="3:6" x14ac:dyDescent="0.45">
      <c r="C129" s="5"/>
      <c r="F129" s="5"/>
    </row>
    <row r="130" spans="3:6" x14ac:dyDescent="0.45">
      <c r="C130" s="5"/>
      <c r="F130" s="5"/>
    </row>
    <row r="131" spans="3:6" x14ac:dyDescent="0.45">
      <c r="C131" s="5"/>
      <c r="F131" s="5"/>
    </row>
    <row r="132" spans="3:6" x14ac:dyDescent="0.45">
      <c r="F132" s="5"/>
    </row>
    <row r="133" spans="3:6" x14ac:dyDescent="0.45">
      <c r="F133" s="5"/>
    </row>
    <row r="134" spans="3:6" x14ac:dyDescent="0.45">
      <c r="F134" s="5"/>
    </row>
    <row r="135" spans="3:6" x14ac:dyDescent="0.45">
      <c r="F135" s="5"/>
    </row>
    <row r="136" spans="3:6" x14ac:dyDescent="0.45">
      <c r="F136" s="5"/>
    </row>
    <row r="137" spans="3:6" x14ac:dyDescent="0.45">
      <c r="F137" s="5"/>
    </row>
    <row r="138" spans="3:6" x14ac:dyDescent="0.45">
      <c r="F138" s="5"/>
    </row>
    <row r="139" spans="3:6" x14ac:dyDescent="0.45">
      <c r="F139" s="5"/>
    </row>
    <row r="140" spans="3:6" x14ac:dyDescent="0.45">
      <c r="F140" s="5"/>
    </row>
    <row r="141" spans="3:6" x14ac:dyDescent="0.45">
      <c r="F141" s="5"/>
    </row>
    <row r="142" spans="3:6" x14ac:dyDescent="0.45">
      <c r="F142" s="5"/>
    </row>
    <row r="143" spans="3:6" x14ac:dyDescent="0.45">
      <c r="F143" s="5"/>
    </row>
    <row r="144" spans="3:6" x14ac:dyDescent="0.45">
      <c r="F144" s="5"/>
    </row>
    <row r="145" spans="6:6" x14ac:dyDescent="0.45">
      <c r="F145" s="5"/>
    </row>
    <row r="146" spans="6:6" x14ac:dyDescent="0.45">
      <c r="F146" s="5"/>
    </row>
    <row r="147" spans="6:6" x14ac:dyDescent="0.45">
      <c r="F147" s="5"/>
    </row>
    <row r="148" spans="6:6" x14ac:dyDescent="0.45">
      <c r="F148" s="5"/>
    </row>
    <row r="149" spans="6:6" x14ac:dyDescent="0.45">
      <c r="F149" s="5"/>
    </row>
    <row r="150" spans="6:6" x14ac:dyDescent="0.45">
      <c r="F150" s="5"/>
    </row>
    <row r="151" spans="6:6" x14ac:dyDescent="0.45">
      <c r="F151" s="5"/>
    </row>
    <row r="152" spans="6:6" x14ac:dyDescent="0.45">
      <c r="F152" s="5"/>
    </row>
    <row r="153" spans="6:6" x14ac:dyDescent="0.45">
      <c r="F153" s="5"/>
    </row>
    <row r="154" spans="6:6" x14ac:dyDescent="0.45">
      <c r="F154" s="5"/>
    </row>
    <row r="155" spans="6:6" x14ac:dyDescent="0.45">
      <c r="F155" s="5"/>
    </row>
    <row r="156" spans="6:6" x14ac:dyDescent="0.45">
      <c r="F156" s="5"/>
    </row>
    <row r="157" spans="6:6" x14ac:dyDescent="0.45">
      <c r="F157" s="5"/>
    </row>
    <row r="158" spans="6:6" x14ac:dyDescent="0.45">
      <c r="F158" s="5"/>
    </row>
    <row r="159" spans="6:6" x14ac:dyDescent="0.45">
      <c r="F159" s="5"/>
    </row>
    <row r="160" spans="6:6" x14ac:dyDescent="0.45">
      <c r="F160" s="5"/>
    </row>
    <row r="161" spans="6:6" x14ac:dyDescent="0.45">
      <c r="F161" s="5"/>
    </row>
    <row r="162" spans="6:6" x14ac:dyDescent="0.45">
      <c r="F162" s="5"/>
    </row>
    <row r="163" spans="6:6" x14ac:dyDescent="0.4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71" bestFit="1" customWidth="1"/>
    <col min="2" max="4" width="11.3984375" style="71"/>
    <col min="5" max="5" width="9.59765625" style="71" customWidth="1"/>
    <col min="6" max="7" width="11.3984375" style="71"/>
    <col min="8" max="8" width="10.73046875" style="71" customWidth="1"/>
    <col min="9" max="9" width="9.3984375" style="71" customWidth="1"/>
    <col min="10" max="11" width="10.59765625" style="71" bestFit="1" customWidth="1"/>
    <col min="12" max="12" width="14" style="71" bestFit="1" customWidth="1"/>
    <col min="13" max="13" width="14" style="71" customWidth="1"/>
    <col min="14" max="23" width="11.3984375" style="71"/>
    <col min="24" max="24" width="11.73046875" style="71" bestFit="1" customWidth="1"/>
    <col min="25" max="25" width="14.59765625" style="71" bestFit="1" customWidth="1"/>
    <col min="26" max="26" width="12.3984375" style="71" bestFit="1" customWidth="1"/>
    <col min="27" max="27" width="9.73046875" style="71" bestFit="1" customWidth="1"/>
    <col min="28" max="28" width="11" style="71" bestFit="1" customWidth="1"/>
    <col min="29" max="29" width="9.3984375" style="71" bestFit="1" customWidth="1"/>
    <col min="30" max="31" width="9.3984375" style="71" customWidth="1"/>
    <col min="32" max="32" width="11.3984375" style="71"/>
    <col min="33" max="34" width="14" style="71" bestFit="1" customWidth="1"/>
    <col min="35" max="35" width="10.59765625" style="71" bestFit="1" customWidth="1"/>
    <col min="36" max="36" width="9.3984375" style="71" bestFit="1" customWidth="1"/>
    <col min="37" max="38" width="10.59765625" style="71" bestFit="1" customWidth="1"/>
    <col min="39" max="41" width="10.59765625" style="71" customWidth="1"/>
    <col min="42" max="42" width="9" style="71" bestFit="1" customWidth="1"/>
    <col min="43" max="43" width="10.59765625" style="71" bestFit="1" customWidth="1"/>
    <col min="44" max="44" width="9.265625" style="71" bestFit="1" customWidth="1"/>
    <col min="45" max="45" width="11.73046875" style="71" bestFit="1" customWidth="1"/>
    <col min="46" max="46" width="8.3984375" style="71" bestFit="1" customWidth="1"/>
    <col min="47" max="47" width="9.3984375" style="71" bestFit="1" customWidth="1"/>
    <col min="48" max="48" width="9.73046875" style="71" bestFit="1" customWidth="1"/>
    <col min="49" max="49" width="11" style="71" bestFit="1" customWidth="1"/>
    <col min="50" max="50" width="9.3984375" style="71" bestFit="1" customWidth="1"/>
    <col min="51" max="52" width="9.3984375" style="71" customWidth="1"/>
    <col min="53" max="53" width="10.59765625" style="71" bestFit="1" customWidth="1"/>
    <col min="54" max="54" width="14.265625" style="71" customWidth="1"/>
    <col min="55" max="55" width="14" style="71" customWidth="1"/>
    <col min="56" max="56" width="10.59765625" style="71" bestFit="1" customWidth="1"/>
    <col min="57" max="57" width="9.3984375" style="71" bestFit="1" customWidth="1"/>
    <col min="58" max="59" width="10.59765625" style="71" bestFit="1" customWidth="1"/>
    <col min="60" max="62" width="10.59765625" style="71" customWidth="1"/>
    <col min="63" max="63" width="9" style="71" bestFit="1" customWidth="1"/>
    <col min="64" max="64" width="10.59765625" style="71" bestFit="1" customWidth="1"/>
    <col min="65" max="65" width="9.265625" style="71" bestFit="1" customWidth="1"/>
    <col min="66" max="66" width="11.73046875" style="71" bestFit="1" customWidth="1"/>
    <col min="67" max="67" width="8.3984375" style="71" bestFit="1" customWidth="1"/>
    <col min="68" max="68" width="9.3984375" style="71" bestFit="1" customWidth="1"/>
    <col min="69" max="69" width="9.73046875" style="71" bestFit="1" customWidth="1"/>
    <col min="70" max="70" width="11" style="71" bestFit="1" customWidth="1"/>
    <col min="71" max="71" width="9.3984375" style="71" bestFit="1" customWidth="1"/>
    <col min="72" max="73" width="9.3984375" style="71" customWidth="1"/>
    <col min="74" max="74" width="10.59765625" style="71" bestFit="1" customWidth="1"/>
    <col min="75" max="75" width="14" style="71" bestFit="1" customWidth="1"/>
    <col min="76" max="76" width="13.86328125" style="71" customWidth="1"/>
    <col min="77" max="77" width="10.59765625" style="71" bestFit="1" customWidth="1"/>
    <col min="78" max="78" width="9.3984375" style="71" bestFit="1" customWidth="1"/>
    <col min="79" max="80" width="10.59765625" style="71" bestFit="1" customWidth="1"/>
    <col min="81" max="83" width="10.59765625" style="71" customWidth="1"/>
    <col min="84" max="84" width="11.3984375" style="71"/>
    <col min="85" max="85" width="10.59765625" style="71" bestFit="1" customWidth="1"/>
    <col min="86" max="86" width="9.265625" style="71" bestFit="1" customWidth="1"/>
    <col min="87" max="87" width="11.73046875" style="71" bestFit="1" customWidth="1"/>
    <col min="88" max="88" width="8.3984375" style="71" bestFit="1" customWidth="1"/>
    <col min="89" max="89" width="9.3984375" style="71" bestFit="1" customWidth="1"/>
    <col min="90" max="90" width="9.73046875" style="71" bestFit="1" customWidth="1"/>
    <col min="91" max="91" width="11" style="71" bestFit="1" customWidth="1"/>
    <col min="92" max="92" width="9.3984375" style="71" bestFit="1" customWidth="1"/>
    <col min="93" max="94" width="9.3984375" style="71" customWidth="1"/>
    <col min="95" max="95" width="11.3984375" style="71"/>
    <col min="96" max="97" width="14" style="71" customWidth="1"/>
    <col min="98" max="98" width="10.59765625" style="71" bestFit="1" customWidth="1"/>
    <col min="99" max="99" width="9.3984375" style="71" bestFit="1" customWidth="1"/>
    <col min="100" max="101" width="10.59765625" style="71" bestFit="1" customWidth="1"/>
    <col min="102" max="104" width="10.59765625" style="71" customWidth="1"/>
    <col min="105" max="105" width="9" style="71" bestFit="1" customWidth="1"/>
    <col min="106" max="106" width="10.59765625" style="71" bestFit="1" customWidth="1"/>
    <col min="107" max="107" width="9.265625" style="71" bestFit="1" customWidth="1"/>
    <col min="108" max="108" width="11.73046875" style="71" bestFit="1" customWidth="1"/>
    <col min="109" max="109" width="8.3984375" style="71" bestFit="1" customWidth="1"/>
    <col min="110" max="110" width="9.3984375" style="71" bestFit="1" customWidth="1"/>
    <col min="111" max="111" width="9.73046875" style="71" bestFit="1" customWidth="1"/>
    <col min="112" max="112" width="11" style="71" bestFit="1" customWidth="1"/>
    <col min="113" max="113" width="9.3984375" style="71" bestFit="1" customWidth="1"/>
    <col min="114" max="115" width="9.3984375" style="71" customWidth="1"/>
    <col min="116" max="116" width="10.59765625" style="71" bestFit="1" customWidth="1"/>
    <col min="117" max="117" width="14.265625" style="71" customWidth="1"/>
    <col min="118" max="118" width="14" style="71" bestFit="1" customWidth="1"/>
    <col min="119" max="119" width="10.59765625" style="71" bestFit="1" customWidth="1"/>
    <col min="120" max="120" width="9.3984375" style="71" bestFit="1" customWidth="1"/>
    <col min="121" max="122" width="10.59765625" style="71" bestFit="1" customWidth="1"/>
    <col min="123" max="125" width="10.59765625" style="71" customWidth="1"/>
    <col min="126" max="126" width="9" style="71" bestFit="1" customWidth="1"/>
    <col min="127" max="127" width="10.59765625" style="71" bestFit="1" customWidth="1"/>
    <col min="128" max="128" width="9.265625" style="71" bestFit="1" customWidth="1"/>
    <col min="129" max="129" width="11.73046875" style="71" bestFit="1" customWidth="1"/>
    <col min="130" max="130" width="8.3984375" style="71" bestFit="1" customWidth="1"/>
    <col min="131" max="131" width="9.3984375" style="71" bestFit="1" customWidth="1"/>
    <col min="132" max="132" width="9.73046875" style="71" bestFit="1" customWidth="1"/>
    <col min="133" max="133" width="11" style="71" bestFit="1" customWidth="1"/>
    <col min="134" max="134" width="9.3984375" style="71" bestFit="1" customWidth="1"/>
    <col min="135" max="136" width="9.3984375" style="71" customWidth="1"/>
    <col min="137" max="137" width="10.59765625" style="71" bestFit="1" customWidth="1"/>
    <col min="138" max="139" width="14" style="71" customWidth="1"/>
    <col min="140" max="140" width="10.59765625" style="71" bestFit="1" customWidth="1"/>
    <col min="141" max="141" width="9.3984375" style="71" bestFit="1" customWidth="1"/>
    <col min="142" max="143" width="10.59765625" style="71" bestFit="1" customWidth="1"/>
    <col min="144" max="146" width="10.59765625" style="71" customWidth="1"/>
    <col min="147" max="147" width="9" style="71" bestFit="1" customWidth="1"/>
    <col min="148" max="148" width="10.59765625" style="71" bestFit="1" customWidth="1"/>
    <col min="149" max="149" width="9.265625" style="71" bestFit="1" customWidth="1"/>
    <col min="150" max="150" width="11.73046875" style="71" bestFit="1" customWidth="1"/>
    <col min="151" max="151" width="8.3984375" style="71" bestFit="1" customWidth="1"/>
    <col min="152" max="152" width="9.3984375" style="71" bestFit="1" customWidth="1"/>
    <col min="153" max="153" width="9.73046875" style="71" bestFit="1" customWidth="1"/>
    <col min="154" max="154" width="11" style="71" bestFit="1" customWidth="1"/>
    <col min="155" max="155" width="9.3984375" style="71" bestFit="1" customWidth="1"/>
    <col min="156" max="157" width="9.3984375" style="71" customWidth="1"/>
    <col min="158" max="158" width="11.3984375" style="71"/>
    <col min="159" max="160" width="14" style="71" bestFit="1" customWidth="1"/>
    <col min="161" max="161" width="10.59765625" style="71" bestFit="1" customWidth="1"/>
    <col min="162" max="162" width="9.3984375" style="71" bestFit="1" customWidth="1"/>
    <col min="163" max="164" width="10.59765625" style="71" bestFit="1" customWidth="1"/>
    <col min="165" max="167" width="10.59765625" style="71" customWidth="1"/>
    <col min="168" max="168" width="9" style="71" bestFit="1" customWidth="1"/>
    <col min="169" max="169" width="10.59765625" style="71" bestFit="1" customWidth="1"/>
    <col min="170" max="170" width="9.265625" style="71" bestFit="1" customWidth="1"/>
    <col min="171" max="171" width="11.73046875" style="71" bestFit="1" customWidth="1"/>
    <col min="172" max="172" width="8.1328125" style="71" bestFit="1" customWidth="1"/>
    <col min="173" max="173" width="9.3984375" style="71" bestFit="1" customWidth="1"/>
    <col min="174" max="174" width="9.73046875" style="71" bestFit="1" customWidth="1"/>
    <col min="175" max="175" width="11" style="71" bestFit="1" customWidth="1"/>
    <col min="176" max="176" width="9.3984375" style="71" bestFit="1" customWidth="1"/>
    <col min="177" max="178" width="9.3984375" style="71" customWidth="1"/>
    <col min="179" max="179" width="10.59765625" style="71" bestFit="1" customWidth="1"/>
    <col min="180" max="181" width="14" style="71" bestFit="1" customWidth="1"/>
    <col min="182" max="182" width="10.59765625" style="71" bestFit="1" customWidth="1"/>
    <col min="183" max="183" width="9.3984375" style="71" bestFit="1" customWidth="1"/>
    <col min="184" max="185" width="10.59765625" style="71" bestFit="1" customWidth="1"/>
    <col min="186" max="188" width="10.59765625" style="71" customWidth="1"/>
    <col min="189" max="189" width="9" style="71" bestFit="1" customWidth="1"/>
    <col min="190" max="190" width="10.59765625" style="71" bestFit="1" customWidth="1"/>
    <col min="191" max="191" width="9.265625" style="71" bestFit="1" customWidth="1"/>
    <col min="192" max="192" width="11.3984375" style="71"/>
    <col min="193" max="193" width="8.3984375" style="71" bestFit="1" customWidth="1"/>
    <col min="194" max="194" width="9.3984375" style="71" bestFit="1" customWidth="1"/>
    <col min="195" max="195" width="9.73046875" style="71" bestFit="1" customWidth="1"/>
    <col min="196" max="196" width="11" style="71" bestFit="1" customWidth="1"/>
    <col min="197" max="197" width="9.3984375" style="71" bestFit="1" customWidth="1"/>
    <col min="198" max="199" width="9.3984375" style="71" customWidth="1"/>
    <col min="200" max="200" width="10.59765625" style="71" bestFit="1" customWidth="1"/>
    <col min="201" max="201" width="14" style="71" customWidth="1"/>
    <col min="202" max="202" width="14.265625" style="71" customWidth="1"/>
    <col min="203" max="203" width="10.59765625" style="71" bestFit="1" customWidth="1"/>
    <col min="204" max="204" width="9.3984375" style="71" bestFit="1" customWidth="1"/>
    <col min="205" max="206" width="10.59765625" style="71" bestFit="1" customWidth="1"/>
    <col min="207" max="209" width="10.59765625" style="71" customWidth="1"/>
    <col min="210" max="210" width="9" style="71" bestFit="1" customWidth="1"/>
    <col min="211" max="211" width="10.59765625" style="71" bestFit="1" customWidth="1"/>
    <col min="212" max="212" width="9.265625" style="71" bestFit="1" customWidth="1"/>
    <col min="213" max="213" width="11.73046875" style="71" bestFit="1" customWidth="1"/>
    <col min="214" max="214" width="8.3984375" style="71" bestFit="1" customWidth="1"/>
    <col min="215" max="215" width="9.3984375" style="71" bestFit="1" customWidth="1"/>
    <col min="216" max="216" width="9.73046875" style="71" bestFit="1" customWidth="1"/>
    <col min="217" max="217" width="11" style="71" bestFit="1" customWidth="1"/>
    <col min="218" max="218" width="9.3984375" style="71" bestFit="1" customWidth="1"/>
    <col min="219" max="16384" width="11.3984375" style="71"/>
  </cols>
  <sheetData>
    <row r="1" spans="1:218" s="5" customFormat="1" ht="25.9" thickBot="1" x14ac:dyDescent="0.8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Cèdre de l'Atlas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7.4" thickBot="1" x14ac:dyDescent="0.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45">
      <c r="A3" s="11">
        <v>0</v>
      </c>
      <c r="B3" s="77">
        <f>'Scénario référence'!$B$16*5+'Scénario référence'!$B$17*0+'Scénario référence'!$B$18*5</f>
        <v>3.75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13.75</v>
      </c>
      <c r="H3" s="70">
        <f>(B3+E3+F3)*44/12+(C3+D3)*0.475*44/12</f>
        <v>201.66666666666666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187.91666666666666</v>
      </c>
      <c r="S3" s="62">
        <f ca="1">AVERAGE(OFFSET($R$3,0,0,'Données projet'!$E$9+1,1))-AVERAGE(OFFSET($H$3,0,0,'Données projet'!$E$9+1,1))</f>
        <v>159.64393915572111</v>
      </c>
      <c r="T3" s="62">
        <f>IF('Données projet'!E9&gt;30,$R$33-$H$33,LOOKUP('Données projet'!$E$9,$A$3:$A$203,R3:R203)-LOOKUP('Données projet'!$E$9,$A$3:$A$203,$H$3:$H$203))</f>
        <v>389.58290705889829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187.91666666666666</v>
      </c>
      <c r="AN3" s="62">
        <f ca="1">AVERAGE(OFFSET($AM$3,0,0,'Données projet'!$E$10+1,1))-AVERAGE(OFFSET($H$3,0,0,'Données projet'!$E$10+1,1))</f>
        <v>442.01983807226742</v>
      </c>
      <c r="AO3" s="62">
        <f>IF('Données projet'!E10&gt;30,$AM$33-$H$33,LOOKUP('Données projet'!$E$10,$A$3:$A$203,AM3:AM203)-LOOKUP('Données projet'!$E$10,$A$3:$A$203,$H$3:$H$203))</f>
        <v>276.48668026732219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51.25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45">
      <c r="A4" s="11">
        <f>A3+1</f>
        <v>1</v>
      </c>
      <c r="B4" s="77">
        <f>'Scénario référence'!$B$16*5+'Scénario référence'!$B$17*0+'Scénario référence'!$B$18*5</f>
        <v>3.75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13.75</v>
      </c>
      <c r="H4" s="70">
        <f t="shared" ref="H4:H67" si="1">(B4+E4+F4)*44/12+(C4+D4)*0.475*44/12</f>
        <v>201.66666666666666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5.989267632868323</v>
      </c>
      <c r="N4" s="14">
        <f>IF('Données projet'!$A$36&gt;35,N3+M4-V3,IF(A4&lt;'Données projet'!$A$36,$K$205^A4,IF(A4='Données projet'!$A$36,'Données projet'!$B$36,N3+M4-V3)))</f>
        <v>1.8165784662726498</v>
      </c>
      <c r="O4" s="14">
        <f>N4*VLOOKUP('Données projet'!$B$9,Paramètres!$A$1:$I$89,3,0)*VLOOKUP('Données projet'!$B$9,Paramètres!$A$1:$I$89,5,0)</f>
        <v>0.92383914480761886</v>
      </c>
      <c r="P4" s="14">
        <f>EXP(-1.0587+0.8836*LN(O4)+0.284)</f>
        <v>0.42968778581128769</v>
      </c>
      <c r="Q4" s="22">
        <f t="shared" ref="Q4:Q34" si="2">(O4+P4)*0.475*44/12</f>
        <v>2.3573927374945955</v>
      </c>
      <c r="R4" s="62">
        <f t="shared" si="0"/>
        <v>192.68894042440968</v>
      </c>
      <c r="S4" s="62">
        <f ca="1">AVERAGE(OFFSET($R$3,0,0,'Données projet'!$E$9+1,1))-AVERAGE(OFFSET($H$3,0,0,'Données projet'!$E$9+1,1))</f>
        <v>159.64393915572111</v>
      </c>
      <c r="T4" s="62">
        <f>$T$3</f>
        <v>389.58290705889829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191.89463326432193</v>
      </c>
      <c r="AN4" s="62">
        <f ca="1">AVERAGE(OFFSET($AM$3,0,0,'Données projet'!$E$10+1,1))-AVERAGE(OFFSET($H$3,0,0,'Données projet'!$E$10+1,1))</f>
        <v>442.01983807226742</v>
      </c>
      <c r="AO4" s="62">
        <f>$AO$3</f>
        <v>276.48668026732219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51.575270581279874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45">
      <c r="A5" s="11">
        <f t="shared" ref="A5:A68" si="31">A4+1</f>
        <v>2</v>
      </c>
      <c r="B5" s="77">
        <f>'Scénario référence'!$B$16*5+'Scénario référence'!$B$17*0+'Scénario référence'!$B$18*5</f>
        <v>3.75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13.75</v>
      </c>
      <c r="H5" s="70">
        <f t="shared" si="1"/>
        <v>201.66666666666666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5.989267632868323</v>
      </c>
      <c r="N5" s="14">
        <f>IF('Données projet'!$A$36&gt;35,N4+M5-V4,IF(A5&lt;'Données projet'!$A$36,$K$205^A5,IF(A5='Données projet'!$A$36,'Données projet'!$B$36,N4+M5-V4)))</f>
        <v>3.2999573241254927</v>
      </c>
      <c r="O5" s="14">
        <f>N5*VLOOKUP('Données projet'!$B$9,Paramètres!$A$1:$I$89,3,0)*VLOOKUP('Données projet'!$B$9,Paramètres!$A$1:$I$89,5,0)</f>
        <v>1.6782262967572605</v>
      </c>
      <c r="P5" s="14">
        <f t="shared" ref="P5:P68" si="33">EXP(-1.0587+0.8836*LN(O5)+0.284)</f>
        <v>0.72816531145657848</v>
      </c>
      <c r="Q5" s="22">
        <f t="shared" si="2"/>
        <v>4.1911320509724357</v>
      </c>
      <c r="R5" s="62">
        <f t="shared" si="0"/>
        <v>196.91687079437585</v>
      </c>
      <c r="S5" s="62">
        <f ca="1">AVERAGE(OFFSET($R$3,0,0,'Données projet'!$E$9+1,1))-AVERAGE(OFFSET($H$3,0,0,'Données projet'!$E$9+1,1))</f>
        <v>159.64393915572111</v>
      </c>
      <c r="T5" s="62">
        <f t="shared" ref="T5:T68" si="34">$T$3</f>
        <v>389.58290705889829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194.71987931881384</v>
      </c>
      <c r="AN5" s="62">
        <f ca="1">AVERAGE(OFFSET($AM$3,0,0,'Données projet'!$E$10+1,1))-AVERAGE(OFFSET($H$3,0,0,'Données projet'!$E$10+1,1))</f>
        <v>442.01983807226742</v>
      </c>
      <c r="AO5" s="62">
        <f t="shared" ref="AO5:AO68" si="36">$AO$3</f>
        <v>276.48668026732219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51.894898445170625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45">
      <c r="A6" s="11">
        <f t="shared" si="31"/>
        <v>3</v>
      </c>
      <c r="B6" s="77">
        <f>'Scénario référence'!$B$16*5+'Scénario référence'!$B$17*0+'Scénario référence'!$B$18*5</f>
        <v>3.75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13.75</v>
      </c>
      <c r="H6" s="70">
        <f t="shared" si="1"/>
        <v>201.66666666666666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5.989267632868323</v>
      </c>
      <c r="N6" s="14">
        <f>IF('Données projet'!$A$36&gt;35,N5+M6-V5,IF(A6&lt;'Données projet'!$A$36,$K$205^A6,IF(A6='Données projet'!$A$36,'Données projet'!$B$36,N5+M6-V5)))</f>
        <v>5.9946314146250854</v>
      </c>
      <c r="O6" s="14">
        <f>N6*VLOOKUP('Données projet'!$B$9,Paramètres!$A$1:$I$89,3,0)*VLOOKUP('Données projet'!$B$9,Paramètres!$A$1:$I$89,5,0)</f>
        <v>3.0486297522217338</v>
      </c>
      <c r="P6" s="14">
        <f t="shared" si="33"/>
        <v>1.2339767112708264</v>
      </c>
      <c r="Q6" s="22">
        <f t="shared" si="2"/>
        <v>7.4588729239162079</v>
      </c>
      <c r="R6" s="62">
        <f t="shared" si="0"/>
        <v>202.5584716846632</v>
      </c>
      <c r="S6" s="62">
        <f ca="1">AVERAGE(OFFSET($R$3,0,0,'Données projet'!$E$9+1,1))-AVERAGE(OFFSET($H$3,0,0,'Données projet'!$E$9+1,1))</f>
        <v>159.64393915572111</v>
      </c>
      <c r="T6" s="62">
        <f t="shared" si="34"/>
        <v>389.58290705889829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197.64414926765721</v>
      </c>
      <c r="AN6" s="62">
        <f ca="1">AVERAGE(OFFSET($AM$3,0,0,'Données projet'!$E$10+1,1))-AVERAGE(OFFSET($H$3,0,0,'Données projet'!$E$10+1,1))</f>
        <v>442.01983807226742</v>
      </c>
      <c r="AO6" s="62">
        <f t="shared" si="36"/>
        <v>276.48668026732219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52.208981480203725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45">
      <c r="A7" s="11">
        <f t="shared" si="31"/>
        <v>4</v>
      </c>
      <c r="B7" s="77">
        <f>'Scénario référence'!$B$16*5+'Scénario référence'!$B$17*0+'Scénario référence'!$B$18*5</f>
        <v>3.75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13.75</v>
      </c>
      <c r="H7" s="70">
        <f t="shared" si="1"/>
        <v>201.66666666666666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5.989267632868323</v>
      </c>
      <c r="N7" s="14">
        <f>IF('Données projet'!$A$36&gt;35,N6+M7-V6,IF(A7&lt;'Données projet'!$A$36,$K$205^A7,IF(A7='Données projet'!$A$36,'Données projet'!$B$36,N6+M7-V6)))</f>
        <v>10.889718341049482</v>
      </c>
      <c r="O7" s="14">
        <f>N7*VLOOKUP('Données projet'!$B$9,Paramètres!$A$1:$I$89,3,0)*VLOOKUP('Données projet'!$B$9,Paramètres!$A$1:$I$89,5,0)</f>
        <v>5.5380751595241247</v>
      </c>
      <c r="P7" s="14">
        <f t="shared" si="33"/>
        <v>2.0911440026068377</v>
      </c>
      <c r="Q7" s="22">
        <f t="shared" si="2"/>
        <v>13.287556707378092</v>
      </c>
      <c r="R7" s="62">
        <f t="shared" si="0"/>
        <v>210.74103714439971</v>
      </c>
      <c r="S7" s="62">
        <f ca="1">AVERAGE(OFFSET($R$3,0,0,'Données projet'!$E$9+1,1))-AVERAGE(OFFSET($H$3,0,0,'Données projet'!$E$9+1,1))</f>
        <v>159.64393915572111</v>
      </c>
      <c r="T7" s="62">
        <f t="shared" si="34"/>
        <v>389.58290705889829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200.70097024826717</v>
      </c>
      <c r="AN7" s="62">
        <f ca="1">AVERAGE(OFFSET($AM$3,0,0,'Données projet'!$E$10+1,1))-AVERAGE(OFFSET($H$3,0,0,'Données projet'!$E$10+1,1))</f>
        <v>442.01983807226742</v>
      </c>
      <c r="AO7" s="62">
        <f t="shared" si="36"/>
        <v>276.48668026732219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52.517615876763472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45">
      <c r="A8" s="11">
        <f t="shared" si="31"/>
        <v>5</v>
      </c>
      <c r="B8" s="77">
        <f>'Scénario référence'!$B$16*5+'Scénario référence'!$B$17*0+'Scénario référence'!$B$18*5</f>
        <v>3.75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13.75</v>
      </c>
      <c r="H8" s="70">
        <f t="shared" si="1"/>
        <v>201.66666666666666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5.989267632868323</v>
      </c>
      <c r="N8" s="14">
        <f>IF('Données projet'!$A$36&gt;35,N7+M8-V7,IF(A8&lt;'Données projet'!$A$36,$K$205^A8,IF(A8='Données projet'!$A$36,'Données projet'!$B$36,N7+M8-V7)))</f>
        <v>19.782027842124812</v>
      </c>
      <c r="O8" s="14">
        <f>N8*VLOOKUP('Données projet'!$B$9,Paramètres!$A$1:$I$89,3,0)*VLOOKUP('Données projet'!$B$9,Paramètres!$A$1:$I$89,5,0)</f>
        <v>10.060348079390995</v>
      </c>
      <c r="P8" s="14">
        <f t="shared" si="33"/>
        <v>3.5437323895157458</v>
      </c>
      <c r="Q8" s="22">
        <f t="shared" si="2"/>
        <v>23.693773483345904</v>
      </c>
      <c r="R8" s="62">
        <f t="shared" si="0"/>
        <v>223.48150383512584</v>
      </c>
      <c r="S8" s="62">
        <f ca="1">AVERAGE(OFFSET($R$3,0,0,'Données projet'!$E$9+1,1))-AVERAGE(OFFSET($H$3,0,0,'Données projet'!$E$9+1,1))</f>
        <v>159.64393915572111</v>
      </c>
      <c r="T8" s="62">
        <f t="shared" si="34"/>
        <v>389.58290705889829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203.93311695395127</v>
      </c>
      <c r="AN8" s="62">
        <f ca="1">AVERAGE(OFFSET($AM$3,0,0,'Données projet'!$E$10+1,1))-AVERAGE(OFFSET($H$3,0,0,'Données projet'!$E$10+1,1))</f>
        <v>442.01983807226742</v>
      </c>
      <c r="AO8" s="62">
        <f t="shared" si="36"/>
        <v>276.48668026732219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52.820896156546048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45">
      <c r="A9" s="11">
        <f t="shared" si="31"/>
        <v>6</v>
      </c>
      <c r="B9" s="77">
        <f>'Scénario référence'!$B$16*5+'Scénario référence'!$B$17*0+'Scénario référence'!$B$18*5</f>
        <v>3.75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13.75</v>
      </c>
      <c r="H9" s="70">
        <f t="shared" si="1"/>
        <v>201.66666666666666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35.935605797209938</v>
      </c>
      <c r="L9" s="13">
        <f>VLOOKUP(A9,'Données projet'!$A$35:$I$55,9,0)</f>
        <v>5.989267632868323</v>
      </c>
      <c r="M9" s="13">
        <f t="array" ref="M9">INDEX(L:L,MIN(IF(ISNUMBER(L9:L205),ROW(L9:L205),"")))</f>
        <v>5.989267632868323</v>
      </c>
      <c r="N9" s="14">
        <f>IF('Données projet'!$A$36&gt;35,N8+M9-V8,IF(A9&lt;'Données projet'!$A$36,$K$205^A9,IF(A9='Données projet'!$A$36,'Données projet'!$B$36,N8+M9-V8)))</f>
        <v>35.935605797209938</v>
      </c>
      <c r="O9" s="14">
        <f>N9*VLOOKUP('Données projet'!$B$9,Paramètres!$A$1:$I$89,3,0)*VLOOKUP('Données projet'!$B$9,Paramètres!$A$1:$I$89,5,0)</f>
        <v>18.275411684229088</v>
      </c>
      <c r="P9" s="14">
        <f t="shared" si="33"/>
        <v>6.0053440761841443</v>
      </c>
      <c r="Q9" s="22">
        <f t="shared" si="2"/>
        <v>42.28898294938638</v>
      </c>
      <c r="R9" s="62">
        <f t="shared" si="0"/>
        <v>244.39167202158063</v>
      </c>
      <c r="S9" s="62">
        <f ca="1">AVERAGE(OFFSET($R$3,0,0,'Données projet'!$E$9+1,1))-AVERAGE(OFFSET($H$3,0,0,'Données projet'!$E$9+1,1))</f>
        <v>159.64393915572111</v>
      </c>
      <c r="T9" s="62">
        <f t="shared" si="34"/>
        <v>389.58290705889829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207.395201508414</v>
      </c>
      <c r="AN9" s="62">
        <f ca="1">AVERAGE(OFFSET($AM$3,0,0,'Données projet'!$E$10+1,1))-AVERAGE(OFFSET($H$3,0,0,'Données projet'!$E$10+1,1))</f>
        <v>442.01983807226742</v>
      </c>
      <c r="AO9" s="62">
        <f t="shared" si="36"/>
        <v>276.48668026732219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53.118915201507519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45">
      <c r="A10" s="11">
        <f t="shared" si="31"/>
        <v>7</v>
      </c>
      <c r="B10" s="77">
        <f>'Scénario référence'!$B$16*5+'Scénario référence'!$B$17*0+'Scénario référence'!$B$18*5</f>
        <v>3.75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13.75</v>
      </c>
      <c r="H10" s="70">
        <f t="shared" si="1"/>
        <v>201.66666666666666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51.329697170983444</v>
      </c>
      <c r="L10" s="13">
        <f>VLOOKUP(A10,'Données projet'!$A$35:$I$55,9,0)</f>
        <v>15.394091373773506</v>
      </c>
      <c r="M10" s="13">
        <f t="array" ref="M10">INDEX(L:L,MIN(IF(ISNUMBER(L10:L206),ROW(L10:L206),"")))</f>
        <v>15.394091373773506</v>
      </c>
      <c r="N10" s="14">
        <f>IF('Données projet'!$A$36&gt;35,N9+M10-V9,IF(A10&lt;'Données projet'!$A$36,$K$205^A10,IF(A10='Données projet'!$A$36,'Données projet'!$B$36,N9+M10-V9)))</f>
        <v>51.329697170983444</v>
      </c>
      <c r="O10" s="14">
        <f>N10*VLOOKUP('Données projet'!$B$9,Paramètres!$A$1:$I$89,3,0)*VLOOKUP('Données projet'!$B$9,Paramètres!$A$1:$I$89,5,0)</f>
        <v>26.104230793275345</v>
      </c>
      <c r="P10" s="14">
        <f t="shared" si="33"/>
        <v>8.2292037731637819</v>
      </c>
      <c r="Q10" s="22">
        <f t="shared" si="2"/>
        <v>59.797398536548144</v>
      </c>
      <c r="R10" s="62">
        <f t="shared" si="0"/>
        <v>264.19608979390591</v>
      </c>
      <c r="S10" s="62">
        <f ca="1">AVERAGE(OFFSET($R$3,0,0,'Données projet'!$E$9+1,1))-AVERAGE(OFFSET($H$3,0,0,'Données projet'!$E$9+1,1))</f>
        <v>159.64393915572111</v>
      </c>
      <c r="T10" s="62">
        <f t="shared" si="34"/>
        <v>389.58290705889829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211.15699033373264</v>
      </c>
      <c r="AN10" s="62">
        <f ca="1">AVERAGE(OFFSET($AM$3,0,0,'Données projet'!$E$10+1,1))-AVERAGE(OFFSET($H$3,0,0,'Données projet'!$E$10+1,1))</f>
        <v>442.01983807226742</v>
      </c>
      <c r="AO10" s="62">
        <f t="shared" si="36"/>
        <v>276.48668026732219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53.411764282309683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45">
      <c r="A11" s="11">
        <f t="shared" si="31"/>
        <v>8</v>
      </c>
      <c r="B11" s="77">
        <f>'Scénario référence'!$B$16*5+'Scénario référence'!$B$17*0+'Scénario référence'!$B$18*5</f>
        <v>3.75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13.75</v>
      </c>
      <c r="H11" s="70">
        <f t="shared" si="1"/>
        <v>201.66666666666666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68.866740156031611</v>
      </c>
      <c r="L11" s="13">
        <f>VLOOKUP(A11,'Données projet'!$A$35:$I$55,9,0)</f>
        <v>17.537042985048167</v>
      </c>
      <c r="M11" s="13">
        <f t="array" ref="M11">INDEX(L:L,MIN(IF(ISNUMBER(L11:L207),ROW(L11:L207),"")))</f>
        <v>17.537042985048167</v>
      </c>
      <c r="N11" s="14">
        <f>IF('Données projet'!$A$36&gt;35,N10+M11-V10,IF(A11&lt;'Données projet'!$A$36,$K$205^A11,IF(A11='Données projet'!$A$36,'Données projet'!$B$36,N10+M11-V10)))</f>
        <v>68.866740156031611</v>
      </c>
      <c r="O11" s="14">
        <f>N11*VLOOKUP('Données projet'!$B$9,Paramètres!$A$1:$I$89,3,0)*VLOOKUP('Données projet'!$B$9,Paramètres!$A$1:$I$89,5,0)</f>
        <v>35.02286937375144</v>
      </c>
      <c r="P11" s="14">
        <f t="shared" si="33"/>
        <v>10.669430738159672</v>
      </c>
      <c r="Q11" s="22">
        <f t="shared" si="2"/>
        <v>79.580756028245176</v>
      </c>
      <c r="R11" s="62">
        <f t="shared" si="0"/>
        <v>286.25682178902173</v>
      </c>
      <c r="S11" s="62">
        <f ca="1">AVERAGE(OFFSET($R$3,0,0,'Données projet'!$E$9+1,1))-AVERAGE(OFFSET($H$3,0,0,'Données projet'!$E$9+1,1))</f>
        <v>159.64393915572111</v>
      </c>
      <c r="T11" s="62">
        <f t="shared" si="34"/>
        <v>389.58290705889829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215.30765266361036</v>
      </c>
      <c r="AN11" s="62">
        <f ca="1">AVERAGE(OFFSET($AM$3,0,0,'Données projet'!$E$10+1,1))-AVERAGE(OFFSET($H$3,0,0,'Données projet'!$E$10+1,1))</f>
        <v>442.01983807226742</v>
      </c>
      <c r="AO11" s="62">
        <f t="shared" si="36"/>
        <v>276.48668026732219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53.699533086272396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45">
      <c r="A12" s="11">
        <f t="shared" si="31"/>
        <v>9</v>
      </c>
      <c r="B12" s="77">
        <f>'Scénario référence'!$B$16*5+'Scénario référence'!$B$17*0+'Scénario référence'!$B$18*5</f>
        <v>3.75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13.75</v>
      </c>
      <c r="H12" s="70">
        <f t="shared" si="1"/>
        <v>201.66666666666666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88.074584182308115</v>
      </c>
      <c r="L12" s="13">
        <f>VLOOKUP(A12,'Données projet'!$A$35:$I$55,9,0)</f>
        <v>19.207844026276504</v>
      </c>
      <c r="M12" s="13">
        <f t="array" ref="M12">INDEX(L:L,MIN(IF(ISNUMBER(L12:L208),ROW(L12:L208),"")))</f>
        <v>19.207844026276504</v>
      </c>
      <c r="N12" s="14">
        <f>IF('Données projet'!$A$36&gt;35,N11+M12-V11,IF(A12&lt;'Données projet'!$A$36,$K$205^A12,IF(A12='Données projet'!$A$36,'Données projet'!$B$36,N11+M12-V11)))</f>
        <v>88.074584182308115</v>
      </c>
      <c r="O12" s="14">
        <f>N12*VLOOKUP('Données projet'!$B$9,Paramètres!$A$1:$I$89,3,0)*VLOOKUP('Données projet'!$B$9,Paramètres!$A$1:$I$89,5,0)</f>
        <v>44.791210531754622</v>
      </c>
      <c r="P12" s="14">
        <f t="shared" si="33"/>
        <v>13.260076293764682</v>
      </c>
      <c r="Q12" s="22">
        <f t="shared" si="2"/>
        <v>101.10599122111279</v>
      </c>
      <c r="R12" s="62">
        <f t="shared" si="0"/>
        <v>310.04112695219646</v>
      </c>
      <c r="S12" s="62">
        <f ca="1">AVERAGE(OFFSET($R$3,0,0,'Données projet'!$E$9+1,1))-AVERAGE(OFFSET($H$3,0,0,'Données projet'!$E$9+1,1))</f>
        <v>159.64393915572111</v>
      </c>
      <c r="T12" s="62">
        <f t="shared" si="34"/>
        <v>389.58290705889829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219.96120311075344</v>
      </c>
      <c r="AN12" s="62">
        <f ca="1">AVERAGE(OFFSET($AM$3,0,0,'Données projet'!$E$10+1,1))-AVERAGE(OFFSET($H$3,0,0,'Données projet'!$E$10+1,1))</f>
        <v>442.01983807226742</v>
      </c>
      <c r="AO12" s="62">
        <f t="shared" si="36"/>
        <v>276.48668026732219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53.982309744841011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45">
      <c r="A13" s="11">
        <f t="shared" si="31"/>
        <v>10</v>
      </c>
      <c r="B13" s="77">
        <f>'Scénario référence'!$B$16*5+'Scénario référence'!$B$17*0+'Scénario référence'!$B$18*5</f>
        <v>3.75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13.75</v>
      </c>
      <c r="H13" s="70">
        <f t="shared" si="1"/>
        <v>201.66666666666666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108.46570863192925</v>
      </c>
      <c r="L13" s="13">
        <f>VLOOKUP(A13,'Données projet'!$A$35:$I$55,9,0)</f>
        <v>20.391124449621131</v>
      </c>
      <c r="M13" s="13">
        <f t="array" ref="M13">INDEX(L:L,MIN(IF(ISNUMBER(L13:L209),ROW(L13:L209),"")))</f>
        <v>20.391124449621131</v>
      </c>
      <c r="N13" s="14">
        <f>IF('Données projet'!$A$36&gt;35,N12+M13-V12,IF(A13&lt;'Données projet'!$A$36,$K$205^A13,IF(A13='Données projet'!$A$36,'Données projet'!$B$36,N12+M13-V12)))</f>
        <v>108.46570863192925</v>
      </c>
      <c r="O13" s="14">
        <f>N13*VLOOKUP('Données projet'!$B$9,Paramètres!$A$1:$I$89,3,0)*VLOOKUP('Données projet'!$B$9,Paramètres!$A$1:$I$89,5,0)</f>
        <v>55.161320781853945</v>
      </c>
      <c r="P13" s="14">
        <f t="shared" si="33"/>
        <v>15.938977120959203</v>
      </c>
      <c r="Q13" s="22">
        <f t="shared" si="2"/>
        <v>123.83301884739957</v>
      </c>
      <c r="R13" s="62">
        <f t="shared" si="0"/>
        <v>335.00923755840546</v>
      </c>
      <c r="S13" s="62">
        <f ca="1">AVERAGE(OFFSET($R$3,0,0,'Données projet'!$E$9+1,1))-AVERAGE(OFFSET($H$3,0,0,'Données projet'!$E$9+1,1))</f>
        <v>159.64393915572111</v>
      </c>
      <c r="T13" s="62">
        <f t="shared" si="34"/>
        <v>389.58290705889829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225.26347479217131</v>
      </c>
      <c r="AN13" s="62">
        <f ca="1">AVERAGE(OFFSET($AM$3,0,0,'Données projet'!$E$10+1,1))-AVERAGE(OFFSET($H$3,0,0,'Données projet'!$E$10+1,1))</f>
        <v>442.01983807226742</v>
      </c>
      <c r="AO13" s="62">
        <f t="shared" si="36"/>
        <v>276.48668026732219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54.260180860577364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45">
      <c r="A14" s="11">
        <f t="shared" si="31"/>
        <v>11</v>
      </c>
      <c r="B14" s="77">
        <f>'Scénario référence'!$B$16*5+'Scénario référence'!$B$17*0+'Scénario référence'!$B$18*5</f>
        <v>3.75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13.75</v>
      </c>
      <c r="H14" s="70">
        <f t="shared" si="1"/>
        <v>201.66666666666666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129.57011555688183</v>
      </c>
      <c r="L14" s="13">
        <f>VLOOKUP(A14,'Données projet'!$A$35:$I$55,9,0)</f>
        <v>21.104406924952585</v>
      </c>
      <c r="M14" s="13">
        <f t="array" ref="M14">INDEX(L:L,MIN(IF(ISNUMBER(L14:L210),ROW(L14:L210),"")))</f>
        <v>21.104406924952585</v>
      </c>
      <c r="N14" s="14">
        <f>IF('Données projet'!$A$36&gt;35,N13+M14-V13,IF(A14&lt;'Données projet'!$A$36,$K$205^A14,IF(A14='Données projet'!$A$36,'Données projet'!$B$36,N13+M14-V13)))</f>
        <v>129.57011555688183</v>
      </c>
      <c r="O14" s="14">
        <f>N14*VLOOKUP('Données projet'!$B$9,Paramètres!$A$1:$I$89,3,0)*VLOOKUP('Données projet'!$B$9,Paramètres!$A$1:$I$89,5,0)</f>
        <v>65.894177967607831</v>
      </c>
      <c r="P14" s="14">
        <f t="shared" si="33"/>
        <v>18.650278156331915</v>
      </c>
      <c r="Q14" s="22">
        <f t="shared" si="2"/>
        <v>147.24826108252839</v>
      </c>
      <c r="R14" s="62">
        <f t="shared" si="0"/>
        <v>360.64788781714179</v>
      </c>
      <c r="S14" s="62">
        <f ca="1">AVERAGE(OFFSET($R$3,0,0,'Données projet'!$E$9+1,1))-AVERAGE(OFFSET($H$3,0,0,'Données projet'!$E$9+1,1))</f>
        <v>159.64393915572111</v>
      </c>
      <c r="T14" s="62">
        <f t="shared" si="34"/>
        <v>389.58290705889829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231.4010545802588</v>
      </c>
      <c r="AN14" s="62">
        <f ca="1">AVERAGE(OFFSET($AM$3,0,0,'Données projet'!$E$10+1,1))-AVERAGE(OFFSET($H$3,0,0,'Données projet'!$E$10+1,1))</f>
        <v>442.01983807226742</v>
      </c>
      <c r="AO14" s="62">
        <f t="shared" si="36"/>
        <v>276.48668026732219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54.533231533682439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45">
      <c r="A15" s="11">
        <f t="shared" si="31"/>
        <v>12</v>
      </c>
      <c r="B15" s="77">
        <f>'Scénario référence'!$B$16*5+'Scénario référence'!$B$17*0+'Scénario référence'!$B$18*5</f>
        <v>3.75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13.75</v>
      </c>
      <c r="H15" s="70">
        <f t="shared" si="1"/>
        <v>201.66666666666666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150.96001738193266</v>
      </c>
      <c r="L15" s="13">
        <f>VLOOKUP(A15,'Données projet'!$A$35:$I$55,9,0)</f>
        <v>21.389901825050828</v>
      </c>
      <c r="M15" s="13">
        <f t="array" ref="M15">INDEX(L:L,MIN(IF(ISNUMBER(L15:L211),ROW(L15:L211),"")))</f>
        <v>21.389901825050828</v>
      </c>
      <c r="N15" s="14">
        <f>IF('Données projet'!$A$36&gt;35,N14+M15-V14,IF(A15&lt;'Données projet'!$A$36,$K$205^A15,IF(A15='Données projet'!$A$36,'Données projet'!$B$36,N14+M15-V14)))</f>
        <v>150.96001738193266</v>
      </c>
      <c r="O15" s="14">
        <f>N15*VLOOKUP('Données projet'!$B$9,Paramètres!$A$1:$I$89,3,0)*VLOOKUP('Données projet'!$B$9,Paramètres!$A$1:$I$89,5,0)</f>
        <v>76.772226439755684</v>
      </c>
      <c r="P15" s="14">
        <f t="shared" si="33"/>
        <v>21.346095057338388</v>
      </c>
      <c r="Q15" s="22">
        <f t="shared" si="2"/>
        <v>170.8894099407722</v>
      </c>
      <c r="R15" s="62">
        <f t="shared" si="0"/>
        <v>386.49507636365519</v>
      </c>
      <c r="S15" s="62">
        <f ca="1">AVERAGE(OFFSET($R$3,0,0,'Données projet'!$E$9+1,1))-AVERAGE(OFFSET($H$3,0,0,'Données projet'!$E$9+1,1))</f>
        <v>159.64393915572111</v>
      </c>
      <c r="T15" s="62">
        <f t="shared" si="34"/>
        <v>389.58290705889829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238.61273402710347</v>
      </c>
      <c r="AN15" s="62">
        <f ca="1">AVERAGE(OFFSET($AM$3,0,0,'Données projet'!$E$10+1,1))-AVERAGE(OFFSET($H$3,0,0,'Données projet'!$E$10+1,1))</f>
        <v>442.01983807226742</v>
      </c>
      <c r="AO15" s="62">
        <f t="shared" si="36"/>
        <v>276.48668026732219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54.801545388058997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45">
      <c r="A16" s="11">
        <f t="shared" si="31"/>
        <v>13</v>
      </c>
      <c r="B16" s="77">
        <f>'Scénario référence'!$B$16*5+'Scénario référence'!$B$17*0+'Scénario référence'!$B$18*5</f>
        <v>3.75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13.75</v>
      </c>
      <c r="H16" s="70">
        <f t="shared" si="1"/>
        <v>201.66666666666666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172.2674773307306</v>
      </c>
      <c r="L16" s="13">
        <f>VLOOKUP(A16,'Données projet'!$A$35:$I$55,9,0)</f>
        <v>21.307459948797941</v>
      </c>
      <c r="M16" s="13">
        <f t="array" ref="M16">INDEX(L:L,MIN(IF(ISNUMBER(L16:L212),ROW(L16:L212),"")))</f>
        <v>21.307459948797941</v>
      </c>
      <c r="N16" s="14">
        <f>IF('Données projet'!$A$36&gt;35,N15+M16-V15,IF(A16&lt;'Données projet'!$A$36,$K$205^A16,IF(A16='Données projet'!$A$36,'Données projet'!$B$36,N15+M16-V15)))</f>
        <v>172.2674773307306</v>
      </c>
      <c r="O16" s="14">
        <f>N16*VLOOKUP('Données projet'!$B$9,Paramètres!$A$1:$I$89,3,0)*VLOOKUP('Données projet'!$B$9,Paramètres!$A$1:$I$89,5,0)</f>
        <v>87.608348271316359</v>
      </c>
      <c r="P16" s="14">
        <f t="shared" si="33"/>
        <v>23.987515146389804</v>
      </c>
      <c r="Q16" s="22">
        <f t="shared" si="2"/>
        <v>194.36279545250491</v>
      </c>
      <c r="R16" s="62">
        <f t="shared" si="0"/>
        <v>412.15743453010793</v>
      </c>
      <c r="S16" s="62">
        <f ca="1">AVERAGE(OFFSET($R$3,0,0,'Données projet'!$E$9+1,1))-AVERAGE(OFFSET($H$3,0,0,'Données projet'!$E$9+1,1))</f>
        <v>159.64393915572111</v>
      </c>
      <c r="T16" s="62">
        <f t="shared" si="34"/>
        <v>389.58290705889829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247.20418604036735</v>
      </c>
      <c r="AN16" s="62">
        <f ca="1">AVERAGE(OFFSET($AM$3,0,0,'Données projet'!$E$10+1,1))-AVERAGE(OFFSET($H$3,0,0,'Données projet'!$E$10+1,1))</f>
        <v>442.01983807226742</v>
      </c>
      <c r="AO16" s="62">
        <f t="shared" si="36"/>
        <v>276.48668026732219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55.06520459692203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45">
      <c r="A17" s="11">
        <f t="shared" si="31"/>
        <v>14</v>
      </c>
      <c r="B17" s="77">
        <f>'Scénario référence'!$B$16*5+'Scénario référence'!$B$17*0+'Scénario référence'!$B$18*5</f>
        <v>3.75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13.75</v>
      </c>
      <c r="H17" s="70">
        <f t="shared" si="1"/>
        <v>201.66666666666666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193.19609796880673</v>
      </c>
      <c r="L17" s="13">
        <f>VLOOKUP(A17,'Données projet'!$A$35:$I$55,9,0)</f>
        <v>20.928620638076126</v>
      </c>
      <c r="M17" s="13">
        <f t="array" ref="M17">INDEX(L:L,MIN(IF(ISNUMBER(L17:L213),ROW(L17:L213),"")))</f>
        <v>20.928620638076126</v>
      </c>
      <c r="N17" s="14">
        <f>IF('Données projet'!$A$36&gt;35,N16+M17-V16,IF(A17&lt;'Données projet'!$A$36,$K$205^A17,IF(A17='Données projet'!$A$36,'Données projet'!$B$36,N16+M17-V16)))</f>
        <v>193.19609796880673</v>
      </c>
      <c r="O17" s="14">
        <f>N17*VLOOKUP('Données projet'!$B$9,Paramètres!$A$1:$I$89,3,0)*VLOOKUP('Données projet'!$B$9,Paramètres!$A$1:$I$89,5,0)</f>
        <v>98.251807583016358</v>
      </c>
      <c r="P17" s="14">
        <f t="shared" si="33"/>
        <v>26.545088279938927</v>
      </c>
      <c r="Q17" s="22">
        <f t="shared" si="2"/>
        <v>217.35459362798045</v>
      </c>
      <c r="R17" s="62">
        <f t="shared" si="0"/>
        <v>437.3214344016298</v>
      </c>
      <c r="S17" s="62">
        <f ca="1">AVERAGE(OFFSET($R$3,0,0,'Données projet'!$E$9+1,1))-AVERAGE(OFFSET($H$3,0,0,'Données projet'!$E$9+1,1))</f>
        <v>159.64393915572111</v>
      </c>
      <c r="T17" s="62">
        <f t="shared" si="34"/>
        <v>389.58290705889829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257.56677827721984</v>
      </c>
      <c r="AN17" s="62">
        <f ca="1">AVERAGE(OFFSET($AM$3,0,0,'Données projet'!$E$10+1,1))-AVERAGE(OFFSET($H$3,0,0,'Données projet'!$E$10+1,1))</f>
        <v>442.01983807226742</v>
      </c>
      <c r="AO17" s="62">
        <f t="shared" si="36"/>
        <v>276.48668026732219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55.324289907964975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45">
      <c r="A18" s="11">
        <f t="shared" si="31"/>
        <v>15</v>
      </c>
      <c r="B18" s="77">
        <f>'Scénario référence'!$B$16*5+'Scénario référence'!$B$17*0+'Scénario référence'!$B$18*5</f>
        <v>3.75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13.75</v>
      </c>
      <c r="H18" s="70">
        <f t="shared" si="1"/>
        <v>201.66666666666666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213.52779091288861</v>
      </c>
      <c r="L18" s="13">
        <f>VLOOKUP(A18,'Données projet'!$A$35:$I$55,9,0)</f>
        <v>20.33169294408188</v>
      </c>
      <c r="M18" s="13">
        <f t="array" ref="M18">INDEX(L:L,MIN(IF(ISNUMBER(L18:L214),ROW(L18:L214),"")))</f>
        <v>20.33169294408188</v>
      </c>
      <c r="N18" s="14">
        <f>IF('Données projet'!$A$36&gt;35,N17+M18-V17,IF(A18&lt;'Données projet'!$A$36,$K$205^A18,IF(A18='Données projet'!$A$36,'Données projet'!$B$36,N17+M18-V17)))</f>
        <v>213.52779091288861</v>
      </c>
      <c r="O18" s="14">
        <f>N18*VLOOKUP('Données projet'!$B$9,Paramètres!$A$1:$I$89,3,0)*VLOOKUP('Données projet'!$B$9,Paramètres!$A$1:$I$89,5,0)</f>
        <v>108.59169334665863</v>
      </c>
      <c r="P18" s="14">
        <f t="shared" si="33"/>
        <v>28.998928117130944</v>
      </c>
      <c r="Q18" s="22">
        <f t="shared" si="2"/>
        <v>239.63699904943348</v>
      </c>
      <c r="R18" s="62">
        <f t="shared" si="0"/>
        <v>461.75956149909427</v>
      </c>
      <c r="S18" s="62">
        <f ca="1">AVERAGE(OFFSET($R$3,0,0,'Données projet'!$E$9+1,1))-AVERAGE(OFFSET($H$3,0,0,'Données projet'!$E$9+1,1))</f>
        <v>159.64393915572111</v>
      </c>
      <c r="T18" s="62">
        <f t="shared" si="34"/>
        <v>389.58290705889829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270.20169206189877</v>
      </c>
      <c r="AN18" s="62">
        <f ca="1">AVERAGE(OFFSET($AM$3,0,0,'Données projet'!$E$10+1,1))-AVERAGE(OFFSET($H$3,0,0,'Données projet'!$E$10+1,1))</f>
        <v>442.01983807226742</v>
      </c>
      <c r="AO18" s="62">
        <f t="shared" si="36"/>
        <v>276.48668026732219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55.578880668089305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45">
      <c r="A19" s="11">
        <f t="shared" si="31"/>
        <v>16</v>
      </c>
      <c r="B19" s="77">
        <f>'Scénario référence'!$B$16*5+'Scénario référence'!$B$17*0+'Scénario référence'!$B$18*5</f>
        <v>3.75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13.75</v>
      </c>
      <c r="H19" s="70">
        <f t="shared" si="1"/>
        <v>201.66666666666666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233.1255984116606</v>
      </c>
      <c r="L19" s="13">
        <f>VLOOKUP(A19,'Données projet'!$A$35:$I$55,9,0)</f>
        <v>19.597807498771999</v>
      </c>
      <c r="M19" s="13">
        <f t="array" ref="M19">INDEX(L:L,MIN(IF(ISNUMBER(L19:L215),ROW(L19:L215),"")))</f>
        <v>19.597807498771999</v>
      </c>
      <c r="N19" s="14">
        <f>IF('Données projet'!$A$36&gt;35,N18+M19-V18,IF(A19&lt;'Données projet'!$A$36,$K$205^A19,IF(A19='Données projet'!$A$36,'Données projet'!$B$36,N18+M19-V18)))</f>
        <v>233.1255984116606</v>
      </c>
      <c r="O19" s="14">
        <f>N19*VLOOKUP('Données projet'!$B$9,Paramètres!$A$1:$I$89,3,0)*VLOOKUP('Données projet'!$B$9,Paramètres!$A$1:$I$89,5,0)</f>
        <v>118.55835432823413</v>
      </c>
      <c r="P19" s="14">
        <f t="shared" si="33"/>
        <v>31.338522959395078</v>
      </c>
      <c r="Q19" s="22">
        <f t="shared" si="2"/>
        <v>261.07039460928752</v>
      </c>
      <c r="R19" s="62">
        <f t="shared" si="0"/>
        <v>485.33248460642858</v>
      </c>
      <c r="S19" s="62">
        <f ca="1">AVERAGE(OFFSET($R$3,0,0,'Données projet'!$E$9+1,1))-AVERAGE(OFFSET($H$3,0,0,'Données projet'!$E$9+1,1))</f>
        <v>159.64393915572111</v>
      </c>
      <c r="T19" s="62">
        <f t="shared" si="34"/>
        <v>389.58290705889829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285.75084659796318</v>
      </c>
      <c r="AN19" s="62">
        <f ca="1">AVERAGE(OFFSET($AM$3,0,0,'Données projet'!$E$10+1,1))-AVERAGE(OFFSET($H$3,0,0,'Données projet'!$E$10+1,1))</f>
        <v>442.01983807226742</v>
      </c>
      <c r="AO19" s="62">
        <f t="shared" si="36"/>
        <v>276.48668026732219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55.829054847705144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45">
      <c r="A20" s="11">
        <f t="shared" si="31"/>
        <v>17</v>
      </c>
      <c r="B20" s="77">
        <f>'Scénario référence'!$B$16*5+'Scénario référence'!$B$17*0+'Scénario référence'!$B$18*5</f>
        <v>3.75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13.75</v>
      </c>
      <c r="H20" s="70">
        <f t="shared" si="1"/>
        <v>201.66666666666666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251.9334751588101</v>
      </c>
      <c r="L20" s="13">
        <f>VLOOKUP(A20,'Données projet'!$A$35:$I$55,9,0)</f>
        <v>18.807876747149493</v>
      </c>
      <c r="M20" s="13">
        <f t="array" ref="M20">INDEX(L:L,MIN(IF(ISNUMBER(L20:L216),ROW(L20:L216),"")))</f>
        <v>18.807876747149493</v>
      </c>
      <c r="N20" s="14">
        <f>IF('Données projet'!$A$36&gt;35,N19+M20-V19,IF(A20&lt;'Données projet'!$A$36,$K$205^A20,IF(A20='Données projet'!$A$36,'Données projet'!$B$36,N19+M20-V19)))</f>
        <v>251.9334751588101</v>
      </c>
      <c r="O20" s="14">
        <f>N20*VLOOKUP('Données projet'!$B$9,Paramètres!$A$1:$I$89,3,0)*VLOOKUP('Données projet'!$B$9,Paramètres!$A$1:$I$89,5,0)</f>
        <v>128.12328812676449</v>
      </c>
      <c r="P20" s="14">
        <f t="shared" si="33"/>
        <v>33.562339996913003</v>
      </c>
      <c r="Q20" s="22">
        <f t="shared" si="2"/>
        <v>281.60246898207163</v>
      </c>
      <c r="R20" s="62">
        <f t="shared" si="0"/>
        <v>507.98817333008731</v>
      </c>
      <c r="S20" s="62">
        <f ca="1">AVERAGE(OFFSET($R$3,0,0,'Données projet'!$E$9+1,1))-AVERAGE(OFFSET($H$3,0,0,'Données projet'!$E$9+1,1))</f>
        <v>159.64393915572111</v>
      </c>
      <c r="T20" s="62">
        <f t="shared" si="34"/>
        <v>389.58290705889829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305.03655311545128</v>
      </c>
      <c r="AN20" s="62">
        <f ca="1">AVERAGE(OFFSET($AM$3,0,0,'Données projet'!$E$10+1,1))-AVERAGE(OFFSET($H$3,0,0,'Données projet'!$E$10+1,1))</f>
        <v>442.01983807226742</v>
      </c>
      <c r="AO20" s="62">
        <f t="shared" si="36"/>
        <v>276.48668026732219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56.074889064610332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45">
      <c r="A21" s="11">
        <f t="shared" si="31"/>
        <v>18</v>
      </c>
      <c r="B21" s="77">
        <f>'Scénario référence'!$B$16*5+'Scénario référence'!$B$17*0+'Scénario référence'!$B$18*5</f>
        <v>3.75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13.75</v>
      </c>
      <c r="H21" s="70">
        <f t="shared" si="1"/>
        <v>201.66666666666666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269.97387635491953</v>
      </c>
      <c r="L21" s="13">
        <f>VLOOKUP(A21,'Données projet'!$A$35:$I$55,9,0)</f>
        <v>18.040401196109428</v>
      </c>
      <c r="M21" s="13">
        <f t="array" ref="M21">INDEX(L:L,MIN(IF(ISNUMBER(L21:L217),ROW(L21:L217),"")))</f>
        <v>18.040401196109428</v>
      </c>
      <c r="N21" s="14">
        <f>IF('Données projet'!$A$36&gt;35,N20+M21-V20,IF(A21&lt;'Données projet'!$A$36,$K$205^A21,IF(A21='Données projet'!$A$36,'Données projet'!$B$36,N20+M21-V20)))</f>
        <v>269.97387635491953</v>
      </c>
      <c r="O21" s="14">
        <f>N21*VLOOKUP('Données projet'!$B$9,Paramètres!$A$1:$I$89,3,0)*VLOOKUP('Données projet'!$B$9,Paramètres!$A$1:$I$89,5,0)</f>
        <v>137.29791455905789</v>
      </c>
      <c r="P21" s="14">
        <f t="shared" si="33"/>
        <v>35.677295287682846</v>
      </c>
      <c r="Q21" s="22">
        <f t="shared" si="2"/>
        <v>301.26515714974011</v>
      </c>
      <c r="R21" s="62">
        <f t="shared" si="0"/>
        <v>529.75883871040912</v>
      </c>
      <c r="S21" s="62">
        <f ca="1">AVERAGE(OFFSET($R$3,0,0,'Données projet'!$E$9+1,1))-AVERAGE(OFFSET($H$3,0,0,'Données projet'!$E$9+1,1))</f>
        <v>159.64393915572111</v>
      </c>
      <c r="T21" s="62">
        <f t="shared" si="34"/>
        <v>389.58290705889829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329.11236905624958</v>
      </c>
      <c r="AN21" s="62">
        <f ca="1">AVERAGE(OFFSET($AM$3,0,0,'Données projet'!$E$10+1,1))-AVERAGE(OFFSET($H$3,0,0,'Données projet'!$E$10+1,1))</f>
        <v>442.01983807226742</v>
      </c>
      <c r="AO21" s="62">
        <f t="shared" si="36"/>
        <v>276.48668026732219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56.316458607455182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45">
      <c r="A22" s="11">
        <f t="shared" si="31"/>
        <v>19</v>
      </c>
      <c r="B22" s="77">
        <f>'Scénario référence'!$B$16*5+'Scénario référence'!$B$17*0+'Scénario référence'!$B$18*5</f>
        <v>3.75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13.75</v>
      </c>
      <c r="H22" s="70">
        <f t="shared" si="1"/>
        <v>201.66666666666666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287.3439356904687</v>
      </c>
      <c r="L22" s="13">
        <f>VLOOKUP(A22,'Données projet'!$A$35:$I$55,9,0)</f>
        <v>17.370059335549172</v>
      </c>
      <c r="M22" s="13">
        <f t="array" ref="M22">INDEX(L:L,MIN(IF(ISNUMBER(L22:L218),ROW(L22:L218),"")))</f>
        <v>17.370059335549172</v>
      </c>
      <c r="N22" s="14">
        <f>IF('Données projet'!$A$36&gt;35,N21+M22-V21,IF(A22&lt;'Données projet'!$A$36,$K$205^A22,IF(A22='Données projet'!$A$36,'Données projet'!$B$36,N21+M22-V21)))</f>
        <v>287.3439356904687</v>
      </c>
      <c r="O22" s="14">
        <f>N22*VLOOKUP('Données projet'!$B$9,Paramètres!$A$1:$I$89,3,0)*VLOOKUP('Données projet'!$B$9,Paramètres!$A$1:$I$89,5,0)</f>
        <v>146.13163193474477</v>
      </c>
      <c r="P22" s="14">
        <f t="shared" si="33"/>
        <v>37.698152792855197</v>
      </c>
      <c r="Q22" s="22">
        <f t="shared" si="2"/>
        <v>320.17020840056995</v>
      </c>
      <c r="R22" s="62">
        <f t="shared" si="0"/>
        <v>550.75650130505983</v>
      </c>
      <c r="S22" s="62">
        <f ca="1">AVERAGE(OFFSET($R$3,0,0,'Données projet'!$E$9+1,1))-AVERAGE(OFFSET($H$3,0,0,'Données projet'!$E$9+1,1))</f>
        <v>159.64393915572111</v>
      </c>
      <c r="T22" s="62">
        <f t="shared" si="34"/>
        <v>389.58290705889829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359.32832274653504</v>
      </c>
      <c r="AN22" s="62">
        <f ca="1">AVERAGE(OFFSET($AM$3,0,0,'Données projet'!$E$10+1,1))-AVERAGE(OFFSET($H$3,0,0,'Données projet'!$E$10+1,1))</f>
        <v>442.01983807226742</v>
      </c>
      <c r="AO22" s="62">
        <f t="shared" si="36"/>
        <v>276.48668026732219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56.553837458800274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45">
      <c r="A23" s="11">
        <f t="shared" si="31"/>
        <v>20</v>
      </c>
      <c r="B23" s="77">
        <f>'Scénario référence'!$B$16*5+'Scénario référence'!$B$17*0+'Scénario référence'!$B$18*5</f>
        <v>3.75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13.75</v>
      </c>
      <c r="H23" s="70">
        <f t="shared" si="1"/>
        <v>201.66666666666666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304.2109545779324</v>
      </c>
      <c r="L23" s="13">
        <f>VLOOKUP(A23,'Données projet'!$A$35:$I$55,9,0)</f>
        <v>16.867018887463701</v>
      </c>
      <c r="M23" s="13">
        <f t="array" ref="M23">INDEX(L:L,MIN(IF(ISNUMBER(L23:L219),ROW(L23:L219),"")))</f>
        <v>16.867018887463701</v>
      </c>
      <c r="N23" s="14">
        <f>IF('Données projet'!$A$36&gt;35,N22+M23-V22,IF(A23&lt;'Données projet'!$A$36,$K$205^A23,IF(A23='Données projet'!$A$36,'Données projet'!$B$36,N22+M23-V22)))</f>
        <v>304.2109545779324</v>
      </c>
      <c r="O23" s="14">
        <f>N23*VLOOKUP('Données projet'!$B$9,Paramètres!$A$1:$I$89,3,0)*VLOOKUP('Données projet'!$B$9,Paramètres!$A$1:$I$89,5,0)</f>
        <v>154.70952306015332</v>
      </c>
      <c r="P23" s="14">
        <f t="shared" si="33"/>
        <v>39.646908439742411</v>
      </c>
      <c r="Q23" s="22">
        <f t="shared" si="2"/>
        <v>338.50411819565176</v>
      </c>
      <c r="R23" s="62">
        <f t="shared" si="0"/>
        <v>571.16792313860128</v>
      </c>
      <c r="S23" s="62">
        <f ca="1">AVERAGE(OFFSET($R$3,0,0,'Données projet'!$E$9+1,1))-AVERAGE(OFFSET($H$3,0,0,'Données projet'!$E$9+1,1))</f>
        <v>159.64393915572111</v>
      </c>
      <c r="T23" s="62">
        <f t="shared" si="34"/>
        <v>389.58290705889829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397.41457828607145</v>
      </c>
      <c r="AN23" s="62">
        <f ca="1">AVERAGE(OFFSET($AM$3,0,0,'Données projet'!$E$10+1,1))-AVERAGE(OFFSET($H$3,0,0,'Données projet'!$E$10+1,1))</f>
        <v>442.01983807226742</v>
      </c>
      <c r="AO23" s="62">
        <f t="shared" si="36"/>
        <v>276.48668026732219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31.6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0.30800000000000005</v>
      </c>
      <c r="AT23" s="17">
        <f>IF(ISNA(VLOOKUP(A23,'Données projet'!$A$61:$I$81,7,0)),0%,VLOOKUP(A23,'Données projet'!$A$61:$I$81,7,0))</f>
        <v>0.44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6.018643926817755</v>
      </c>
      <c r="AW23" s="23">
        <f>EXP(-LN(2)/2)*AW22+(1-EXP(-LN(2)/2))/(LN(2)/2)*AQ23*AT23*VLOOKUP('Données projet'!$B$10,Paramètres!$A$1:$I$89,3,0)*0.475*44/12</f>
        <v>7.3675170807301358</v>
      </c>
      <c r="AX23" s="23">
        <f t="shared" si="6"/>
        <v>13.386161007547891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56.787098317774124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45">
      <c r="A24" s="11">
        <f t="shared" si="31"/>
        <v>21</v>
      </c>
      <c r="B24" s="77">
        <f>'Scénario référence'!$B$16*5+'Scénario référence'!$B$17*0+'Scénario référence'!$B$18*5</f>
        <v>3.75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13.75</v>
      </c>
      <c r="H24" s="70">
        <f t="shared" si="1"/>
        <v>201.66666666666666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320.80786161666225</v>
      </c>
      <c r="L24" s="13">
        <f>VLOOKUP(A24,'Données projet'!$A$35:$I$55,9,0)</f>
        <v>16.596907038729853</v>
      </c>
      <c r="M24" s="13">
        <f t="array" ref="M24">INDEX(L:L,MIN(IF(ISNUMBER(L24:L220),ROW(L24:L220),"")))</f>
        <v>16.596907038729853</v>
      </c>
      <c r="N24" s="14">
        <f>IF('Données projet'!$A$36&gt;35,N23+M24-V23,IF(A24&lt;'Données projet'!$A$36,$K$205^A24,IF(A24='Données projet'!$A$36,'Données projet'!$B$36,N23+M24-V23)))</f>
        <v>320.80786161666225</v>
      </c>
      <c r="O24" s="14">
        <f>N24*VLOOKUP('Données projet'!$B$9,Paramètres!$A$1:$I$89,3,0)*VLOOKUP('Données projet'!$B$9,Paramètres!$A$1:$I$89,5,0)</f>
        <v>163.15004610376977</v>
      </c>
      <c r="P24" s="14">
        <f t="shared" si="33"/>
        <v>41.552208887804902</v>
      </c>
      <c r="Q24" s="22">
        <f t="shared" si="2"/>
        <v>356.52309411032587</v>
      </c>
      <c r="R24" s="62">
        <f t="shared" si="0"/>
        <v>591.24957372556491</v>
      </c>
      <c r="S24" s="62">
        <f ca="1">AVERAGE(OFFSET($R$3,0,0,'Données projet'!$E$9+1,1))-AVERAGE(OFFSET($H$3,0,0,'Données projet'!$E$9+1,1))</f>
        <v>159.64393915572111</v>
      </c>
      <c r="T24" s="62">
        <f t="shared" si="34"/>
        <v>389.58290705889829</v>
      </c>
      <c r="U24" s="16" t="str">
        <f>IF(ISNA(VLOOKUP(A24,'Données projet'!$A$35:$I$55,3,0)),0,VLOOKUP(A24,'Données projet'!$A$35:$I$55,3,0))</f>
        <v>CR</v>
      </c>
      <c r="V24" s="16">
        <f>IF(ISNA(VLOOKUP(A24,'Données projet'!$A$35:$I$55,4,0)),0,VLOOKUP(A24,'Données projet'!$A$35:$I$55,4,0))</f>
        <v>320.80786161666225</v>
      </c>
      <c r="W24" s="17">
        <f>IF(ISNA(VLOOKUP(A24,'Données projet'!$A$35:$I$55,5,0)),0%,VLOOKUP(A24,'Données projet'!$A$35:$I$55,5,0)*VLOOKUP('Données projet'!$B$9,Paramètres!$A$1:$I$89,7,0))</f>
        <v>0.46199999999999997</v>
      </c>
      <c r="X24" s="17">
        <f>IF(ISNA(VLOOKUP(A24,'Données projet'!$A$35:$I$55,6,0)),0%,VLOOKUP(A24,'Données projet'!$A$35:$I$55,6,0)*VLOOKUP('Données projet'!$B$9,Paramètres!$A$1:$I$89,7,0))</f>
        <v>0.126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83.32518504486454</v>
      </c>
      <c r="AA24" s="23">
        <f>EXP(-LN(2)/25)*AA23+(1-EXP(-LN(2)/25))/(LN(2)/25)*Calculateur!V24*Calculateur!X24*VLOOKUP('Données projet'!$B$9,Paramètres!$A$1:$I$89,3,0)*0.475*44/12</f>
        <v>22.635573284170444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105.96075832903499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9.16</v>
      </c>
      <c r="AI24" s="14">
        <f>IF('Données projet'!$A$62&gt;35,AI23+AH24-AQ23,IF(A24&lt;'Données projet'!$A$62,$AF$205^A24,IF(A24='Données projet'!$A$62,'Données projet'!$B$62,AI23+AH24-AQ23)))</f>
        <v>135.56</v>
      </c>
      <c r="AJ24" s="14">
        <f>AI24*VLOOKUP('Données projet'!$B$10,Paramètres!$A$1:$I$89,3,0)*VLOOKUP('Données projet'!$B$10,Paramètres!$A$1:$I$89,5,0)</f>
        <v>63.442080000000004</v>
      </c>
      <c r="AK24" s="14">
        <f t="shared" si="35"/>
        <v>18.035689386391009</v>
      </c>
      <c r="AL24" s="22">
        <f t="shared" si="4"/>
        <v>141.90711501463102</v>
      </c>
      <c r="AM24" s="62">
        <f t="shared" si="5"/>
        <v>376.63359462987012</v>
      </c>
      <c r="AN24" s="62">
        <f ca="1">AVERAGE(OFFSET($AM$3,0,0,'Données projet'!$E$10+1,1))-AVERAGE(OFFSET($H$3,0,0,'Données projet'!$E$10+1,1))</f>
        <v>442.01983807226742</v>
      </c>
      <c r="AO24" s="62">
        <f t="shared" si="36"/>
        <v>276.48668026732219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5.8540637921321954</v>
      </c>
      <c r="AW24" s="23">
        <f>EXP(-LN(2)/2)*AW23+(1-EXP(-LN(2)/2))/(LN(2)/2)*AQ24*AT24*VLOOKUP('Données projet'!$B$10,Paramètres!$A$1:$I$89,3,0)*0.475*44/12</f>
        <v>5.2096212882919959</v>
      </c>
      <c r="AX24" s="23">
        <f t="shared" si="6"/>
        <v>11.063685080424191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57.016312622337935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45">
      <c r="A25" s="11">
        <f t="shared" si="31"/>
        <v>22</v>
      </c>
      <c r="B25" s="77">
        <f>'Scénario référence'!$B$16*5+'Scénario référence'!$B$17*0+'Scénario référence'!$B$18*5</f>
        <v>3.75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13.75</v>
      </c>
      <c r="H25" s="70">
        <f t="shared" si="1"/>
        <v>201.66666666666666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159.64393915572111</v>
      </c>
      <c r="T25" s="62">
        <f t="shared" si="34"/>
        <v>389.58290705889829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81.691228989479242</v>
      </c>
      <c r="AA25" s="23">
        <f>EXP(-LN(2)/25)*AA24+(1-EXP(-LN(2)/25))/(LN(2)/25)*Calculateur!V25*Calculateur!X25*VLOOKUP('Données projet'!$B$9,Paramètres!$A$1:$I$89,3,0)*0.475*44/12</f>
        <v>22.01660234236174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103.70783133184098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9.16</v>
      </c>
      <c r="AI25" s="14">
        <f>IF('Données projet'!$A$62&gt;35,AI24+AH25-AQ24,IF(A25&lt;'Données projet'!$A$62,$AF$205^A25,IF(A25='Données projet'!$A$62,'Données projet'!$B$62,AI24+AH25-AQ24)))</f>
        <v>144.72</v>
      </c>
      <c r="AJ25" s="14">
        <f>AI25*VLOOKUP('Données projet'!$B$10,Paramètres!$A$1:$I$89,3,0)*VLOOKUP('Données projet'!$B$10,Paramètres!$A$1:$I$89,5,0)</f>
        <v>67.728960000000001</v>
      </c>
      <c r="AK25" s="14">
        <f t="shared" si="35"/>
        <v>19.108400305729717</v>
      </c>
      <c r="AL25" s="22">
        <f t="shared" si="4"/>
        <v>151.24173586581256</v>
      </c>
      <c r="AM25" s="62">
        <f t="shared" si="5"/>
        <v>388.01631018230273</v>
      </c>
      <c r="AN25" s="62">
        <f ca="1">AVERAGE(OFFSET($AM$3,0,0,'Données projet'!$E$10+1,1))-AVERAGE(OFFSET($H$3,0,0,'Données projet'!$E$10+1,1))</f>
        <v>442.01983807226742</v>
      </c>
      <c r="AO25" s="62">
        <f t="shared" si="36"/>
        <v>276.48668026732219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5.6939841098845054</v>
      </c>
      <c r="AW25" s="23">
        <f>EXP(-LN(2)/2)*AW24+(1-EXP(-LN(2)/2))/(LN(2)/2)*AQ25*AT25*VLOOKUP('Données projet'!$B$10,Paramètres!$A$1:$I$89,3,0)*0.475*44/12</f>
        <v>3.6837585403650683</v>
      </c>
      <c r="AX25" s="23">
        <f t="shared" si="6"/>
        <v>9.3777426502495729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57.241550571163984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45">
      <c r="A26" s="11">
        <f t="shared" si="31"/>
        <v>23</v>
      </c>
      <c r="B26" s="77">
        <f>'Scénario référence'!$B$16*5+'Scénario référence'!$B$17*0+'Scénario référence'!$B$18*5</f>
        <v>3.75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13.75</v>
      </c>
      <c r="H26" s="70">
        <f t="shared" si="1"/>
        <v>201.66666666666666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159.64393915572111</v>
      </c>
      <c r="T26" s="62">
        <f t="shared" si="34"/>
        <v>389.58290705889829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80.089313815725262</v>
      </c>
      <c r="AA26" s="23">
        <f>EXP(-LN(2)/25)*AA25+(1-EXP(-LN(2)/25))/(LN(2)/25)*Calculateur!V26*Calculateur!X26*VLOOKUP('Données projet'!$B$9,Paramètres!$A$1:$I$89,3,0)*0.475*44/12</f>
        <v>21.414557193507061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101.50387100923233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9.16</v>
      </c>
      <c r="AI26" s="14">
        <f>IF('Données projet'!$A$62&gt;35,AI25+AH26-AQ25,IF(A26&lt;'Données projet'!$A$62,$AF$205^A26,IF(A26='Données projet'!$A$62,'Données projet'!$B$62,AI25+AH26-AQ25)))</f>
        <v>153.88</v>
      </c>
      <c r="AJ26" s="14">
        <f>AI26*VLOOKUP('Données projet'!$B$10,Paramètres!$A$1:$I$89,3,0)*VLOOKUP('Données projet'!$B$10,Paramètres!$A$1:$I$89,5,0)</f>
        <v>72.015839999999997</v>
      </c>
      <c r="AK26" s="14">
        <f t="shared" si="35"/>
        <v>20.173231521410678</v>
      </c>
      <c r="AL26" s="22">
        <f t="shared" si="4"/>
        <v>160.56263289979026</v>
      </c>
      <c r="AM26" s="62">
        <f t="shared" si="5"/>
        <v>399.3709748763946</v>
      </c>
      <c r="AN26" s="62">
        <f ca="1">AVERAGE(OFFSET($AM$3,0,0,'Données projet'!$E$10+1,1))-AVERAGE(OFFSET($H$3,0,0,'Données projet'!$E$10+1,1))</f>
        <v>442.01983807226742</v>
      </c>
      <c r="AO26" s="62">
        <f t="shared" si="36"/>
        <v>276.48668026732219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5.5382818149661031</v>
      </c>
      <c r="AW26" s="23">
        <f>EXP(-LN(2)/2)*AW25+(1-EXP(-LN(2)/2))/(LN(2)/2)*AQ26*AT26*VLOOKUP('Données projet'!$B$10,Paramètres!$A$1:$I$89,3,0)*0.475*44/12</f>
        <v>2.6048106441459984</v>
      </c>
      <c r="AX26" s="23">
        <f t="shared" si="6"/>
        <v>8.1430924591121006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57.462881145134517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45">
      <c r="A27" s="11">
        <f t="shared" si="31"/>
        <v>24</v>
      </c>
      <c r="B27" s="77">
        <f>'Scénario référence'!$B$16*5+'Scénario référence'!$B$17*0+'Scénario référence'!$B$18*5</f>
        <v>3.75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13.75</v>
      </c>
      <c r="H27" s="70">
        <f t="shared" si="1"/>
        <v>201.66666666666666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159.64393915572111</v>
      </c>
      <c r="T27" s="62">
        <f t="shared" si="34"/>
        <v>389.58290705889829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78.518811221456815</v>
      </c>
      <c r="AA27" s="23">
        <f>EXP(-LN(2)/25)*AA26+(1-EXP(-LN(2)/25))/(LN(2)/25)*Calculateur!V27*Calculateur!X27*VLOOKUP('Données projet'!$B$9,Paramètres!$A$1:$I$89,3,0)*0.475*44/12</f>
        <v>20.828975000907992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99.347786222364803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9.16</v>
      </c>
      <c r="AI27" s="14">
        <f>IF('Données projet'!$A$62&gt;35,AI26+AH27-AQ26,IF(A27&lt;'Données projet'!$A$62,$AF$205^A27,IF(A27='Données projet'!$A$62,'Données projet'!$B$62,AI26+AH27-AQ26)))</f>
        <v>163.04</v>
      </c>
      <c r="AJ27" s="14">
        <f>AI27*VLOOKUP('Données projet'!$B$10,Paramètres!$A$1:$I$89,3,0)*VLOOKUP('Données projet'!$B$10,Paramètres!$A$1:$I$89,5,0)</f>
        <v>76.302719999999994</v>
      </c>
      <c r="AK27" s="14">
        <f t="shared" si="35"/>
        <v>21.230705510876394</v>
      </c>
      <c r="AL27" s="22">
        <f t="shared" si="4"/>
        <v>169.87071609810968</v>
      </c>
      <c r="AM27" s="62">
        <f t="shared" si="5"/>
        <v>410.69874723582456</v>
      </c>
      <c r="AN27" s="62">
        <f ca="1">AVERAGE(OFFSET($AM$3,0,0,'Données projet'!$E$10+1,1))-AVERAGE(OFFSET($H$3,0,0,'Données projet'!$E$10+1,1))</f>
        <v>442.01983807226742</v>
      </c>
      <c r="AO27" s="62">
        <f t="shared" si="36"/>
        <v>276.48668026732219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5.386837207490272</v>
      </c>
      <c r="AW27" s="23">
        <f>EXP(-LN(2)/2)*AW26+(1-EXP(-LN(2)/2))/(LN(2)/2)*AQ27*AT27*VLOOKUP('Données projet'!$B$10,Paramètres!$A$1:$I$89,3,0)*0.475*44/12</f>
        <v>1.8418792701825346</v>
      </c>
      <c r="AX27" s="23">
        <f t="shared" si="6"/>
        <v>7.2287164776728066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57.680372128467688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45">
      <c r="A28" s="11">
        <f t="shared" si="31"/>
        <v>25</v>
      </c>
      <c r="B28" s="77">
        <f>'Scénario référence'!$B$16*5+'Scénario référence'!$B$17*0+'Scénario référence'!$B$18*5</f>
        <v>3.75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13.75</v>
      </c>
      <c r="H28" s="70">
        <f t="shared" si="1"/>
        <v>201.66666666666666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159.64393915572111</v>
      </c>
      <c r="T28" s="62">
        <f t="shared" si="34"/>
        <v>389.58290705889829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76.979105225149979</v>
      </c>
      <c r="AA28" s="23">
        <f>EXP(-LN(2)/25)*AA27+(1-EXP(-LN(2)/25))/(LN(2)/25)*Calculateur!V28*Calculateur!X28*VLOOKUP('Données projet'!$B$9,Paramètres!$A$1:$I$89,3,0)*0.475*44/12</f>
        <v>20.259405584159971</v>
      </c>
      <c r="AB28" s="23">
        <f>EXP(-LN(2)/2)*AB27+(1-EXP(-LN(2)/2))/(LN(2)/2)*V28*Y28*VLOOKUP('Données projet'!$B$9,Paramètres!$A$1:$I$89,3,0)*0.475*44/12</f>
        <v>0</v>
      </c>
      <c r="AC28" s="24">
        <f t="shared" si="3"/>
        <v>97.238510809309957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9.16</v>
      </c>
      <c r="AI28" s="14">
        <f>IF('Données projet'!$A$62&gt;35,AI27+AH28-AQ27,IF(A28&lt;'Données projet'!$A$62,$AF$205^A28,IF(A28='Données projet'!$A$62,'Données projet'!$B$62,AI27+AH28-AQ27)))</f>
        <v>172.2</v>
      </c>
      <c r="AJ28" s="14">
        <f>AI28*VLOOKUP('Données projet'!$B$10,Paramètres!$A$1:$I$89,3,0)*VLOOKUP('Données projet'!$B$10,Paramètres!$A$1:$I$89,5,0)</f>
        <v>80.58959999999999</v>
      </c>
      <c r="AK28" s="14">
        <f t="shared" si="35"/>
        <v>22.281282727508763</v>
      </c>
      <c r="AL28" s="22">
        <f t="shared" si="4"/>
        <v>179.16678741707776</v>
      </c>
      <c r="AM28" s="62">
        <f t="shared" si="5"/>
        <v>422.00067344738238</v>
      </c>
      <c r="AN28" s="62">
        <f ca="1">AVERAGE(OFFSET($AM$3,0,0,'Données projet'!$E$10+1,1))-AVERAGE(OFFSET($H$3,0,0,'Données projet'!$E$10+1,1))</f>
        <v>442.01983807226742</v>
      </c>
      <c r="AO28" s="62">
        <f t="shared" si="36"/>
        <v>276.48668026732219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5.2395338607699937</v>
      </c>
      <c r="AW28" s="23">
        <f>EXP(-LN(2)/2)*AW27+(1-EXP(-LN(2)/2))/(LN(2)/2)*AQ28*AT28*VLOOKUP('Données projet'!$B$10,Paramètres!$A$1:$I$89,3,0)*0.475*44/12</f>
        <v>1.3024053220729994</v>
      </c>
      <c r="AX28" s="23">
        <f t="shared" si="6"/>
        <v>6.5419391828429934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57.894090129477021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45">
      <c r="A29" s="11">
        <f t="shared" si="31"/>
        <v>26</v>
      </c>
      <c r="B29" s="77">
        <f>'Scénario référence'!$B$16*5+'Scénario référence'!$B$17*0+'Scénario référence'!$B$18*5</f>
        <v>3.75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13.75</v>
      </c>
      <c r="H29" s="70">
        <f t="shared" si="1"/>
        <v>201.66666666666666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159.64393915572111</v>
      </c>
      <c r="T29" s="62">
        <f t="shared" si="34"/>
        <v>389.58290705889829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75.46959192430279</v>
      </c>
      <c r="AA29" s="23">
        <f>EXP(-LN(2)/25)*AA28+(1-EXP(-LN(2)/25))/(LN(2)/25)*Calculateur!V29*Calculateur!X29*VLOOKUP('Données projet'!$B$9,Paramètres!$A$1:$I$89,3,0)*0.475*44/12</f>
        <v>19.705411073065282</v>
      </c>
      <c r="AB29" s="23">
        <f>EXP(-LN(2)/2)*AB28+(1-EXP(-LN(2)/2))/(LN(2)/2)*V29*Y29*VLOOKUP('Données projet'!$B$9,Paramètres!$A$1:$I$89,3,0)*0.475*44/12</f>
        <v>0</v>
      </c>
      <c r="AC29" s="24">
        <f t="shared" si="3"/>
        <v>95.175002997368068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9.16</v>
      </c>
      <c r="AI29" s="14">
        <f>IF('Données projet'!$A$62&gt;35,AI28+AH29-AQ28,IF(A29&lt;'Données projet'!$A$62,$AF$205^A29,IF(A29='Données projet'!$A$62,'Données projet'!$B$62,AI28+AH29-AQ28)))</f>
        <v>181.35999999999999</v>
      </c>
      <c r="AJ29" s="14">
        <f>AI29*VLOOKUP('Données projet'!$B$10,Paramètres!$A$1:$I$89,3,0)*VLOOKUP('Données projet'!$B$10,Paramètres!$A$1:$I$89,5,0)</f>
        <v>84.876480000000001</v>
      </c>
      <c r="AK29" s="14">
        <f t="shared" si="35"/>
        <v>23.325371871304792</v>
      </c>
      <c r="AL29" s="22">
        <f t="shared" si="4"/>
        <v>188.45155867585586</v>
      </c>
      <c r="AM29" s="62">
        <f t="shared" si="5"/>
        <v>433.27770532385966</v>
      </c>
      <c r="AN29" s="62">
        <f ca="1">AVERAGE(OFFSET($AM$3,0,0,'Données projet'!$E$10+1,1))-AVERAGE(OFFSET($H$3,0,0,'Données projet'!$E$10+1,1))</f>
        <v>442.01983807226742</v>
      </c>
      <c r="AO29" s="62">
        <f t="shared" si="36"/>
        <v>276.48668026732219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5.0962585318121274</v>
      </c>
      <c r="AW29" s="23">
        <f>EXP(-LN(2)/2)*AW28+(1-EXP(-LN(2)/2))/(LN(2)/2)*AQ29*AT29*VLOOKUP('Données projet'!$B$10,Paramètres!$A$1:$I$89,3,0)*0.475*44/12</f>
        <v>0.92093963509126742</v>
      </c>
      <c r="AX29" s="23">
        <f t="shared" si="6"/>
        <v>6.0171981669033947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58.104100600970725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45">
      <c r="A30" s="11">
        <f t="shared" si="31"/>
        <v>27</v>
      </c>
      <c r="B30" s="77">
        <f>'Scénario référence'!$B$16*5+'Scénario référence'!$B$17*0+'Scénario référence'!$B$18*5</f>
        <v>3.75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13.75</v>
      </c>
      <c r="H30" s="70">
        <f t="shared" si="1"/>
        <v>201.66666666666666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159.64393915572111</v>
      </c>
      <c r="T30" s="62">
        <f t="shared" si="34"/>
        <v>389.58290705889829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73.98967925857302</v>
      </c>
      <c r="AA30" s="23">
        <f>EXP(-LN(2)/25)*AA29+(1-EXP(-LN(2)/25))/(LN(2)/25)*Calculateur!V30*Calculateur!X30*VLOOKUP('Données projet'!$B$9,Paramètres!$A$1:$I$89,3,0)*0.475*44/12</f>
        <v>19.16656557100978</v>
      </c>
      <c r="AB30" s="23">
        <f>EXP(-LN(2)/2)*AB29+(1-EXP(-LN(2)/2))/(LN(2)/2)*V30*Y30*VLOOKUP('Données projet'!$B$9,Paramètres!$A$1:$I$89,3,0)*0.475*44/12</f>
        <v>0</v>
      </c>
      <c r="AC30" s="24">
        <f t="shared" si="3"/>
        <v>93.156244829582803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9.16</v>
      </c>
      <c r="AI30" s="14">
        <f>IF('Données projet'!$A$62&gt;35,AI29+AH30-AQ29,IF(A30&lt;'Données projet'!$A$62,$AF$205^A30,IF(A30='Données projet'!$A$62,'Données projet'!$B$62,AI29+AH30-AQ29)))</f>
        <v>190.51999999999998</v>
      </c>
      <c r="AJ30" s="14">
        <f>AI30*VLOOKUP('Données projet'!$B$10,Paramètres!$A$1:$I$89,3,0)*VLOOKUP('Données projet'!$B$10,Paramètres!$A$1:$I$89,5,0)</f>
        <v>89.163359999999997</v>
      </c>
      <c r="AK30" s="14">
        <f t="shared" si="35"/>
        <v>24.36333802556863</v>
      </c>
      <c r="AL30" s="22">
        <f t="shared" si="4"/>
        <v>197.72566572786536</v>
      </c>
      <c r="AM30" s="62">
        <f t="shared" si="5"/>
        <v>444.53071454895462</v>
      </c>
      <c r="AN30" s="62">
        <f ca="1">AVERAGE(OFFSET($AM$3,0,0,'Données projet'!$E$10+1,1))-AVERAGE(OFFSET($H$3,0,0,'Données projet'!$E$10+1,1))</f>
        <v>442.01983807226742</v>
      </c>
      <c r="AO30" s="62">
        <f t="shared" si="36"/>
        <v>276.48668026732219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4.956901074259136</v>
      </c>
      <c r="AW30" s="23">
        <f>EXP(-LN(2)/2)*AW29+(1-EXP(-LN(2)/2))/(LN(2)/2)*AQ30*AT30*VLOOKUP('Données projet'!$B$10,Paramètres!$A$1:$I$89,3,0)*0.475*44/12</f>
        <v>0.65120266103649982</v>
      </c>
      <c r="AX30" s="23">
        <f t="shared" si="6"/>
        <v>5.6081037352956358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58.310467860297081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45">
      <c r="A31" s="11">
        <f t="shared" si="31"/>
        <v>28</v>
      </c>
      <c r="B31" s="77">
        <f>'Scénario référence'!$B$16*5+'Scénario référence'!$B$17*0+'Scénario référence'!$B$18*5</f>
        <v>3.75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13.75</v>
      </c>
      <c r="H31" s="70">
        <f t="shared" si="1"/>
        <v>201.66666666666666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159.64393915572111</v>
      </c>
      <c r="T31" s="62">
        <f t="shared" si="34"/>
        <v>389.58290705889829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72.538786777560603</v>
      </c>
      <c r="AA31" s="23">
        <f>EXP(-LN(2)/25)*AA30+(1-EXP(-LN(2)/25))/(LN(2)/25)*Calculateur!V31*Calculateur!X31*VLOOKUP('Données projet'!$B$9,Paramètres!$A$1:$I$89,3,0)*0.475*44/12</f>
        <v>18.64245482754464</v>
      </c>
      <c r="AB31" s="23">
        <f>EXP(-LN(2)/2)*AB30+(1-EXP(-LN(2)/2))/(LN(2)/2)*V31*Y31*VLOOKUP('Données projet'!$B$9,Paramètres!$A$1:$I$89,3,0)*0.475*44/12</f>
        <v>0</v>
      </c>
      <c r="AC31" s="24">
        <f t="shared" si="3"/>
        <v>91.181241605105242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9.16</v>
      </c>
      <c r="AI31" s="14">
        <f>IF('Données projet'!$A$62&gt;35,AI30+AH31-AQ30,IF(A31&lt;'Données projet'!$A$62,$AF$205^A31,IF(A31='Données projet'!$A$62,'Données projet'!$B$62,AI30+AH31-AQ30)))</f>
        <v>199.67999999999998</v>
      </c>
      <c r="AJ31" s="14">
        <f>AI31*VLOOKUP('Données projet'!$B$10,Paramètres!$A$1:$I$89,3,0)*VLOOKUP('Données projet'!$B$10,Paramètres!$A$1:$I$89,5,0)</f>
        <v>93.45023999999998</v>
      </c>
      <c r="AK31" s="14">
        <f t="shared" si="35"/>
        <v>25.395509184428445</v>
      </c>
      <c r="AL31" s="22">
        <f t="shared" si="4"/>
        <v>206.98967982954616</v>
      </c>
      <c r="AM31" s="62">
        <f t="shared" si="5"/>
        <v>455.76050411825645</v>
      </c>
      <c r="AN31" s="62">
        <f ca="1">AVERAGE(OFFSET($AM$3,0,0,'Données projet'!$E$10+1,1))-AVERAGE(OFFSET($H$3,0,0,'Données projet'!$E$10+1,1))</f>
        <v>442.01983807226742</v>
      </c>
      <c r="AO31" s="62">
        <f t="shared" si="36"/>
        <v>276.48668026732219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4.8213543537114214</v>
      </c>
      <c r="AW31" s="23">
        <f>EXP(-LN(2)/2)*AW30+(1-EXP(-LN(2)/2))/(LN(2)/2)*AQ31*AT31*VLOOKUP('Données projet'!$B$10,Paramètres!$A$1:$I$89,3,0)*0.475*44/12</f>
        <v>0.46046981754563376</v>
      </c>
      <c r="AX31" s="23">
        <f t="shared" si="6"/>
        <v>5.2818241712570551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58.513255109042198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45">
      <c r="A32" s="11">
        <f t="shared" si="31"/>
        <v>29</v>
      </c>
      <c r="B32" s="77">
        <f>'Scénario référence'!$B$16*5+'Scénario référence'!$B$17*0+'Scénario référence'!$B$18*5</f>
        <v>3.75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13.75</v>
      </c>
      <c r="H32" s="70">
        <f t="shared" si="1"/>
        <v>201.66666666666666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159.64393915572111</v>
      </c>
      <c r="T32" s="62">
        <f t="shared" si="34"/>
        <v>389.58290705889829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71.116345413143819</v>
      </c>
      <c r="AA32" s="23">
        <f>EXP(-LN(2)/25)*AA31+(1-EXP(-LN(2)/25))/(LN(2)/25)*Calculateur!V32*Calculateur!X32*VLOOKUP('Données projet'!$B$9,Paramètres!$A$1:$I$89,3,0)*0.475*44/12</f>
        <v>18.13267591992134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89.249021333065159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9.16</v>
      </c>
      <c r="AI32" s="14">
        <f>IF('Données projet'!$A$62&gt;35,AI31+AH32-AQ31,IF(A32&lt;'Données projet'!$A$62,$AF$205^A32,IF(A32='Données projet'!$A$62,'Données projet'!$B$62,AI31+AH32-AQ31)))</f>
        <v>208.83999999999997</v>
      </c>
      <c r="AJ32" s="14">
        <f>AI32*VLOOKUP('Données projet'!$B$10,Paramètres!$A$1:$I$89,3,0)*VLOOKUP('Données projet'!$B$10,Paramètres!$A$1:$I$89,5,0)</f>
        <v>97.73711999999999</v>
      </c>
      <c r="AK32" s="14">
        <f t="shared" si="35"/>
        <v>26.422181548724229</v>
      </c>
      <c r="AL32" s="22">
        <f t="shared" si="4"/>
        <v>216.244116864028</v>
      </c>
      <c r="AM32" s="62">
        <f t="shared" si="5"/>
        <v>466.96781763388765</v>
      </c>
      <c r="AN32" s="62">
        <f ca="1">AVERAGE(OFFSET($AM$3,0,0,'Données projet'!$E$10+1,1))-AVERAGE(OFFSET($H$3,0,0,'Données projet'!$E$10+1,1))</f>
        <v>442.01983807226742</v>
      </c>
      <c r="AO32" s="62">
        <f t="shared" si="36"/>
        <v>276.48668026732219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4.6895141653651766</v>
      </c>
      <c r="AW32" s="23">
        <f>EXP(-LN(2)/2)*AW31+(1-EXP(-LN(2)/2))/(LN(2)/2)*AQ32*AT32*VLOOKUP('Données projet'!$B$10,Paramètres!$A$1:$I$89,3,0)*0.475*44/12</f>
        <v>0.32560133051824997</v>
      </c>
      <c r="AX32" s="23">
        <f t="shared" si="6"/>
        <v>5.0151154958834265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58.712524452385964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45">
      <c r="A33" s="11">
        <f t="shared" si="31"/>
        <v>30</v>
      </c>
      <c r="B33" s="77">
        <f>'Scénario référence'!$B$16*5+'Scénario référence'!$B$17*0+'Scénario référence'!$B$18*5</f>
        <v>3.75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13.75</v>
      </c>
      <c r="H33" s="70">
        <f t="shared" si="1"/>
        <v>201.66666666666666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159.64393915572111</v>
      </c>
      <c r="T33" s="62">
        <f t="shared" si="34"/>
        <v>389.58290705889829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69.721797256279672</v>
      </c>
      <c r="AA33" s="23">
        <f>EXP(-LN(2)/25)*AA32+(1-EXP(-LN(2)/25))/(LN(2)/25)*Calculateur!V33*Calculateur!X33*VLOOKUP('Données projet'!$B$9,Paramètres!$A$1:$I$89,3,0)*0.475*44/12</f>
        <v>17.636836943335108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87.358634199614784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218</v>
      </c>
      <c r="AG33" s="13">
        <f>VLOOKUP(A33,'Données projet'!$A$61:$I$81,9,0)</f>
        <v>9.16</v>
      </c>
      <c r="AH33" s="13">
        <f t="array" ref="AH33">INDEX(AG:AG,MIN(IF(ISNUMBER(AG33:AG229),ROW(AG33:AG229),"")))</f>
        <v>9.16</v>
      </c>
      <c r="AI33" s="14">
        <f>IF('Données projet'!$A$62&gt;35,AI32+AH33-AQ32,IF(A33&lt;'Données projet'!$A$62,$AF$205^A33,IF(A33='Données projet'!$A$62,'Données projet'!$B$62,AI32+AH33-AQ32)))</f>
        <v>217.99999999999997</v>
      </c>
      <c r="AJ33" s="14">
        <f>AI33*VLOOKUP('Données projet'!$B$10,Paramètres!$A$1:$I$89,3,0)*VLOOKUP('Données projet'!$B$10,Paramètres!$A$1:$I$89,5,0)</f>
        <v>102.02399999999999</v>
      </c>
      <c r="AK33" s="14">
        <f t="shared" si="35"/>
        <v>27.443623866530572</v>
      </c>
      <c r="AL33" s="22">
        <f t="shared" si="4"/>
        <v>225.48944490087408</v>
      </c>
      <c r="AM33" s="62">
        <f t="shared" si="5"/>
        <v>478.15334693398887</v>
      </c>
      <c r="AN33" s="62">
        <f ca="1">AVERAGE(OFFSET($AM$3,0,0,'Données projet'!$E$10+1,1))-AVERAGE(OFFSET($H$3,0,0,'Données projet'!$E$10+1,1))</f>
        <v>442.01983807226742</v>
      </c>
      <c r="AO33" s="62">
        <f t="shared" si="36"/>
        <v>276.48668026732219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36.4</v>
      </c>
      <c r="AR33" s="17">
        <f>IF(ISNA(VLOOKUP(A33,'Données projet'!$A$61:$I$81,5,0)),0%,VLOOKUP(A33,'Données projet'!$A$61:$I$81,5,0)*VLOOKUP('Données projet'!$B$10,Paramètres!$A$1:$I$89,7,0))</f>
        <v>0.38500000000000001</v>
      </c>
      <c r="AS33" s="17">
        <f>IF(ISNA(VLOOKUP(A33,'Données projet'!$A$61:$I$81,6,0)),0%,VLOOKUP(A33,'Données projet'!$A$61:$I$81,6,0)*VLOOKUP('Données projet'!$B$10,Paramètres!$A$1:$I$89,7,0))</f>
        <v>9.240000000000001E-2</v>
      </c>
      <c r="AT33" s="17">
        <f>IF(ISNA(VLOOKUP(A33,'Données projet'!$A$61:$I$81,7,0)),0%,VLOOKUP(A33,'Données projet'!$A$61:$I$81,7,0))</f>
        <v>0.13200000000000001</v>
      </c>
      <c r="AU33" s="23">
        <f>EXP(-LN(2)/35)*AU32+(1-EXP(-LN(2)/35))/(LN(2)/35)*AQ33*AR33*VLOOKUP('Données projet'!$B$10,Paramètres!$A$1:$I$89,3,0)*0.475*44/12</f>
        <v>8.7003419623519065</v>
      </c>
      <c r="AV33" s="23">
        <f>EXP(-LN(2)/25)*AV32+(1-EXP(-LN(2)/25))/(LN(2)/25)*Calculateur!AQ33*Calculateur!AS33*VLOOKUP('Données projet'!$B$10,Paramètres!$A$1:$I$89,3,0)*0.475*44/12</f>
        <v>6.6411396501318603</v>
      </c>
      <c r="AW33" s="23">
        <f>EXP(-LN(2)/2)*AW32+(1-EXP(-LN(2)/2))/(LN(2)/2)*AQ33*AT33*VLOOKUP('Données projet'!$B$10,Paramètres!$A$1:$I$89,3,0)*0.475*44/12</f>
        <v>2.776224988569433</v>
      </c>
      <c r="AX33" s="23">
        <f t="shared" si="6"/>
        <v>18.1177066010532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58.908336918122217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45">
      <c r="A34" s="11">
        <f t="shared" si="31"/>
        <v>31</v>
      </c>
      <c r="B34" s="77">
        <f>'Scénario référence'!$B$16*5+'Scénario référence'!$B$17*0+'Scénario référence'!$B$18*5</f>
        <v>3.75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13.75</v>
      </c>
      <c r="H34" s="70">
        <f t="shared" si="1"/>
        <v>201.66666666666666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159.64393915572111</v>
      </c>
      <c r="T34" s="62">
        <f t="shared" si="34"/>
        <v>389.58290705889829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68.354595338181255</v>
      </c>
      <c r="AA34" s="23">
        <f>EXP(-LN(2)/25)*AA33+(1-EXP(-LN(2)/25))/(LN(2)/25)*Calculateur!V34*Calculateur!X34*VLOOKUP('Données projet'!$B$9,Paramètres!$A$1:$I$89,3,0)*0.475*44/12</f>
        <v>17.154556709638666</v>
      </c>
      <c r="AB34" s="23">
        <f>EXP(-LN(2)/2)*AB33+(1-EXP(-LN(2)/2))/(LN(2)/2)*V34*Y34*VLOOKUP('Données projet'!$B$9,Paramètres!$A$1:$I$89,3,0)*0.475*44/12</f>
        <v>0</v>
      </c>
      <c r="AC34" s="24">
        <f t="shared" si="3"/>
        <v>85.509152047819924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12.84</v>
      </c>
      <c r="AI34" s="14">
        <f>IF('Données projet'!$A$62&gt;35,AI33+AH34-AQ33,IF(A34&lt;'Données projet'!$A$62,$AF$205^A34,IF(A34='Données projet'!$A$62,'Données projet'!$B$62,AI33+AH34-AQ33)))</f>
        <v>194.43999999999997</v>
      </c>
      <c r="AJ34" s="14">
        <f>AI34*VLOOKUP('Données projet'!$B$10,Paramètres!$A$1:$I$89,3,0)*VLOOKUP('Données projet'!$B$10,Paramètres!$A$1:$I$89,5,0)</f>
        <v>90.997919999999993</v>
      </c>
      <c r="AK34" s="14">
        <f t="shared" si="35"/>
        <v>24.805744592857391</v>
      </c>
      <c r="AL34" s="22">
        <f t="shared" si="4"/>
        <v>201.69138249922662</v>
      </c>
      <c r="AM34" s="62">
        <f t="shared" si="5"/>
        <v>455.06080824217315</v>
      </c>
      <c r="AN34" s="62">
        <f ca="1">AVERAGE(OFFSET($AM$3,0,0,'Données projet'!$E$10+1,1))-AVERAGE(OFFSET($H$3,0,0,'Données projet'!$E$10+1,1))</f>
        <v>442.01983807226742</v>
      </c>
      <c r="AO34" s="62">
        <f t="shared" si="36"/>
        <v>276.48668026732219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8.5297335631547906</v>
      </c>
      <c r="AV34" s="23">
        <f>EXP(-LN(2)/25)*AV33+(1-EXP(-LN(2)/25))/(LN(2)/25)*Calculateur!AQ34*Calculateur!AS34*VLOOKUP('Données projet'!$B$10,Paramètres!$A$1:$I$89,3,0)*0.475*44/12</f>
        <v>6.4595373371566485</v>
      </c>
      <c r="AW34" s="23">
        <f>EXP(-LN(2)/2)*AW33+(1-EXP(-LN(2)/2))/(LN(2)/2)*AQ34*AT34*VLOOKUP('Données projet'!$B$10,Paramètres!$A$1:$I$89,3,0)*0.475*44/12</f>
        <v>1.9630875155169916</v>
      </c>
      <c r="AX34" s="23">
        <f t="shared" si="6"/>
        <v>16.952358415828432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59.10075247534904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45">
      <c r="A35" s="11">
        <f t="shared" si="31"/>
        <v>32</v>
      </c>
      <c r="B35" s="77">
        <f>'Scénario référence'!$B$16*5+'Scénario référence'!$B$17*0+'Scénario référence'!$B$18*5</f>
        <v>3.75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13.75</v>
      </c>
      <c r="H35" s="70">
        <f t="shared" si="1"/>
        <v>201.66666666666666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159.64393915572111</v>
      </c>
      <c r="T35" s="62">
        <f t="shared" si="34"/>
        <v>389.58290705889829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67.014203415785914</v>
      </c>
      <c r="AA35" s="23">
        <f>EXP(-LN(2)/25)*AA34+(1-EXP(-LN(2)/25))/(LN(2)/25)*Calculateur!V35*Calculateur!X35*VLOOKUP('Données projet'!$B$9,Paramètres!$A$1:$I$89,3,0)*0.475*44/12</f>
        <v>16.685464454294667</v>
      </c>
      <c r="AB35" s="23">
        <f>EXP(-LN(2)/2)*AB34+(1-EXP(-LN(2)/2))/(LN(2)/2)*V35*Y35*VLOOKUP('Données projet'!$B$9,Paramètres!$A$1:$I$89,3,0)*0.475*44/12</f>
        <v>0</v>
      </c>
      <c r="AC35" s="24">
        <f t="shared" si="3"/>
        <v>83.699667870080589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12.84</v>
      </c>
      <c r="AI35" s="14">
        <f>IF('Données projet'!$A$62&gt;35,AI34+AH35-AQ34,IF(A35&lt;'Données projet'!$A$62,$AF$205^A35,IF(A35='Données projet'!$A$62,'Données projet'!$B$62,AI34+AH35-AQ34)))</f>
        <v>207.27999999999997</v>
      </c>
      <c r="AJ35" s="14">
        <f>AI35*VLOOKUP('Données projet'!$B$10,Paramètres!$A$1:$I$89,3,0)*VLOOKUP('Données projet'!$B$10,Paramètres!$A$1:$I$89,5,0)</f>
        <v>97.007039999999989</v>
      </c>
      <c r="AK35" s="14">
        <f t="shared" si="35"/>
        <v>26.247710012105202</v>
      </c>
      <c r="AL35" s="22">
        <f t="shared" si="4"/>
        <v>214.66868960441653</v>
      </c>
      <c r="AM35" s="62">
        <f t="shared" si="5"/>
        <v>468.7313997981438</v>
      </c>
      <c r="AN35" s="62">
        <f ca="1">AVERAGE(OFFSET($AM$3,0,0,'Données projet'!$E$10+1,1))-AVERAGE(OFFSET($H$3,0,0,'Données projet'!$E$10+1,1))</f>
        <v>442.01983807226742</v>
      </c>
      <c r="AO35" s="62">
        <f t="shared" si="36"/>
        <v>276.48668026732219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8.3624706906050825</v>
      </c>
      <c r="AV35" s="23">
        <f>EXP(-LN(2)/25)*AV34+(1-EXP(-LN(2)/25))/(LN(2)/25)*Calculateur!AQ35*Calculateur!AS35*VLOOKUP('Données projet'!$B$10,Paramètres!$A$1:$I$89,3,0)*0.475*44/12</f>
        <v>6.2829009489797949</v>
      </c>
      <c r="AW35" s="23">
        <f>EXP(-LN(2)/2)*AW34+(1-EXP(-LN(2)/2))/(LN(2)/2)*AQ35*AT35*VLOOKUP('Données projet'!$B$10,Paramètres!$A$1:$I$89,3,0)*0.475*44/12</f>
        <v>1.3881124942847167</v>
      </c>
      <c r="AX35" s="23">
        <f t="shared" si="6"/>
        <v>16.033484133869592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59.289830052834716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45">
      <c r="A36" s="11">
        <f t="shared" si="31"/>
        <v>33</v>
      </c>
      <c r="B36" s="77">
        <f>'Scénario référence'!$B$16*5+'Scénario référence'!$B$17*0+'Scénario référence'!$B$18*5</f>
        <v>3.75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13.75</v>
      </c>
      <c r="H36" s="70">
        <f t="shared" si="1"/>
        <v>201.66666666666666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159.64393915572111</v>
      </c>
      <c r="T36" s="62">
        <f t="shared" si="34"/>
        <v>389.58290705889829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65.700095761430404</v>
      </c>
      <c r="AA36" s="23">
        <f>EXP(-LN(2)/25)*AA35+(1-EXP(-LN(2)/25))/(LN(2)/25)*Calculateur!V36*Calculateur!X36*VLOOKUP('Données projet'!$B$9,Paramètres!$A$1:$I$89,3,0)*0.475*44/12</f>
        <v>16.229199551341541</v>
      </c>
      <c r="AB36" s="23">
        <f>EXP(-LN(2)/2)*AB35+(1-EXP(-LN(2)/2))/(LN(2)/2)*V36*Y36*VLOOKUP('Données projet'!$B$9,Paramètres!$A$1:$I$89,3,0)*0.475*44/12</f>
        <v>0</v>
      </c>
      <c r="AC36" s="24">
        <f t="shared" si="3"/>
        <v>81.929295312771941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12.84</v>
      </c>
      <c r="AI36" s="14">
        <f>IF('Données projet'!$A$62&gt;35,AI35+AH36-AQ35,IF(A36&lt;'Données projet'!$A$62,$AF$205^A36,IF(A36='Données projet'!$A$62,'Données projet'!$B$62,AI35+AH36-AQ35)))</f>
        <v>220.11999999999998</v>
      </c>
      <c r="AJ36" s="14">
        <f>AI36*VLOOKUP('Données projet'!$B$10,Paramètres!$A$1:$I$89,3,0)*VLOOKUP('Données projet'!$B$10,Paramètres!$A$1:$I$89,5,0)</f>
        <v>103.01615999999999</v>
      </c>
      <c r="AK36" s="14">
        <f t="shared" si="35"/>
        <v>27.67930865112012</v>
      </c>
      <c r="AL36" s="22">
        <f t="shared" si="4"/>
        <v>227.62794123403418</v>
      </c>
      <c r="AM36" s="62">
        <f t="shared" si="5"/>
        <v>482.37190894327313</v>
      </c>
      <c r="AN36" s="62">
        <f ca="1">AVERAGE(OFFSET($AM$3,0,0,'Données projet'!$E$10+1,1))-AVERAGE(OFFSET($H$3,0,0,'Données projet'!$E$10+1,1))</f>
        <v>442.01983807226742</v>
      </c>
      <c r="AO36" s="62">
        <f t="shared" si="36"/>
        <v>276.48668026732219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8.1984877409657955</v>
      </c>
      <c r="AV36" s="23">
        <f>EXP(-LN(2)/25)*AV35+(1-EXP(-LN(2)/25))/(LN(2)/25)*Calculateur!AQ36*Calculateur!AS36*VLOOKUP('Données projet'!$B$10,Paramètres!$A$1:$I$89,3,0)*0.475*44/12</f>
        <v>6.1110946921265414</v>
      </c>
      <c r="AW36" s="23">
        <f>EXP(-LN(2)/2)*AW35+(1-EXP(-LN(2)/2))/(LN(2)/2)*AQ36*AT36*VLOOKUP('Données projet'!$B$10,Paramètres!$A$1:$I$89,3,0)*0.475*44/12</f>
        <v>0.981543757758496</v>
      </c>
      <c r="AX36" s="23">
        <f t="shared" si="6"/>
        <v>15.291126190850834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59.47562755706516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45">
      <c r="A37" s="11">
        <f t="shared" si="31"/>
        <v>34</v>
      </c>
      <c r="B37" s="77">
        <f>'Scénario référence'!$B$16*5+'Scénario référence'!$B$17*0+'Scénario référence'!$B$18*5</f>
        <v>3.75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13.75</v>
      </c>
      <c r="H37" s="70">
        <f t="shared" si="1"/>
        <v>201.66666666666666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159.64393915572111</v>
      </c>
      <c r="T37" s="62">
        <f t="shared" si="34"/>
        <v>389.58290705889829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64.411756956650279</v>
      </c>
      <c r="AA37" s="23">
        <f>EXP(-LN(2)/25)*AA36+(1-EXP(-LN(2)/25))/(LN(2)/25)*Calculateur!V37*Calculateur!X37*VLOOKUP('Données projet'!$B$9,Paramètres!$A$1:$I$89,3,0)*0.475*44/12</f>
        <v>15.785411236153594</v>
      </c>
      <c r="AB37" s="23">
        <f>EXP(-LN(2)/2)*AB36+(1-EXP(-LN(2)/2))/(LN(2)/2)*V37*Y37*VLOOKUP('Données projet'!$B$9,Paramètres!$A$1:$I$89,3,0)*0.475*44/12</f>
        <v>0</v>
      </c>
      <c r="AC37" s="24">
        <f t="shared" si="3"/>
        <v>80.197168192803872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12.84</v>
      </c>
      <c r="AI37" s="14">
        <f>IF('Données projet'!$A$62&gt;35,AI36+AH37-AQ36,IF(A37&lt;'Données projet'!$A$62,$AF$205^A37,IF(A37='Données projet'!$A$62,'Données projet'!$B$62,AI36+AH37-AQ36)))</f>
        <v>232.95999999999998</v>
      </c>
      <c r="AJ37" s="14">
        <f>AI37*VLOOKUP('Données projet'!$B$10,Paramètres!$A$1:$I$89,3,0)*VLOOKUP('Données projet'!$B$10,Paramètres!$A$1:$I$89,5,0)</f>
        <v>109.02527999999998</v>
      </c>
      <c r="AK37" s="14">
        <f t="shared" si="35"/>
        <v>29.101214110737224</v>
      </c>
      <c r="AL37" s="22">
        <f t="shared" si="4"/>
        <v>240.57031057620065</v>
      </c>
      <c r="AM37" s="62">
        <f t="shared" si="5"/>
        <v>495.98371750612068</v>
      </c>
      <c r="AN37" s="62">
        <f ca="1">AVERAGE(OFFSET($AM$3,0,0,'Données projet'!$E$10+1,1))-AVERAGE(OFFSET($H$3,0,0,'Données projet'!$E$10+1,1))</f>
        <v>442.01983807226742</v>
      </c>
      <c r="AO37" s="62">
        <f t="shared" si="36"/>
        <v>276.48668026732219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8.0377203969492115</v>
      </c>
      <c r="AV37" s="23">
        <f>EXP(-LN(2)/25)*AV36+(1-EXP(-LN(2)/25))/(LN(2)/25)*Calculateur!AQ37*Calculateur!AS37*VLOOKUP('Données projet'!$B$10,Paramètres!$A$1:$I$89,3,0)*0.475*44/12</f>
        <v>5.9439864864018386</v>
      </c>
      <c r="AW37" s="23">
        <f>EXP(-LN(2)/2)*AW36+(1-EXP(-LN(2)/2))/(LN(2)/2)*AQ37*AT37*VLOOKUP('Données projet'!$B$10,Paramètres!$A$1:$I$89,3,0)*0.475*44/12</f>
        <v>0.69405624714235847</v>
      </c>
      <c r="AX37" s="23">
        <f t="shared" si="6"/>
        <v>14.675763130493408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59.658201889978194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45">
      <c r="A38" s="11">
        <f t="shared" si="31"/>
        <v>35</v>
      </c>
      <c r="B38" s="77">
        <f>'Scénario référence'!$B$16*5+'Scénario référence'!$B$17*0+'Scénario référence'!$B$18*5</f>
        <v>3.75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13.75</v>
      </c>
      <c r="H38" s="70">
        <f t="shared" si="1"/>
        <v>201.66666666666666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159.64393915572111</v>
      </c>
      <c r="T38" s="62">
        <f t="shared" si="34"/>
        <v>389.58290705889829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63.148681690022812</v>
      </c>
      <c r="AA38" s="23">
        <f>EXP(-LN(2)/25)*AA37+(1-EXP(-LN(2)/25))/(LN(2)/25)*Calculateur!V38*Calculateur!X38*VLOOKUP('Données projet'!$B$9,Paramètres!$A$1:$I$89,3,0)*0.475*44/12</f>
        <v>15.353758335782276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78.502440025805086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12.84</v>
      </c>
      <c r="AI38" s="14">
        <f>IF('Données projet'!$A$62&gt;35,AI37+AH38-AQ37,IF(A38&lt;'Données projet'!$A$62,$AF$205^A38,IF(A38='Données projet'!$A$62,'Données projet'!$B$62,AI37+AH38-AQ37)))</f>
        <v>245.79999999999998</v>
      </c>
      <c r="AJ38" s="14">
        <f>AI38*VLOOKUP('Données projet'!$B$10,Paramètres!$A$1:$I$89,3,0)*VLOOKUP('Données projet'!$B$10,Paramètres!$A$1:$I$89,5,0)</f>
        <v>115.03439999999999</v>
      </c>
      <c r="AK38" s="14">
        <f t="shared" si="35"/>
        <v>30.514021544691438</v>
      </c>
      <c r="AL38" s="22">
        <f t="shared" si="4"/>
        <v>253.49683419033752</v>
      </c>
      <c r="AM38" s="62">
        <f t="shared" si="5"/>
        <v>509.56806706710177</v>
      </c>
      <c r="AN38" s="62">
        <f ca="1">AVERAGE(OFFSET($AM$3,0,0,'Données projet'!$E$10+1,1))-AVERAGE(OFFSET($H$3,0,0,'Données projet'!$E$10+1,1))</f>
        <v>442.01983807226742</v>
      </c>
      <c r="AO38" s="62">
        <f t="shared" si="36"/>
        <v>276.48668026732219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7.8801056024903957</v>
      </c>
      <c r="AV38" s="23">
        <f>EXP(-LN(2)/25)*AV37+(1-EXP(-LN(2)/25))/(LN(2)/25)*Calculateur!AQ38*Calculateur!AS38*VLOOKUP('Données projet'!$B$10,Paramètres!$A$1:$I$89,3,0)*0.475*44/12</f>
        <v>5.7814478633505164</v>
      </c>
      <c r="AW38" s="23">
        <f>EXP(-LN(2)/2)*AW37+(1-EXP(-LN(2)/2))/(LN(2)/2)*AQ38*AT38*VLOOKUP('Données projet'!$B$10,Paramètres!$A$1:$I$89,3,0)*0.475*44/12</f>
        <v>0.49077187887924806</v>
      </c>
      <c r="AX38" s="23">
        <f t="shared" si="6"/>
        <v>14.152325344720159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59.837608966390235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45">
      <c r="A39" s="11">
        <f t="shared" si="31"/>
        <v>36</v>
      </c>
      <c r="B39" s="77">
        <f>'Scénario référence'!$B$16*5+'Scénario référence'!$B$17*0+'Scénario référence'!$B$18*5</f>
        <v>3.75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13.75</v>
      </c>
      <c r="H39" s="70">
        <f t="shared" si="1"/>
        <v>201.66666666666666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159.64393915572111</v>
      </c>
      <c r="T39" s="62">
        <f t="shared" si="34"/>
        <v>389.58290705889829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61.91037455897407</v>
      </c>
      <c r="AA39" s="23">
        <f>EXP(-LN(2)/25)*AA38+(1-EXP(-LN(2)/25))/(LN(2)/25)*Calculateur!V39*Calculateur!X39*VLOOKUP('Données projet'!$B$9,Paramètres!$A$1:$I$89,3,0)*0.475*44/12</f>
        <v>14.93390900667125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76.844283565645327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12.84</v>
      </c>
      <c r="AI39" s="14">
        <f>IF('Données projet'!$A$62&gt;35,AI38+AH39-AQ38,IF(A39&lt;'Données projet'!$A$62,$AF$205^A39,IF(A39='Données projet'!$A$62,'Données projet'!$B$62,AI38+AH39-AQ38)))</f>
        <v>258.64</v>
      </c>
      <c r="AJ39" s="14">
        <f>AI39*VLOOKUP('Données projet'!$B$10,Paramètres!$A$1:$I$89,3,0)*VLOOKUP('Données projet'!$B$10,Paramètres!$A$1:$I$89,5,0)</f>
        <v>121.04352</v>
      </c>
      <c r="AK39" s="14">
        <f t="shared" si="35"/>
        <v>31.918260416023109</v>
      </c>
      <c r="AL39" s="22">
        <f t="shared" si="4"/>
        <v>266.40843422457357</v>
      </c>
      <c r="AM39" s="62">
        <f t="shared" si="5"/>
        <v>523.12608123868267</v>
      </c>
      <c r="AN39" s="62">
        <f ca="1">AVERAGE(OFFSET($AM$3,0,0,'Données projet'!$E$10+1,1))-AVERAGE(OFFSET($H$3,0,0,'Données projet'!$E$10+1,1))</f>
        <v>442.01983807226742</v>
      </c>
      <c r="AO39" s="62">
        <f t="shared" si="36"/>
        <v>276.48668026732219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7.7255815380153852</v>
      </c>
      <c r="AV39" s="23">
        <f>EXP(-LN(2)/25)*AV38+(1-EXP(-LN(2)/25))/(LN(2)/25)*Calculateur!AQ39*Calculateur!AS39*VLOOKUP('Données projet'!$B$10,Paramètres!$A$1:$I$89,3,0)*0.475*44/12</f>
        <v>5.6233538674940675</v>
      </c>
      <c r="AW39" s="23">
        <f>EXP(-LN(2)/2)*AW38+(1-EXP(-LN(2)/2))/(LN(2)/2)*AQ39*AT39*VLOOKUP('Données projet'!$B$10,Paramètres!$A$1:$I$89,3,0)*0.475*44/12</f>
        <v>0.34702812357117929</v>
      </c>
      <c r="AX39" s="23">
        <f t="shared" si="6"/>
        <v>13.695963529080633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60.013903731120678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45">
      <c r="A40" s="11">
        <f t="shared" si="31"/>
        <v>37</v>
      </c>
      <c r="B40" s="77">
        <f>'Scénario référence'!$B$16*5+'Scénario référence'!$B$17*0+'Scénario référence'!$B$18*5</f>
        <v>3.75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13.75</v>
      </c>
      <c r="H40" s="70">
        <f t="shared" si="1"/>
        <v>201.66666666666666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159.64393915572111</v>
      </c>
      <c r="T40" s="62">
        <f t="shared" si="34"/>
        <v>389.58290705889829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60.696349875472421</v>
      </c>
      <c r="AA40" s="23">
        <f>EXP(-LN(2)/25)*AA39+(1-EXP(-LN(2)/25))/(LN(2)/25)*Calculateur!V40*Calculateur!X40*VLOOKUP('Données projet'!$B$9,Paramètres!$A$1:$I$89,3,0)*0.475*44/12</f>
        <v>14.525540479543682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75.2218903550161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12.84</v>
      </c>
      <c r="AI40" s="14">
        <f>IF('Données projet'!$A$62&gt;35,AI39+AH40-AQ39,IF(A40&lt;'Données projet'!$A$62,$AF$205^A40,IF(A40='Données projet'!$A$62,'Données projet'!$B$62,AI39+AH40-AQ39)))</f>
        <v>271.47999999999996</v>
      </c>
      <c r="AJ40" s="14">
        <f>AI40*VLOOKUP('Données projet'!$B$10,Paramètres!$A$1:$I$89,3,0)*VLOOKUP('Données projet'!$B$10,Paramètres!$A$1:$I$89,5,0)</f>
        <v>127.05263999999998</v>
      </c>
      <c r="AK40" s="14">
        <f t="shared" si="35"/>
        <v>33.314404648399972</v>
      </c>
      <c r="AL40" s="22">
        <f t="shared" si="4"/>
        <v>279.3059360959632</v>
      </c>
      <c r="AM40" s="62">
        <f t="shared" si="5"/>
        <v>536.65878340729978</v>
      </c>
      <c r="AN40" s="62">
        <f ca="1">AVERAGE(OFFSET($AM$3,0,0,'Données projet'!$E$10+1,1))-AVERAGE(OFFSET($H$3,0,0,'Données projet'!$E$10+1,1))</f>
        <v>442.01983807226742</v>
      </c>
      <c r="AO40" s="62">
        <f t="shared" si="36"/>
        <v>276.48668026732219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7.5740875961943566</v>
      </c>
      <c r="AV40" s="23">
        <f>EXP(-LN(2)/25)*AV39+(1-EXP(-LN(2)/25))/(LN(2)/25)*Calculateur!AQ40*Calculateur!AS40*VLOOKUP('Données projet'!$B$10,Paramètres!$A$1:$I$89,3,0)*0.475*44/12</f>
        <v>5.4695829602681147</v>
      </c>
      <c r="AW40" s="23">
        <f>EXP(-LN(2)/2)*AW39+(1-EXP(-LN(2)/2))/(LN(2)/2)*AQ40*AT40*VLOOKUP('Données projet'!$B$10,Paramètres!$A$1:$I$89,3,0)*0.475*44/12</f>
        <v>0.24538593943962406</v>
      </c>
      <c r="AX40" s="23">
        <f t="shared" si="6"/>
        <v>13.289056495902095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60.187140175819088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45">
      <c r="A41" s="11">
        <f t="shared" si="31"/>
        <v>38</v>
      </c>
      <c r="B41" s="77">
        <f>'Scénario référence'!$B$16*5+'Scénario référence'!$B$17*0+'Scénario référence'!$B$18*5</f>
        <v>3.75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13.75</v>
      </c>
      <c r="H41" s="70">
        <f t="shared" si="1"/>
        <v>201.66666666666666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159.64393915572111</v>
      </c>
      <c r="T41" s="62">
        <f t="shared" si="34"/>
        <v>389.58290705889829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59.5061314755323</v>
      </c>
      <c r="AA41" s="23">
        <f>EXP(-LN(2)/25)*AA40+(1-EXP(-LN(2)/25))/(LN(2)/25)*Calculateur!V41*Calculateur!X41*VLOOKUP('Données projet'!$B$9,Paramètres!$A$1:$I$89,3,0)*0.475*44/12</f>
        <v>14.128338811265586</v>
      </c>
      <c r="AB41" s="23">
        <f>EXP(-LN(2)/2)*AB40+(1-EXP(-LN(2)/2))/(LN(2)/2)*V41*Y41*VLOOKUP('Données projet'!$B$9,Paramètres!$A$1:$I$89,3,0)*0.475*44/12</f>
        <v>0</v>
      </c>
      <c r="AC41" s="24">
        <f t="shared" si="3"/>
        <v>73.634470286797892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12.84</v>
      </c>
      <c r="AI41" s="14">
        <f>IF('Données projet'!$A$62&gt;35,AI40+AH41-AQ40,IF(A41&lt;'Données projet'!$A$62,$AF$205^A41,IF(A41='Données projet'!$A$62,'Données projet'!$B$62,AI40+AH41-AQ40)))</f>
        <v>284.31999999999994</v>
      </c>
      <c r="AJ41" s="14">
        <f>AI41*VLOOKUP('Données projet'!$B$10,Paramètres!$A$1:$I$89,3,0)*VLOOKUP('Données projet'!$B$10,Paramètres!$A$1:$I$89,5,0)</f>
        <v>133.06175999999996</v>
      </c>
      <c r="AK41" s="14">
        <f t="shared" si="35"/>
        <v>34.702880802565176</v>
      </c>
      <c r="AL41" s="22">
        <f t="shared" si="4"/>
        <v>292.19008273113428</v>
      </c>
      <c r="AM41" s="62">
        <f t="shared" si="5"/>
        <v>550.16711103463672</v>
      </c>
      <c r="AN41" s="62">
        <f ca="1">AVERAGE(OFFSET($AM$3,0,0,'Données projet'!$E$10+1,1))-AVERAGE(OFFSET($H$3,0,0,'Données projet'!$E$10+1,1))</f>
        <v>442.01983807226742</v>
      </c>
      <c r="AO41" s="62">
        <f t="shared" si="36"/>
        <v>276.48668026732219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7.4255643581702575</v>
      </c>
      <c r="AV41" s="23">
        <f>EXP(-LN(2)/25)*AV40+(1-EXP(-LN(2)/25))/(LN(2)/25)*Calculateur!AQ41*Calculateur!AS41*VLOOKUP('Données projet'!$B$10,Paramètres!$A$1:$I$89,3,0)*0.475*44/12</f>
        <v>5.3200169265867165</v>
      </c>
      <c r="AW41" s="23">
        <f>EXP(-LN(2)/2)*AW40+(1-EXP(-LN(2)/2))/(LN(2)/2)*AQ41*AT41*VLOOKUP('Données projet'!$B$10,Paramètres!$A$1:$I$89,3,0)*0.475*44/12</f>
        <v>0.17351406178558967</v>
      </c>
      <c r="AX41" s="23">
        <f t="shared" si="6"/>
        <v>12.919095346542562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60.357371355500653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45">
      <c r="A42" s="11">
        <f t="shared" si="31"/>
        <v>39</v>
      </c>
      <c r="B42" s="77">
        <f>'Scénario référence'!$B$16*5+'Scénario référence'!$B$17*0+'Scénario référence'!$B$18*5</f>
        <v>3.75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13.75</v>
      </c>
      <c r="H42" s="70">
        <f t="shared" si="1"/>
        <v>201.66666666666666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159.64393915572111</v>
      </c>
      <c r="T42" s="62">
        <f t="shared" si="34"/>
        <v>389.58290705889829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58.339252532453465</v>
      </c>
      <c r="AA42" s="23">
        <f>EXP(-LN(2)/25)*AA41+(1-EXP(-LN(2)/25))/(LN(2)/25)*Calculateur!V42*Calculateur!X42*VLOOKUP('Données projet'!$B$9,Paramètres!$A$1:$I$89,3,0)*0.475*44/12</f>
        <v>13.741998643494481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72.081251175947941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12.84</v>
      </c>
      <c r="AI42" s="14">
        <f>IF('Données projet'!$A$62&gt;35,AI41+AH42-AQ41,IF(A42&lt;'Données projet'!$A$62,$AF$205^A42,IF(A42='Données projet'!$A$62,'Données projet'!$B$62,AI41+AH42-AQ41)))</f>
        <v>297.15999999999991</v>
      </c>
      <c r="AJ42" s="14">
        <f>AI42*VLOOKUP('Données projet'!$B$10,Paramètres!$A$1:$I$89,3,0)*VLOOKUP('Données projet'!$B$10,Paramètres!$A$1:$I$89,5,0)</f>
        <v>139.07087999999996</v>
      </c>
      <c r="AK42" s="14">
        <f t="shared" si="35"/>
        <v>36.084074734040108</v>
      </c>
      <c r="AL42" s="22">
        <f t="shared" si="4"/>
        <v>305.06154616178645</v>
      </c>
      <c r="AM42" s="62">
        <f t="shared" si="5"/>
        <v>563.65192731270008</v>
      </c>
      <c r="AN42" s="62">
        <f ca="1">AVERAGE(OFFSET($AM$3,0,0,'Données projet'!$E$10+1,1))-AVERAGE(OFFSET($H$3,0,0,'Données projet'!$E$10+1,1))</f>
        <v>442.01983807226742</v>
      </c>
      <c r="AO42" s="62">
        <f t="shared" si="36"/>
        <v>276.48668026732219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7.2799535702535811</v>
      </c>
      <c r="AV42" s="23">
        <f>EXP(-LN(2)/25)*AV41+(1-EXP(-LN(2)/25))/(LN(2)/25)*Calculateur!AQ42*Calculateur!AS42*VLOOKUP('Données projet'!$B$10,Paramètres!$A$1:$I$89,3,0)*0.475*44/12</f>
        <v>5.1745407839616719</v>
      </c>
      <c r="AW42" s="23">
        <f>EXP(-LN(2)/2)*AW41+(1-EXP(-LN(2)/2))/(LN(2)/2)*AQ42*AT42*VLOOKUP('Données projet'!$B$10,Paramètres!$A$1:$I$89,3,0)*0.475*44/12</f>
        <v>0.12269296971981206</v>
      </c>
      <c r="AX42" s="23">
        <f t="shared" si="6"/>
        <v>12.577187323935066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60.524649404794644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45">
      <c r="A43" s="11">
        <f t="shared" si="31"/>
        <v>40</v>
      </c>
      <c r="B43" s="77">
        <f>'Scénario référence'!$B$16*5+'Scénario référence'!$B$17*0+'Scénario référence'!$B$18*5</f>
        <v>3.75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13.75</v>
      </c>
      <c r="H43" s="70">
        <f t="shared" si="1"/>
        <v>201.66666666666666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159.64393915572111</v>
      </c>
      <c r="T43" s="62">
        <f t="shared" si="34"/>
        <v>389.58290705889829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57.195255373722524</v>
      </c>
      <c r="AA43" s="23">
        <f>EXP(-LN(2)/25)*AA42+(1-EXP(-LN(2)/25))/(LN(2)/25)*Calculateur!V43*Calculateur!X43*VLOOKUP('Données projet'!$B$9,Paramètres!$A$1:$I$89,3,0)*0.475*44/12</f>
        <v>13.366222967927824</v>
      </c>
      <c r="AB43" s="23">
        <f>EXP(-LN(2)/2)*AB42+(1-EXP(-LN(2)/2))/(LN(2)/2)*V43*Y43*VLOOKUP('Données projet'!$B$9,Paramètres!$A$1:$I$89,3,0)*0.475*44/12</f>
        <v>0</v>
      </c>
      <c r="AC43" s="24">
        <f t="shared" si="3"/>
        <v>70.561478341650343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310</v>
      </c>
      <c r="AG43" s="13">
        <f>VLOOKUP(A43,'Données projet'!$A$61:$I$81,9,0)</f>
        <v>12.84</v>
      </c>
      <c r="AH43" s="13">
        <f t="array" ref="AH43">INDEX(AG:AG,MIN(IF(ISNUMBER(AG43:AG239),ROW(AG43:AG239),"")))</f>
        <v>12.84</v>
      </c>
      <c r="AI43" s="14">
        <f>IF('Données projet'!$A$62&gt;35,AI42+AH43-AQ42,IF(A43&lt;'Données projet'!$A$62,$AF$205^A43,IF(A43='Données projet'!$A$62,'Données projet'!$B$62,AI42+AH43-AQ42)))</f>
        <v>309.99999999999989</v>
      </c>
      <c r="AJ43" s="14">
        <f>AI43*VLOOKUP('Données projet'!$B$10,Paramètres!$A$1:$I$89,3,0)*VLOOKUP('Données projet'!$B$10,Paramètres!$A$1:$I$89,5,0)</f>
        <v>145.07999999999996</v>
      </c>
      <c r="AK43" s="14">
        <f t="shared" si="35"/>
        <v>37.458337067672986</v>
      </c>
      <c r="AL43" s="22">
        <f t="shared" si="4"/>
        <v>317.92093705953039</v>
      </c>
      <c r="AM43" s="62">
        <f t="shared" si="5"/>
        <v>577.11403075720432</v>
      </c>
      <c r="AN43" s="62">
        <f ca="1">AVERAGE(OFFSET($AM$3,0,0,'Données projet'!$E$10+1,1))-AVERAGE(OFFSET($H$3,0,0,'Données projet'!$E$10+1,1))</f>
        <v>442.01983807226742</v>
      </c>
      <c r="AO43" s="62">
        <f t="shared" si="36"/>
        <v>276.48668026732219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52.26666666666668</v>
      </c>
      <c r="AR43" s="17">
        <f>IF(ISNA(VLOOKUP(A43,'Données projet'!$A$61:$I$81,5,0)),0%,VLOOKUP(A43,'Données projet'!$A$61:$I$81,5,0)*VLOOKUP('Données projet'!$B$10,Paramètres!$A$1:$I$89,7,0))</f>
        <v>0.38500000000000001</v>
      </c>
      <c r="AS43" s="17">
        <f>IF(ISNA(VLOOKUP(A43,'Données projet'!$A$61:$I$81,6,0)),0%,VLOOKUP(A43,'Données projet'!$A$61:$I$81,6,0)*VLOOKUP('Données projet'!$B$10,Paramètres!$A$1:$I$89,7,0))</f>
        <v>9.240000000000001E-2</v>
      </c>
      <c r="AT43" s="17">
        <f>IF(ISNA(VLOOKUP(A43,'Données projet'!$A$61:$I$81,7,0)),0%,VLOOKUP(A43,'Données projet'!$A$61:$I$81,7,0))</f>
        <v>0.13200000000000001</v>
      </c>
      <c r="AU43" s="23">
        <f>EXP(-LN(2)/35)*AU42+(1-EXP(-LN(2)/35))/(LN(2)/35)*AQ43*AR43*VLOOKUP('Données projet'!$B$10,Paramètres!$A$1:$I$89,3,0)*0.475*44/12</f>
        <v>19.629996836246111</v>
      </c>
      <c r="AV43" s="23">
        <f>EXP(-LN(2)/25)*AV42+(1-EXP(-LN(2)/25))/(LN(2)/25)*Calculateur!AQ43*Calculateur!AS43*VLOOKUP('Données projet'!$B$10,Paramètres!$A$1:$I$89,3,0)*0.475*44/12</f>
        <v>8.0195090476671691</v>
      </c>
      <c r="AW43" s="23">
        <f>EXP(-LN(2)/2)*AW42+(1-EXP(-LN(2)/2))/(LN(2)/2)*AQ43*AT43*VLOOKUP('Données projet'!$B$10,Paramètres!$A$1:$I$89,3,0)*0.475*44/12</f>
        <v>3.7425376582930654</v>
      </c>
      <c r="AX43" s="23">
        <f t="shared" si="6"/>
        <v>31.392043542206345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60.68902555391108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45">
      <c r="A44" s="11">
        <f t="shared" si="31"/>
        <v>41</v>
      </c>
      <c r="B44" s="77">
        <f>'Scénario référence'!$B$16*5+'Scénario référence'!$B$17*0+'Scénario référence'!$B$18*5</f>
        <v>3.75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13.75</v>
      </c>
      <c r="H44" s="70">
        <f t="shared" si="1"/>
        <v>201.66666666666666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159.64393915572111</v>
      </c>
      <c r="T44" s="62">
        <f t="shared" si="34"/>
        <v>389.58290705889829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56.07369130150493</v>
      </c>
      <c r="AA44" s="23">
        <f>EXP(-LN(2)/25)*AA43+(1-EXP(-LN(2)/25))/(LN(2)/25)*Calculateur!V44*Calculateur!X44*VLOOKUP('Données projet'!$B$9,Paramètres!$A$1:$I$89,3,0)*0.475*44/12</f>
        <v>13.00072289797072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69.074414199475655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23.826666666666664</v>
      </c>
      <c r="AI44" s="14">
        <f>IF('Données projet'!$A$62&gt;35,AI43+AH44-AQ43,IF(A44&lt;'Données projet'!$A$62,$AF$205^A44,IF(A44='Données projet'!$A$62,'Données projet'!$B$62,AI43+AH44-AQ43)))</f>
        <v>281.55999999999983</v>
      </c>
      <c r="AJ44" s="14">
        <f>AI44*VLOOKUP('Données projet'!$B$10,Paramètres!$A$1:$I$89,3,0)*VLOOKUP('Données projet'!$B$10,Paramètres!$A$1:$I$89,5,0)</f>
        <v>131.77007999999992</v>
      </c>
      <c r="AK44" s="14">
        <f t="shared" si="35"/>
        <v>34.405050356859206</v>
      </c>
      <c r="AL44" s="22">
        <f t="shared" si="4"/>
        <v>289.42168537152969</v>
      </c>
      <c r="AM44" s="62">
        <f t="shared" si="5"/>
        <v>549.20703590074095</v>
      </c>
      <c r="AN44" s="62">
        <f ca="1">AVERAGE(OFFSET($AM$3,0,0,'Données projet'!$E$10+1,1))-AVERAGE(OFFSET($H$3,0,0,'Données projet'!$E$10+1,1))</f>
        <v>442.01983807226742</v>
      </c>
      <c r="AO44" s="62">
        <f t="shared" si="36"/>
        <v>276.48668026732219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19.245064571403148</v>
      </c>
      <c r="AV44" s="23">
        <f>EXP(-LN(2)/25)*AV43+(1-EXP(-LN(2)/25))/(LN(2)/25)*Calculateur!AQ44*Calculateur!AS44*VLOOKUP('Données projet'!$B$10,Paramètres!$A$1:$I$89,3,0)*0.475*44/12</f>
        <v>7.8002151510310584</v>
      </c>
      <c r="AW44" s="23">
        <f>EXP(-LN(2)/2)*AW43+(1-EXP(-LN(2)/2))/(LN(2)/2)*AQ44*AT44*VLOOKUP('Données projet'!$B$10,Paramètres!$A$1:$I$89,3,0)*0.475*44/12</f>
        <v>2.646373757025049</v>
      </c>
      <c r="AX44" s="23">
        <f t="shared" si="6"/>
        <v>29.691653479459255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60.850550144330349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45">
      <c r="A45" s="11">
        <f t="shared" si="31"/>
        <v>42</v>
      </c>
      <c r="B45" s="77">
        <f>'Scénario référence'!$B$16*5+'Scénario référence'!$B$17*0+'Scénario référence'!$B$18*5</f>
        <v>3.75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13.75</v>
      </c>
      <c r="H45" s="70">
        <f t="shared" si="1"/>
        <v>201.66666666666666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159.64393915572111</v>
      </c>
      <c r="T45" s="62">
        <f t="shared" si="34"/>
        <v>389.58290705889829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54.974120416656987</v>
      </c>
      <c r="AA45" s="23">
        <f>EXP(-LN(2)/25)*AA44+(1-EXP(-LN(2)/25))/(LN(2)/25)*Calculateur!V45*Calculateur!X45*VLOOKUP('Données projet'!$B$9,Paramètres!$A$1:$I$89,3,0)*0.475*44/12</f>
        <v>12.645217446647406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67.619337863304395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23.826666666666664</v>
      </c>
      <c r="AI45" s="14">
        <f>IF('Données projet'!$A$62&gt;35,AI44+AH45-AQ44,IF(A45&lt;'Données projet'!$A$62,$AF$205^A45,IF(A45='Données projet'!$A$62,'Données projet'!$B$62,AI44+AH45-AQ44)))</f>
        <v>305.38666666666649</v>
      </c>
      <c r="AJ45" s="14">
        <f>AI45*VLOOKUP('Données projet'!$B$10,Paramètres!$A$1:$I$89,3,0)*VLOOKUP('Données projet'!$B$10,Paramètres!$A$1:$I$89,5,0)</f>
        <v>142.92095999999992</v>
      </c>
      <c r="AK45" s="14">
        <f t="shared" si="35"/>
        <v>36.965350113713619</v>
      </c>
      <c r="AL45" s="22">
        <f t="shared" si="4"/>
        <v>313.30199011471774</v>
      </c>
      <c r="AM45" s="62">
        <f t="shared" si="5"/>
        <v>573.66932314352709</v>
      </c>
      <c r="AN45" s="62">
        <f ca="1">AVERAGE(OFFSET($AM$3,0,0,'Données projet'!$E$10+1,1))-AVERAGE(OFFSET($H$3,0,0,'Données projet'!$E$10+1,1))</f>
        <v>442.01983807226742</v>
      </c>
      <c r="AO45" s="62">
        <f t="shared" si="36"/>
        <v>276.48668026732219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18.867680593488256</v>
      </c>
      <c r="AV45" s="23">
        <f>EXP(-LN(2)/25)*AV44+(1-EXP(-LN(2)/25))/(LN(2)/25)*Calculateur!AQ45*Calculateur!AS45*VLOOKUP('Données projet'!$B$10,Paramètres!$A$1:$I$89,3,0)*0.475*44/12</f>
        <v>7.5869178575306266</v>
      </c>
      <c r="AW45" s="23">
        <f>EXP(-LN(2)/2)*AW44+(1-EXP(-LN(2)/2))/(LN(2)/2)*AQ45*AT45*VLOOKUP('Données projet'!$B$10,Paramètres!$A$1:$I$89,3,0)*0.475*44/12</f>
        <v>1.8712688291465331</v>
      </c>
      <c r="AX45" s="23">
        <f t="shared" si="6"/>
        <v>28.325867280165415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61.009272644220736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45">
      <c r="A46" s="11">
        <f t="shared" si="31"/>
        <v>43</v>
      </c>
      <c r="B46" s="77">
        <f>'Scénario référence'!$B$16*5+'Scénario référence'!$B$17*0+'Scénario référence'!$B$18*5</f>
        <v>3.75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13.75</v>
      </c>
      <c r="H46" s="70">
        <f t="shared" si="1"/>
        <v>201.66666666666666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159.64393915572111</v>
      </c>
      <c r="T46" s="62">
        <f t="shared" si="34"/>
        <v>389.58290705889829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53.896111446188897</v>
      </c>
      <c r="AA46" s="23">
        <f>EXP(-LN(2)/25)*AA45+(1-EXP(-LN(2)/25))/(LN(2)/25)*Calculateur!V46*Calculateur!X46*VLOOKUP('Données projet'!$B$9,Paramètres!$A$1:$I$89,3,0)*0.475*44/12</f>
        <v>12.299433310585748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66.195544756774638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23.826666666666664</v>
      </c>
      <c r="AI46" s="14">
        <f>IF('Données projet'!$A$62&gt;35,AI45+AH46-AQ45,IF(A46&lt;'Données projet'!$A$62,$AF$205^A46,IF(A46='Données projet'!$A$62,'Données projet'!$B$62,AI45+AH46-AQ45)))</f>
        <v>329.21333333333314</v>
      </c>
      <c r="AJ46" s="14">
        <f>AI46*VLOOKUP('Données projet'!$B$10,Paramètres!$A$1:$I$89,3,0)*VLOOKUP('Données projet'!$B$10,Paramètres!$A$1:$I$89,5,0)</f>
        <v>154.07183999999992</v>
      </c>
      <c r="AK46" s="14">
        <f t="shared" si="35"/>
        <v>39.502478510588951</v>
      </c>
      <c r="AL46" s="22">
        <f t="shared" si="4"/>
        <v>337.14193807260898</v>
      </c>
      <c r="AM46" s="62">
        <f t="shared" si="5"/>
        <v>598.08115750576633</v>
      </c>
      <c r="AN46" s="62">
        <f ca="1">AVERAGE(OFFSET($AM$3,0,0,'Données projet'!$E$10+1,1))-AVERAGE(OFFSET($H$3,0,0,'Données projet'!$E$10+1,1))</f>
        <v>442.01983807226742</v>
      </c>
      <c r="AO46" s="62">
        <f t="shared" si="36"/>
        <v>276.48668026732219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18.497696885198778</v>
      </c>
      <c r="AV46" s="23">
        <f>EXP(-LN(2)/25)*AV45+(1-EXP(-LN(2)/25))/(LN(2)/25)*Calculateur!AQ46*Calculateur!AS46*VLOOKUP('Données projet'!$B$10,Paramètres!$A$1:$I$89,3,0)*0.475*44/12</f>
        <v>7.3794531897377817</v>
      </c>
      <c r="AW46" s="23">
        <f>EXP(-LN(2)/2)*AW45+(1-EXP(-LN(2)/2))/(LN(2)/2)*AQ46*AT46*VLOOKUP('Données projet'!$B$10,Paramètres!$A$1:$I$89,3,0)*0.475*44/12</f>
        <v>1.3231868785125247</v>
      </c>
      <c r="AX46" s="23">
        <f t="shared" si="6"/>
        <v>27.200336953449082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61.165241663588375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45">
      <c r="A47" s="11">
        <f t="shared" si="31"/>
        <v>44</v>
      </c>
      <c r="B47" s="77">
        <f>'Scénario référence'!$B$16*5+'Scénario référence'!$B$17*0+'Scénario référence'!$B$18*5</f>
        <v>3.75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13.75</v>
      </c>
      <c r="H47" s="70">
        <f t="shared" si="1"/>
        <v>201.66666666666666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159.64393915572111</v>
      </c>
      <c r="T47" s="62">
        <f t="shared" si="34"/>
        <v>389.58290705889829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52.839241574111135</v>
      </c>
      <c r="AA47" s="23">
        <f>EXP(-LN(2)/25)*AA46+(1-EXP(-LN(2)/25))/(LN(2)/25)*Calculateur!V47*Calculateur!X47*VLOOKUP('Données projet'!$B$9,Paramètres!$A$1:$I$89,3,0)*0.475*44/12</f>
        <v>11.963104659908694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64.802346234019836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23.826666666666664</v>
      </c>
      <c r="AI47" s="14">
        <f>IF('Données projet'!$A$62&gt;35,AI46+AH47-AQ46,IF(A47&lt;'Données projet'!$A$62,$AF$205^A47,IF(A47='Données projet'!$A$62,'Données projet'!$B$62,AI46+AH47-AQ46)))</f>
        <v>353.03999999999979</v>
      </c>
      <c r="AJ47" s="14">
        <f>AI47*VLOOKUP('Données projet'!$B$10,Paramètres!$A$1:$I$89,3,0)*VLOOKUP('Données projet'!$B$10,Paramètres!$A$1:$I$89,5,0)</f>
        <v>165.2227199999999</v>
      </c>
      <c r="AK47" s="14">
        <f t="shared" si="35"/>
        <v>42.018303284605764</v>
      </c>
      <c r="AL47" s="22">
        <f t="shared" si="4"/>
        <v>360.94478222068818</v>
      </c>
      <c r="AM47" s="62">
        <f t="shared" si="5"/>
        <v>622.4459671076246</v>
      </c>
      <c r="AN47" s="62">
        <f ca="1">AVERAGE(OFFSET($AM$3,0,0,'Données projet'!$E$10+1,1))-AVERAGE(OFFSET($H$3,0,0,'Données projet'!$E$10+1,1))</f>
        <v>442.01983807226742</v>
      </c>
      <c r="AO47" s="62">
        <f t="shared" si="36"/>
        <v>276.48668026732219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18.134968331761076</v>
      </c>
      <c r="AV47" s="23">
        <f>EXP(-LN(2)/25)*AV46+(1-EXP(-LN(2)/25))/(LN(2)/25)*Calculateur!AQ47*Calculateur!AS47*VLOOKUP('Données projet'!$B$10,Paramètres!$A$1:$I$89,3,0)*0.475*44/12</f>
        <v>7.1776616541958251</v>
      </c>
      <c r="AW47" s="23">
        <f>EXP(-LN(2)/2)*AW46+(1-EXP(-LN(2)/2))/(LN(2)/2)*AQ47*AT47*VLOOKUP('Données projet'!$B$10,Paramètres!$A$1:$I$89,3,0)*0.475*44/12</f>
        <v>0.93563441457326668</v>
      </c>
      <c r="AX47" s="23">
        <f t="shared" si="6"/>
        <v>26.248264400530168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61.318504969164472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45">
      <c r="A48" s="11">
        <f t="shared" si="31"/>
        <v>45</v>
      </c>
      <c r="B48" s="77">
        <f>'Scénario référence'!$B$16*5+'Scénario référence'!$B$17*0+'Scénario référence'!$B$18*5</f>
        <v>3.75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13.75</v>
      </c>
      <c r="H48" s="70">
        <f t="shared" si="1"/>
        <v>201.66666666666666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159.64393915572111</v>
      </c>
      <c r="T48" s="62">
        <f t="shared" si="34"/>
        <v>389.58290705889829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51.803096275597852</v>
      </c>
      <c r="AA48" s="23">
        <f>EXP(-LN(2)/25)*AA47+(1-EXP(-LN(2)/25))/(LN(2)/25)*Calculateur!V48*Calculateur!X48*VLOOKUP('Données projet'!$B$9,Paramètres!$A$1:$I$89,3,0)*0.475*44/12</f>
        <v>11.635972933871159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63.439069209469011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23.826666666666664</v>
      </c>
      <c r="AI48" s="14">
        <f>IF('Données projet'!$A$62&gt;35,AI47+AH48-AQ47,IF(A48&lt;'Données projet'!$A$62,$AF$205^A48,IF(A48='Données projet'!$A$62,'Données projet'!$B$62,AI47+AH48-AQ47)))</f>
        <v>376.86666666666645</v>
      </c>
      <c r="AJ48" s="14">
        <f>AI48*VLOOKUP('Données projet'!$B$10,Paramètres!$A$1:$I$89,3,0)*VLOOKUP('Données projet'!$B$10,Paramètres!$A$1:$I$89,5,0)</f>
        <v>176.3735999999999</v>
      </c>
      <c r="AK48" s="14">
        <f t="shared" si="35"/>
        <v>44.514425799508132</v>
      </c>
      <c r="AL48" s="22">
        <f t="shared" si="4"/>
        <v>384.71331160080985</v>
      </c>
      <c r="AM48" s="62">
        <f t="shared" si="5"/>
        <v>646.76671309726873</v>
      </c>
      <c r="AN48" s="62">
        <f ca="1">AVERAGE(OFFSET($AM$3,0,0,'Données projet'!$E$10+1,1))-AVERAGE(OFFSET($H$3,0,0,'Données projet'!$E$10+1,1))</f>
        <v>442.01983807226742</v>
      </c>
      <c r="AO48" s="62">
        <f t="shared" si="36"/>
        <v>276.48668026732219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17.779352664013718</v>
      </c>
      <c r="AV48" s="23">
        <f>EXP(-LN(2)/25)*AV47+(1-EXP(-LN(2)/25))/(LN(2)/25)*Calculateur!AQ48*Calculateur!AS48*VLOOKUP('Données projet'!$B$10,Paramètres!$A$1:$I$89,3,0)*0.475*44/12</f>
        <v>6.9813881188050191</v>
      </c>
      <c r="AW48" s="23">
        <f>EXP(-LN(2)/2)*AW47+(1-EXP(-LN(2)/2))/(LN(2)/2)*AQ48*AT48*VLOOKUP('Données projet'!$B$10,Paramètres!$A$1:$I$89,3,0)*0.475*44/12</f>
        <v>0.66159343925626246</v>
      </c>
      <c r="AX48" s="23">
        <f t="shared" si="6"/>
        <v>25.422334222074998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61.469109499034246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45">
      <c r="A49" s="11">
        <f t="shared" si="31"/>
        <v>46</v>
      </c>
      <c r="B49" s="77">
        <f>'Scénario référence'!$B$16*5+'Scénario référence'!$B$17*0+'Scénario référence'!$B$18*5</f>
        <v>3.75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13.75</v>
      </c>
      <c r="H49" s="70">
        <f t="shared" si="1"/>
        <v>201.66666666666666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159.64393915572111</v>
      </c>
      <c r="T49" s="62">
        <f t="shared" si="34"/>
        <v>389.58290705889829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50.787269154402182</v>
      </c>
      <c r="AA49" s="23">
        <f>EXP(-LN(2)/25)*AA48+(1-EXP(-LN(2)/25))/(LN(2)/25)*Calculateur!V49*Calculateur!X49*VLOOKUP('Données projet'!$B$9,Paramètres!$A$1:$I$89,3,0)*0.475*44/12</f>
        <v>11.317786642085229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62.105055796487413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23.826666666666664</v>
      </c>
      <c r="AI49" s="14">
        <f>IF('Données projet'!$A$62&gt;35,AI48+AH49-AQ48,IF(A49&lt;'Données projet'!$A$62,$AF$205^A49,IF(A49='Données projet'!$A$62,'Données projet'!$B$62,AI48+AH49-AQ48)))</f>
        <v>400.6933333333331</v>
      </c>
      <c r="AJ49" s="14">
        <f>AI49*VLOOKUP('Données projet'!$B$10,Paramètres!$A$1:$I$89,3,0)*VLOOKUP('Données projet'!$B$10,Paramètres!$A$1:$I$89,5,0)</f>
        <v>187.52447999999987</v>
      </c>
      <c r="AK49" s="14">
        <f t="shared" si="35"/>
        <v>46.992233486638092</v>
      </c>
      <c r="AL49" s="22">
        <f t="shared" si="4"/>
        <v>408.4499426558944</v>
      </c>
      <c r="AM49" s="62">
        <f t="shared" si="5"/>
        <v>671.04598103827198</v>
      </c>
      <c r="AN49" s="62">
        <f ca="1">AVERAGE(OFFSET($AM$3,0,0,'Données projet'!$E$10+1,1))-AVERAGE(OFFSET($H$3,0,0,'Données projet'!$E$10+1,1))</f>
        <v>442.01983807226742</v>
      </c>
      <c r="AO49" s="62">
        <f t="shared" si="36"/>
        <v>276.48668026732219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17.430710402606746</v>
      </c>
      <c r="AV49" s="23">
        <f>EXP(-LN(2)/25)*AV48+(1-EXP(-LN(2)/25))/(LN(2)/25)*Calculateur!AQ49*Calculateur!AS49*VLOOKUP('Données projet'!$B$10,Paramètres!$A$1:$I$89,3,0)*0.475*44/12</f>
        <v>6.790481693561051</v>
      </c>
      <c r="AW49" s="23">
        <f>EXP(-LN(2)/2)*AW48+(1-EXP(-LN(2)/2))/(LN(2)/2)*AQ49*AT49*VLOOKUP('Données projet'!$B$10,Paramètres!$A$1:$I$89,3,0)*0.475*44/12</f>
        <v>0.46781720728663345</v>
      </c>
      <c r="AX49" s="23">
        <f t="shared" si="6"/>
        <v>24.68900930345443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61.617101377012069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45">
      <c r="A50" s="11">
        <f t="shared" si="31"/>
        <v>47</v>
      </c>
      <c r="B50" s="77">
        <f>'Scénario référence'!$B$16*5+'Scénario référence'!$B$17*0+'Scénario référence'!$B$18*5</f>
        <v>3.75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13.75</v>
      </c>
      <c r="H50" s="70">
        <f t="shared" si="1"/>
        <v>201.66666666666666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159.64393915572111</v>
      </c>
      <c r="T50" s="62">
        <f t="shared" si="34"/>
        <v>389.58290705889829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49.791361783459799</v>
      </c>
      <c r="AA50" s="23">
        <f>EXP(-LN(2)/25)*AA49+(1-EXP(-LN(2)/25))/(LN(2)/25)*Calculateur!V50*Calculateur!X50*VLOOKUP('Données projet'!$B$9,Paramètres!$A$1:$I$89,3,0)*0.475*44/12</f>
        <v>11.008301171180877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60.799662954640674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23.826666666666664</v>
      </c>
      <c r="AI50" s="14">
        <f>IF('Données projet'!$A$62&gt;35,AI49+AH50-AQ49,IF(A50&lt;'Données projet'!$A$62,$AF$205^A50,IF(A50='Données projet'!$A$62,'Données projet'!$B$62,AI49+AH50-AQ49)))</f>
        <v>424.51999999999975</v>
      </c>
      <c r="AJ50" s="14">
        <f>AI50*VLOOKUP('Données projet'!$B$10,Paramètres!$A$1:$I$89,3,0)*VLOOKUP('Données projet'!$B$10,Paramètres!$A$1:$I$89,5,0)</f>
        <v>198.6753599999999</v>
      </c>
      <c r="AK50" s="14">
        <f t="shared" si="35"/>
        <v>49.452939452223859</v>
      </c>
      <c r="AL50" s="22">
        <f t="shared" si="4"/>
        <v>432.15678821262304</v>
      </c>
      <c r="AM50" s="62">
        <f t="shared" si="5"/>
        <v>695.28604994410284</v>
      </c>
      <c r="AN50" s="62">
        <f ca="1">AVERAGE(OFFSET($AM$3,0,0,'Données projet'!$E$10+1,1))-AVERAGE(OFFSET($H$3,0,0,'Données projet'!$E$10+1,1))</f>
        <v>442.01983807226742</v>
      </c>
      <c r="AO50" s="62">
        <f t="shared" si="36"/>
        <v>276.48668026732219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17.088904803295183</v>
      </c>
      <c r="AV50" s="23">
        <f>EXP(-LN(2)/25)*AV49+(1-EXP(-LN(2)/25))/(LN(2)/25)*Calculateur!AQ50*Calculateur!AS50*VLOOKUP('Données projet'!$B$10,Paramètres!$A$1:$I$89,3,0)*0.475*44/12</f>
        <v>6.6047956145547113</v>
      </c>
      <c r="AW50" s="23">
        <f>EXP(-LN(2)/2)*AW49+(1-EXP(-LN(2)/2))/(LN(2)/2)*AQ50*AT50*VLOOKUP('Données projet'!$B$10,Paramètres!$A$1:$I$89,3,0)*0.475*44/12</f>
        <v>0.33079671962813129</v>
      </c>
      <c r="AX50" s="23">
        <f t="shared" si="6"/>
        <v>24.024497137478026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61.762525926767246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45">
      <c r="A51" s="11">
        <f t="shared" si="31"/>
        <v>48</v>
      </c>
      <c r="B51" s="77">
        <f>'Scénario référence'!$B$16*5+'Scénario référence'!$B$17*0+'Scénario référence'!$B$18*5</f>
        <v>3.75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13.75</v>
      </c>
      <c r="H51" s="70">
        <f t="shared" si="1"/>
        <v>201.66666666666666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159.64393915572111</v>
      </c>
      <c r="T51" s="62">
        <f t="shared" si="34"/>
        <v>389.58290705889829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48.814983548618081</v>
      </c>
      <c r="AA51" s="23">
        <f>EXP(-LN(2)/25)*AA50+(1-EXP(-LN(2)/25))/(LN(2)/25)*Calculateur!V51*Calculateur!X51*VLOOKUP('Données projet'!$B$9,Paramètres!$A$1:$I$89,3,0)*0.475*44/12</f>
        <v>10.707278596753538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59.52226214537162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23.826666666666664</v>
      </c>
      <c r="AI51" s="14">
        <f>IF('Données projet'!$A$62&gt;35,AI50+AH51-AQ50,IF(A51&lt;'Données projet'!$A$62,$AF$205^A51,IF(A51='Données projet'!$A$62,'Données projet'!$B$62,AI50+AH51-AQ50)))</f>
        <v>448.34666666666641</v>
      </c>
      <c r="AJ51" s="14">
        <f>AI51*VLOOKUP('Données projet'!$B$10,Paramètres!$A$1:$I$89,3,0)*VLOOKUP('Données projet'!$B$10,Paramètres!$A$1:$I$89,5,0)</f>
        <v>209.8262399999999</v>
      </c>
      <c r="AK51" s="14">
        <f t="shared" si="35"/>
        <v>51.897612937458547</v>
      </c>
      <c r="AL51" s="22">
        <f t="shared" si="4"/>
        <v>455.83571053274005</v>
      </c>
      <c r="AM51" s="62">
        <f t="shared" si="5"/>
        <v>719.48894538032414</v>
      </c>
      <c r="AN51" s="62">
        <f ca="1">AVERAGE(OFFSET($AM$3,0,0,'Données projet'!$E$10+1,1))-AVERAGE(OFFSET($H$3,0,0,'Données projet'!$E$10+1,1))</f>
        <v>442.01983807226742</v>
      </c>
      <c r="AO51" s="62">
        <f t="shared" si="36"/>
        <v>276.48668026732219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16.75380180330529</v>
      </c>
      <c r="AV51" s="23">
        <f>EXP(-LN(2)/25)*AV50+(1-EXP(-LN(2)/25))/(LN(2)/25)*Calculateur!AQ51*Calculateur!AS51*VLOOKUP('Données projet'!$B$10,Paramètres!$A$1:$I$89,3,0)*0.475*44/12</f>
        <v>6.424187131143607</v>
      </c>
      <c r="AW51" s="23">
        <f>EXP(-LN(2)/2)*AW50+(1-EXP(-LN(2)/2))/(LN(2)/2)*AQ51*AT51*VLOOKUP('Données projet'!$B$10,Paramètres!$A$1:$I$89,3,0)*0.475*44/12</f>
        <v>0.23390860364331675</v>
      </c>
      <c r="AX51" s="23">
        <f t="shared" si="6"/>
        <v>23.411897538092216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61.905427685704758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45">
      <c r="A52" s="11">
        <f t="shared" si="31"/>
        <v>49</v>
      </c>
      <c r="B52" s="77">
        <f>'Scénario référence'!$B$16*5+'Scénario référence'!$B$17*0+'Scénario référence'!$B$18*5</f>
        <v>3.75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13.75</v>
      </c>
      <c r="H52" s="70">
        <f t="shared" si="1"/>
        <v>201.66666666666666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159.64393915572111</v>
      </c>
      <c r="T52" s="62">
        <f t="shared" si="34"/>
        <v>389.58290705889829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47.857751495429689</v>
      </c>
      <c r="AA52" s="23">
        <f>EXP(-LN(2)/25)*AA51+(1-EXP(-LN(2)/25))/(LN(2)/25)*Calculateur!V52*Calculateur!X52*VLOOKUP('Données projet'!$B$9,Paramètres!$A$1:$I$89,3,0)*0.475*44/12</f>
        <v>10.414487500454003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58.27223899588369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23.826666666666664</v>
      </c>
      <c r="AI52" s="14">
        <f>IF('Données projet'!$A$62&gt;35,AI51+AH52-AQ51,IF(A52&lt;'Données projet'!$A$62,$AF$205^A52,IF(A52='Données projet'!$A$62,'Données projet'!$B$62,AI51+AH52-AQ51)))</f>
        <v>472.17333333333306</v>
      </c>
      <c r="AJ52" s="14">
        <f>AI52*VLOOKUP('Données projet'!$B$10,Paramètres!$A$1:$I$89,3,0)*VLOOKUP('Données projet'!$B$10,Paramètres!$A$1:$I$89,5,0)</f>
        <v>220.97711999999987</v>
      </c>
      <c r="AK52" s="14">
        <f t="shared" si="35"/>
        <v>54.327203118702208</v>
      </c>
      <c r="AL52" s="22">
        <f t="shared" si="4"/>
        <v>479.48836276507285</v>
      </c>
      <c r="AM52" s="62">
        <f t="shared" si="5"/>
        <v>743.65648096662517</v>
      </c>
      <c r="AN52" s="62">
        <f ca="1">AVERAGE(OFFSET($AM$3,0,0,'Données projet'!$E$10+1,1))-AVERAGE(OFFSET($H$3,0,0,'Données projet'!$E$10+1,1))</f>
        <v>442.01983807226742</v>
      </c>
      <c r="AO52" s="62">
        <f t="shared" si="36"/>
        <v>276.48668026732219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16.425269968752549</v>
      </c>
      <c r="AV52" s="23">
        <f>EXP(-LN(2)/25)*AV51+(1-EXP(-LN(2)/25))/(LN(2)/25)*Calculateur!AQ52*Calculateur!AS52*VLOOKUP('Données projet'!$B$10,Paramètres!$A$1:$I$89,3,0)*0.475*44/12</f>
        <v>6.2485173962091665</v>
      </c>
      <c r="AW52" s="23">
        <f>EXP(-LN(2)/2)*AW51+(1-EXP(-LN(2)/2))/(LN(2)/2)*AQ52*AT52*VLOOKUP('Données projet'!$B$10,Paramètres!$A$1:$I$89,3,0)*0.475*44/12</f>
        <v>0.16539835981406567</v>
      </c>
      <c r="AX52" s="23">
        <f t="shared" si="6"/>
        <v>22.839185724775781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62.04585041860517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45">
      <c r="A53" s="11">
        <f t="shared" si="31"/>
        <v>50</v>
      </c>
      <c r="B53" s="77">
        <f>'Scénario référence'!$B$16*5+'Scénario référence'!$B$17*0+'Scénario référence'!$B$18*5</f>
        <v>3.75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13.75</v>
      </c>
      <c r="H53" s="70">
        <f t="shared" si="1"/>
        <v>201.66666666666666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159.64393915572111</v>
      </c>
      <c r="T53" s="62">
        <f t="shared" si="34"/>
        <v>389.58290705889829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46.919290178950419</v>
      </c>
      <c r="AA53" s="23">
        <f>EXP(-LN(2)/25)*AA52+(1-EXP(-LN(2)/25))/(LN(2)/25)*Calculateur!V53*Calculateur!X53*VLOOKUP('Données projet'!$B$9,Paramètres!$A$1:$I$89,3,0)*0.475*44/12</f>
        <v>10.129702792079993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57.048992971030415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496</v>
      </c>
      <c r="AG53" s="13">
        <f>VLOOKUP(A53,'Données projet'!$A$61:$I$81,9,0)</f>
        <v>23.826666666666664</v>
      </c>
      <c r="AH53" s="13">
        <f t="array" ref="AH53">INDEX(AG:AG,MIN(IF(ISNUMBER(AG53:AG249),ROW(AG53:AG249),"")))</f>
        <v>23.826666666666664</v>
      </c>
      <c r="AI53" s="14">
        <f>IF('Données projet'!$A$62&gt;35,AI52+AH53-AQ52,IF(A53&lt;'Données projet'!$A$62,$AF$205^A53,IF(A53='Données projet'!$A$62,'Données projet'!$B$62,AI52+AH53-AQ52)))</f>
        <v>495.99999999999972</v>
      </c>
      <c r="AJ53" s="14">
        <f>AI53*VLOOKUP('Données projet'!$B$10,Paramètres!$A$1:$I$89,3,0)*VLOOKUP('Données projet'!$B$10,Paramètres!$A$1:$I$89,5,0)</f>
        <v>232.12799999999987</v>
      </c>
      <c r="AK53" s="14">
        <f t="shared" si="35"/>
        <v>56.742557967082348</v>
      </c>
      <c r="AL53" s="22">
        <f t="shared" si="4"/>
        <v>503.11622179266811</v>
      </c>
      <c r="AM53" s="62">
        <f t="shared" si="5"/>
        <v>767.790291273104</v>
      </c>
      <c r="AN53" s="62">
        <f ca="1">AVERAGE(OFFSET($AM$3,0,0,'Données projet'!$E$10+1,1))-AVERAGE(OFFSET($H$3,0,0,'Données projet'!$E$10+1,1))</f>
        <v>442.01983807226742</v>
      </c>
      <c r="AO53" s="62">
        <f t="shared" si="36"/>
        <v>276.48668026732219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68.788888888888891</v>
      </c>
      <c r="AR53" s="17">
        <f>IF(ISNA(VLOOKUP(A53,'Données projet'!$A$61:$I$81,5,0)),0%,VLOOKUP(A53,'Données projet'!$A$61:$I$81,5,0)*VLOOKUP('Données projet'!$B$10,Paramètres!$A$1:$I$89,7,0))</f>
        <v>0.38500000000000001</v>
      </c>
      <c r="AS53" s="17">
        <f>IF(ISNA(VLOOKUP(A53,'Données projet'!$A$61:$I$81,6,0)),0%,VLOOKUP(A53,'Données projet'!$A$61:$I$81,6,0)*VLOOKUP('Données projet'!$B$10,Paramètres!$A$1:$I$89,7,0))</f>
        <v>9.240000000000001E-2</v>
      </c>
      <c r="AT53" s="17">
        <f>IF(ISNA(VLOOKUP(A53,'Données projet'!$A$61:$I$81,7,0)),0%,VLOOKUP(A53,'Données projet'!$A$61:$I$81,7,0))</f>
        <v>0.13200000000000001</v>
      </c>
      <c r="AU53" s="23">
        <f>EXP(-LN(2)/35)*AU52+(1-EXP(-LN(2)/35))/(LN(2)/35)*AQ53*AR53*VLOOKUP('Données projet'!$B$10,Paramètres!$A$1:$I$89,3,0)*0.475*44/12</f>
        <v>32.545127051430391</v>
      </c>
      <c r="AV53" s="23">
        <f>EXP(-LN(2)/25)*AV52+(1-EXP(-LN(2)/25))/(LN(2)/25)*Calculateur!AQ53*Calculateur!AS53*VLOOKUP('Données projet'!$B$10,Paramètres!$A$1:$I$89,3,0)*0.475*44/12</f>
        <v>10.008181375335329</v>
      </c>
      <c r="AW53" s="23">
        <f>EXP(-LN(2)/2)*AW52+(1-EXP(-LN(2)/2))/(LN(2)/2)*AQ53*AT53*VLOOKUP('Données projet'!$B$10,Paramètres!$A$1:$I$89,3,0)*0.475*44/12</f>
        <v>4.9283781675178888</v>
      </c>
      <c r="AX53" s="23">
        <f t="shared" si="6"/>
        <v>47.481686594283616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62.183837131027971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45">
      <c r="A54" s="11">
        <f t="shared" si="31"/>
        <v>51</v>
      </c>
      <c r="B54" s="77">
        <f>'Scénario référence'!$B$16*5+'Scénario référence'!$B$17*0+'Scénario référence'!$B$18*5</f>
        <v>3.75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13.75</v>
      </c>
      <c r="H54" s="70">
        <f t="shared" si="1"/>
        <v>201.66666666666666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159.64393915572111</v>
      </c>
      <c r="T54" s="62">
        <f t="shared" si="34"/>
        <v>389.58290705889829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45.999231516482425</v>
      </c>
      <c r="AA54" s="23">
        <f>EXP(-LN(2)/25)*AA53+(1-EXP(-LN(2)/25))/(LN(2)/25)*Calculateur!V54*Calculateur!X54*VLOOKUP('Données projet'!$B$9,Paramètres!$A$1:$I$89,3,0)*0.475*44/12</f>
        <v>9.8527055365326479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55.851937053015071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19.27888888888889</v>
      </c>
      <c r="AI54" s="14">
        <f>IF('Données projet'!$A$62&gt;35,AI53+AH54-AQ53,IF(A54&lt;'Données projet'!$A$62,$AF$205^A54,IF(A54='Données projet'!$A$62,'Données projet'!$B$62,AI53+AH54-AQ53)))</f>
        <v>446.48999999999967</v>
      </c>
      <c r="AJ54" s="14">
        <f>AI54*VLOOKUP('Données projet'!$B$10,Paramètres!$A$1:$I$89,3,0)*VLOOKUP('Données projet'!$B$10,Paramètres!$A$1:$I$89,5,0)</f>
        <v>208.95731999999984</v>
      </c>
      <c r="AK54" s="14">
        <f t="shared" si="35"/>
        <v>51.707667920238613</v>
      </c>
      <c r="AL54" s="22">
        <f t="shared" si="4"/>
        <v>453.99152062774857</v>
      </c>
      <c r="AM54" s="62">
        <f t="shared" si="5"/>
        <v>719.16276426351703</v>
      </c>
      <c r="AN54" s="62">
        <f ca="1">AVERAGE(OFFSET($AM$3,0,0,'Données projet'!$E$10+1,1))-AVERAGE(OFFSET($H$3,0,0,'Données projet'!$E$10+1,1))</f>
        <v>442.01983807226742</v>
      </c>
      <c r="AO54" s="62">
        <f t="shared" si="36"/>
        <v>276.48668026732219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31.906936960519261</v>
      </c>
      <c r="AV54" s="23">
        <f>EXP(-LN(2)/25)*AV53+(1-EXP(-LN(2)/25))/(LN(2)/25)*Calculateur!AQ54*Calculateur!AS54*VLOOKUP('Données projet'!$B$10,Paramètres!$A$1:$I$89,3,0)*0.475*44/12</f>
        <v>9.7345071293194003</v>
      </c>
      <c r="AW54" s="23">
        <f>EXP(-LN(2)/2)*AW53+(1-EXP(-LN(2)/2))/(LN(2)/2)*AQ54*AT54*VLOOKUP('Données projet'!$B$10,Paramètres!$A$1:$I$89,3,0)*0.475*44/12</f>
        <v>3.4848896225036303</v>
      </c>
      <c r="AX54" s="23">
        <f t="shared" si="6"/>
        <v>45.126333712342287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62.319430082482299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45">
      <c r="A55" s="11">
        <f t="shared" si="31"/>
        <v>52</v>
      </c>
      <c r="B55" s="77">
        <f>'Scénario référence'!$B$16*5+'Scénario référence'!$B$17*0+'Scénario référence'!$B$18*5</f>
        <v>3.75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13.75</v>
      </c>
      <c r="H55" s="70">
        <f t="shared" si="1"/>
        <v>201.66666666666666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159.64393915572111</v>
      </c>
      <c r="T55" s="62">
        <f t="shared" si="34"/>
        <v>389.58290705889829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45.097214643205056</v>
      </c>
      <c r="AA55" s="23">
        <f>EXP(-LN(2)/25)*AA54+(1-EXP(-LN(2)/25))/(LN(2)/25)*Calculateur!V55*Calculateur!X55*VLOOKUP('Données projet'!$B$9,Paramètres!$A$1:$I$89,3,0)*0.475*44/12</f>
        <v>9.5832827855048972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54.680497428709955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19.27888888888889</v>
      </c>
      <c r="AI55" s="14">
        <f>IF('Données projet'!$A$62&gt;35,AI54+AH55-AQ54,IF(A55&lt;'Données projet'!$A$62,$AF$205^A55,IF(A55='Données projet'!$A$62,'Données projet'!$B$62,AI54+AH55-AQ54)))</f>
        <v>465.76888888888857</v>
      </c>
      <c r="AJ55" s="14">
        <f>AI55*VLOOKUP('Données projet'!$B$10,Paramètres!$A$1:$I$89,3,0)*VLOOKUP('Données projet'!$B$10,Paramètres!$A$1:$I$89,5,0)</f>
        <v>217.97983999999985</v>
      </c>
      <c r="AK55" s="14">
        <f t="shared" si="35"/>
        <v>53.67557846949564</v>
      </c>
      <c r="AL55" s="22">
        <f t="shared" si="4"/>
        <v>473.13318716770459</v>
      </c>
      <c r="AM55" s="62">
        <f t="shared" si="5"/>
        <v>738.79298009872548</v>
      </c>
      <c r="AN55" s="62">
        <f ca="1">AVERAGE(OFFSET($AM$3,0,0,'Données projet'!$E$10+1,1))-AVERAGE(OFFSET($H$3,0,0,'Données projet'!$E$10+1,1))</f>
        <v>442.01983807226742</v>
      </c>
      <c r="AO55" s="62">
        <f t="shared" si="36"/>
        <v>276.48668026732219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31.281261388033379</v>
      </c>
      <c r="AV55" s="23">
        <f>EXP(-LN(2)/25)*AV54+(1-EXP(-LN(2)/25))/(LN(2)/25)*Calculateur!AQ55*Calculateur!AS55*VLOOKUP('Données projet'!$B$10,Paramètres!$A$1:$I$89,3,0)*0.475*44/12</f>
        <v>9.4683165199526798</v>
      </c>
      <c r="AW55" s="23">
        <f>EXP(-LN(2)/2)*AW54+(1-EXP(-LN(2)/2))/(LN(2)/2)*AQ55*AT55*VLOOKUP('Données projet'!$B$10,Paramètres!$A$1:$I$89,3,0)*0.475*44/12</f>
        <v>2.4641890837589449</v>
      </c>
      <c r="AX55" s="23">
        <f t="shared" si="6"/>
        <v>43.213766991745004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62.452670799369329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45">
      <c r="A56" s="11">
        <f t="shared" si="31"/>
        <v>53</v>
      </c>
      <c r="B56" s="77">
        <f>'Scénario référence'!$B$16*5+'Scénario référence'!$B$17*0+'Scénario référence'!$B$18*5</f>
        <v>3.75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13.75</v>
      </c>
      <c r="H56" s="70">
        <f t="shared" si="1"/>
        <v>201.66666666666666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159.64393915572111</v>
      </c>
      <c r="T56" s="62">
        <f t="shared" si="34"/>
        <v>389.58290705889829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44.212885770636689</v>
      </c>
      <c r="AA56" s="23">
        <f>EXP(-LN(2)/25)*AA55+(1-EXP(-LN(2)/25))/(LN(2)/25)*Calculateur!V56*Calculateur!X56*VLOOKUP('Données projet'!$B$9,Paramètres!$A$1:$I$89,3,0)*0.475*44/12</f>
        <v>9.321227413772327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53.534113184409016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19.27888888888889</v>
      </c>
      <c r="AI56" s="14">
        <f>IF('Données projet'!$A$62&gt;35,AI55+AH56-AQ55,IF(A56&lt;'Données projet'!$A$62,$AF$205^A56,IF(A56='Données projet'!$A$62,'Données projet'!$B$62,AI55+AH56-AQ55)))</f>
        <v>485.04777777777747</v>
      </c>
      <c r="AJ56" s="14">
        <f>AI56*VLOOKUP('Données projet'!$B$10,Paramètres!$A$1:$I$89,3,0)*VLOOKUP('Données projet'!$B$10,Paramètres!$A$1:$I$89,5,0)</f>
        <v>227.00235999999987</v>
      </c>
      <c r="AK56" s="14">
        <f t="shared" si="35"/>
        <v>55.634027626373467</v>
      </c>
      <c r="AL56" s="22">
        <f t="shared" si="4"/>
        <v>492.25837511593357</v>
      </c>
      <c r="AM56" s="62">
        <f t="shared" si="5"/>
        <v>758.3982421041668</v>
      </c>
      <c r="AN56" s="62">
        <f ca="1">AVERAGE(OFFSET($AM$3,0,0,'Données projet'!$E$10+1,1))-AVERAGE(OFFSET($H$3,0,0,'Données projet'!$E$10+1,1))</f>
        <v>442.01983807226742</v>
      </c>
      <c r="AO56" s="62">
        <f t="shared" si="36"/>
        <v>276.48668026732219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30.667854931899527</v>
      </c>
      <c r="AV56" s="23">
        <f>EXP(-LN(2)/25)*AV55+(1-EXP(-LN(2)/25))/(LN(2)/25)*Calculateur!AQ56*Calculateur!AS56*VLOOKUP('Données projet'!$B$10,Paramètres!$A$1:$I$89,3,0)*0.475*44/12</f>
        <v>9.2094049067974488</v>
      </c>
      <c r="AW56" s="23">
        <f>EXP(-LN(2)/2)*AW55+(1-EXP(-LN(2)/2))/(LN(2)/2)*AQ56*AT56*VLOOKUP('Données projet'!$B$10,Paramètres!$A$1:$I$89,3,0)*0.475*44/12</f>
        <v>1.7424448112518154</v>
      </c>
      <c r="AX56" s="23">
        <f t="shared" si="6"/>
        <v>41.619704649948787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62.583600087699978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45">
      <c r="A57" s="11">
        <f t="shared" si="31"/>
        <v>54</v>
      </c>
      <c r="B57" s="77">
        <f>'Scénario référence'!$B$16*5+'Scénario référence'!$B$17*0+'Scénario référence'!$B$18*5</f>
        <v>3.75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13.75</v>
      </c>
      <c r="H57" s="70">
        <f t="shared" si="1"/>
        <v>201.66666666666666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159.64393915572111</v>
      </c>
      <c r="T57" s="62">
        <f t="shared" si="34"/>
        <v>389.58290705889829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43.345898047872033</v>
      </c>
      <c r="AA57" s="23">
        <f>EXP(-LN(2)/25)*AA56+(1-EXP(-LN(2)/25))/(LN(2)/25)*Calculateur!V57*Calculateur!X57*VLOOKUP('Données projet'!$B$9,Paramètres!$A$1:$I$89,3,0)*0.475*44/12</f>
        <v>9.066337959960677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52.412236007832711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19.27888888888889</v>
      </c>
      <c r="AI57" s="14">
        <f>IF('Données projet'!$A$62&gt;35,AI56+AH57-AQ56,IF(A57&lt;'Données projet'!$A$62,$AF$205^A57,IF(A57='Données projet'!$A$62,'Données projet'!$B$62,AI56+AH57-AQ56)))</f>
        <v>504.32666666666637</v>
      </c>
      <c r="AJ57" s="14">
        <f>AI57*VLOOKUP('Données projet'!$B$10,Paramètres!$A$1:$I$89,3,0)*VLOOKUP('Données projet'!$B$10,Paramètres!$A$1:$I$89,5,0)</f>
        <v>236.02487999999988</v>
      </c>
      <c r="AK57" s="14">
        <f t="shared" si="35"/>
        <v>57.583434474968207</v>
      </c>
      <c r="AL57" s="22">
        <f t="shared" si="4"/>
        <v>511.36781437723607</v>
      </c>
      <c r="AM57" s="62">
        <f t="shared" si="5"/>
        <v>777.97942721107393</v>
      </c>
      <c r="AN57" s="62">
        <f ca="1">AVERAGE(OFFSET($AM$3,0,0,'Données projet'!$E$10+1,1))-AVERAGE(OFFSET($H$3,0,0,'Données projet'!$E$10+1,1))</f>
        <v>442.01983807226742</v>
      </c>
      <c r="AO57" s="62">
        <f t="shared" si="36"/>
        <v>276.48668026732219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30.066477002229465</v>
      </c>
      <c r="AV57" s="23">
        <f>EXP(-LN(2)/25)*AV56+(1-EXP(-LN(2)/25))/(LN(2)/25)*Calculateur!AQ57*Calculateur!AS57*VLOOKUP('Données projet'!$B$10,Paramètres!$A$1:$I$89,3,0)*0.475*44/12</f>
        <v>8.9575732453195176</v>
      </c>
      <c r="AW57" s="23">
        <f>EXP(-LN(2)/2)*AW56+(1-EXP(-LN(2)/2))/(LN(2)/2)*AQ57*AT57*VLOOKUP('Données projet'!$B$10,Paramètres!$A$1:$I$89,3,0)*0.475*44/12</f>
        <v>1.2320945418794726</v>
      </c>
      <c r="AX57" s="23">
        <f t="shared" si="6"/>
        <v>40.256144789428454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62.712258045592129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45">
      <c r="A58" s="11">
        <f t="shared" si="31"/>
        <v>55</v>
      </c>
      <c r="B58" s="77">
        <f>'Scénario référence'!$B$16*5+'Scénario référence'!$B$17*0+'Scénario référence'!$B$18*5</f>
        <v>3.75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13.75</v>
      </c>
      <c r="H58" s="70">
        <f t="shared" si="1"/>
        <v>201.66666666666666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159.64393915572111</v>
      </c>
      <c r="T58" s="62">
        <f t="shared" si="34"/>
        <v>389.58290705889829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42.495911425540498</v>
      </c>
      <c r="AA58" s="23">
        <f>EXP(-LN(2)/25)*AA57+(1-EXP(-LN(2)/25))/(LN(2)/25)*Calculateur!V58*Calculateur!X58*VLOOKUP('Données projet'!$B$9,Paramètres!$A$1:$I$89,3,0)*0.475*44/12</f>
        <v>8.8184184716675595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51.314329897208054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19.27888888888889</v>
      </c>
      <c r="AI58" s="14">
        <f>IF('Données projet'!$A$62&gt;35,AI57+AH58-AQ57,IF(A58&lt;'Données projet'!$A$62,$AF$205^A58,IF(A58='Données projet'!$A$62,'Données projet'!$B$62,AI57+AH58-AQ57)))</f>
        <v>523.60555555555527</v>
      </c>
      <c r="AJ58" s="14">
        <f>AI58*VLOOKUP('Données projet'!$B$10,Paramètres!$A$1:$I$89,3,0)*VLOOKUP('Données projet'!$B$10,Paramètres!$A$1:$I$89,5,0)</f>
        <v>245.04739999999984</v>
      </c>
      <c r="AK58" s="14">
        <f t="shared" si="35"/>
        <v>59.524184244084026</v>
      </c>
      <c r="AL58" s="22">
        <f t="shared" si="4"/>
        <v>530.46217589177934</v>
      </c>
      <c r="AM58" s="62">
        <f t="shared" si="5"/>
        <v>797.53735083546621</v>
      </c>
      <c r="AN58" s="62">
        <f ca="1">AVERAGE(OFFSET($AM$3,0,0,'Données projet'!$E$10+1,1))-AVERAGE(OFFSET($H$3,0,0,'Données projet'!$E$10+1,1))</f>
        <v>442.01983807226742</v>
      </c>
      <c r="AO58" s="62">
        <f t="shared" si="36"/>
        <v>276.48668026732219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29.476891726955916</v>
      </c>
      <c r="AV58" s="23">
        <f>EXP(-LN(2)/25)*AV57+(1-EXP(-LN(2)/25))/(LN(2)/25)*Calculateur!AQ58*Calculateur!AS58*VLOOKUP('Données projet'!$B$10,Paramètres!$A$1:$I$89,3,0)*0.475*44/12</f>
        <v>8.7126279338679513</v>
      </c>
      <c r="AW58" s="23">
        <f>EXP(-LN(2)/2)*AW57+(1-EXP(-LN(2)/2))/(LN(2)/2)*AQ58*AT58*VLOOKUP('Données projet'!$B$10,Paramètres!$A$1:$I$89,3,0)*0.475*44/12</f>
        <v>0.8712224056259078</v>
      </c>
      <c r="AX58" s="23">
        <f t="shared" si="6"/>
        <v>39.060742066449777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62.838684075550958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45">
      <c r="A59" s="11">
        <f t="shared" si="31"/>
        <v>56</v>
      </c>
      <c r="B59" s="77">
        <f>'Scénario référence'!$B$16*5+'Scénario référence'!$B$17*0+'Scénario référence'!$B$18*5</f>
        <v>3.75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13.75</v>
      </c>
      <c r="H59" s="70">
        <f t="shared" si="1"/>
        <v>201.66666666666666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159.64393915572111</v>
      </c>
      <c r="T59" s="62">
        <f t="shared" si="34"/>
        <v>389.58290705889829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41.662592522432234</v>
      </c>
      <c r="AA59" s="23">
        <f>EXP(-LN(2)/25)*AA58+(1-EXP(-LN(2)/25))/(LN(2)/25)*Calculateur!V59*Calculateur!X59*VLOOKUP('Données projet'!$B$9,Paramètres!$A$1:$I$89,3,0)*0.475*44/12</f>
        <v>8.5772783548193381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50.239870877251576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19.27888888888889</v>
      </c>
      <c r="AI59" s="14">
        <f>IF('Données projet'!$A$62&gt;35,AI58+AH59-AQ58,IF(A59&lt;'Données projet'!$A$62,$AF$205^A59,IF(A59='Données projet'!$A$62,'Données projet'!$B$62,AI58+AH59-AQ58)))</f>
        <v>542.88444444444417</v>
      </c>
      <c r="AJ59" s="14">
        <f>AI59*VLOOKUP('Données projet'!$B$10,Paramètres!$A$1:$I$89,3,0)*VLOOKUP('Données projet'!$B$10,Paramètres!$A$1:$I$89,5,0)</f>
        <v>254.06991999999985</v>
      </c>
      <c r="AK59" s="14">
        <f t="shared" si="35"/>
        <v>61.456632187225829</v>
      </c>
      <c r="AL59" s="22">
        <f t="shared" si="4"/>
        <v>549.54207839275125</v>
      </c>
      <c r="AM59" s="62">
        <f t="shared" si="5"/>
        <v>817.07277368005089</v>
      </c>
      <c r="AN59" s="62">
        <f ca="1">AVERAGE(OFFSET($AM$3,0,0,'Données projet'!$E$10+1,1))-AVERAGE(OFFSET($H$3,0,0,'Données projet'!$E$10+1,1))</f>
        <v>442.01983807226742</v>
      </c>
      <c r="AO59" s="62">
        <f t="shared" si="36"/>
        <v>276.48668026732219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28.898867859318973</v>
      </c>
      <c r="AV59" s="23">
        <f>EXP(-LN(2)/25)*AV58+(1-EXP(-LN(2)/25))/(LN(2)/25)*Calculateur!AQ59*Calculateur!AS59*VLOOKUP('Données projet'!$B$10,Paramètres!$A$1:$I$89,3,0)*0.475*44/12</f>
        <v>8.474380664839142</v>
      </c>
      <c r="AW59" s="23">
        <f>EXP(-LN(2)/2)*AW58+(1-EXP(-LN(2)/2))/(LN(2)/2)*AQ59*AT59*VLOOKUP('Données projet'!$B$10,Paramètres!$A$1:$I$89,3,0)*0.475*44/12</f>
        <v>0.61604727093973644</v>
      </c>
      <c r="AX59" s="23">
        <f t="shared" si="6"/>
        <v>37.989295795097853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62.962916896536257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45">
      <c r="A60" s="11">
        <f t="shared" si="31"/>
        <v>57</v>
      </c>
      <c r="B60" s="77">
        <f>'Scénario référence'!$B$16*5+'Scénario référence'!$B$17*0+'Scénario référence'!$B$18*5</f>
        <v>3.75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13.75</v>
      </c>
      <c r="H60" s="70">
        <f t="shared" si="1"/>
        <v>201.66666666666666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159.64393915572111</v>
      </c>
      <c r="T60" s="62">
        <f t="shared" si="34"/>
        <v>389.58290705889829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40.845614494739586</v>
      </c>
      <c r="AA60" s="23">
        <f>EXP(-LN(2)/25)*AA59+(1-EXP(-LN(2)/25))/(LN(2)/25)*Calculateur!V60*Calculateur!X60*VLOOKUP('Données projet'!$B$9,Paramètres!$A$1:$I$89,3,0)*0.475*44/12</f>
        <v>8.342732227147339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49.188346721886923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19.27888888888889</v>
      </c>
      <c r="AI60" s="14">
        <f>IF('Données projet'!$A$62&gt;35,AI59+AH60-AQ59,IF(A60&lt;'Données projet'!$A$62,$AF$205^A60,IF(A60='Données projet'!$A$62,'Données projet'!$B$62,AI59+AH60-AQ59)))</f>
        <v>562.16333333333307</v>
      </c>
      <c r="AJ60" s="14">
        <f>AI60*VLOOKUP('Données projet'!$B$10,Paramètres!$A$1:$I$89,3,0)*VLOOKUP('Données projet'!$B$10,Paramètres!$A$1:$I$89,5,0)</f>
        <v>263.0924399999999</v>
      </c>
      <c r="AK60" s="14">
        <f t="shared" si="35"/>
        <v>63.381106895958986</v>
      </c>
      <c r="AL60" s="22">
        <f t="shared" si="4"/>
        <v>568.60809417712835</v>
      </c>
      <c r="AM60" s="62">
        <f t="shared" si="5"/>
        <v>836.58640754846999</v>
      </c>
      <c r="AN60" s="62">
        <f ca="1">AVERAGE(OFFSET($AM$3,0,0,'Données projet'!$E$10+1,1))-AVERAGE(OFFSET($H$3,0,0,'Données projet'!$E$10+1,1))</f>
        <v>442.01983807226742</v>
      </c>
      <c r="AO60" s="62">
        <f t="shared" si="36"/>
        <v>276.48668026732219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28.332178687166643</v>
      </c>
      <c r="AV60" s="23">
        <f>EXP(-LN(2)/25)*AV59+(1-EXP(-LN(2)/25))/(LN(2)/25)*Calculateur!AQ60*Calculateur!AS60*VLOOKUP('Données projet'!$B$10,Paramètres!$A$1:$I$89,3,0)*0.475*44/12</f>
        <v>8.2426482799108047</v>
      </c>
      <c r="AW60" s="23">
        <f>EXP(-LN(2)/2)*AW59+(1-EXP(-LN(2)/2))/(LN(2)/2)*AQ60*AT60*VLOOKUP('Données projet'!$B$10,Paramètres!$A$1:$I$89,3,0)*0.475*44/12</f>
        <v>0.43561120281295401</v>
      </c>
      <c r="AX60" s="23">
        <f t="shared" si="6"/>
        <v>37.010438169890406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63.084994555820444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45">
      <c r="A61" s="11">
        <f t="shared" si="31"/>
        <v>58</v>
      </c>
      <c r="B61" s="77">
        <f>'Scénario référence'!$B$16*5+'Scénario référence'!$B$17*0+'Scénario référence'!$B$18*5</f>
        <v>3.75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13.75</v>
      </c>
      <c r="H61" s="70">
        <f t="shared" si="1"/>
        <v>201.66666666666666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159.64393915572111</v>
      </c>
      <c r="T61" s="62">
        <f t="shared" si="34"/>
        <v>389.58290705889829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40.044656907862596</v>
      </c>
      <c r="AA61" s="23">
        <f>EXP(-LN(2)/25)*AA60+(1-EXP(-LN(2)/25))/(LN(2)/25)*Calculateur!V61*Calculateur!X61*VLOOKUP('Données projet'!$B$9,Paramètres!$A$1:$I$89,3,0)*0.475*44/12</f>
        <v>8.114599775670774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48.159256683533371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19.27888888888889</v>
      </c>
      <c r="AI61" s="14">
        <f>IF('Données projet'!$A$62&gt;35,AI60+AH61-AQ60,IF(A61&lt;'Données projet'!$A$62,$AF$205^A61,IF(A61='Données projet'!$A$62,'Données projet'!$B$62,AI60+AH61-AQ60)))</f>
        <v>581.44222222222197</v>
      </c>
      <c r="AJ61" s="14">
        <f>AI61*VLOOKUP('Données projet'!$B$10,Paramètres!$A$1:$I$89,3,0)*VLOOKUP('Données projet'!$B$10,Paramètres!$A$1:$I$89,5,0)</f>
        <v>272.11495999999988</v>
      </c>
      <c r="AK61" s="14">
        <f t="shared" si="35"/>
        <v>65.297913145986357</v>
      </c>
      <c r="AL61" s="22">
        <f t="shared" si="4"/>
        <v>587.66075406259267</v>
      </c>
      <c r="AM61" s="62">
        <f t="shared" si="5"/>
        <v>856.07892034494228</v>
      </c>
      <c r="AN61" s="62">
        <f ca="1">AVERAGE(OFFSET($AM$3,0,0,'Données projet'!$E$10+1,1))-AVERAGE(OFFSET($H$3,0,0,'Données projet'!$E$10+1,1))</f>
        <v>442.01983807226742</v>
      </c>
      <c r="AO61" s="62">
        <f t="shared" si="36"/>
        <v>276.48668026732219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27.776601944033956</v>
      </c>
      <c r="AV61" s="23">
        <f>EXP(-LN(2)/25)*AV60+(1-EXP(-LN(2)/25))/(LN(2)/25)*Calculateur!AQ61*Calculateur!AS61*VLOOKUP('Données projet'!$B$10,Paramètres!$A$1:$I$89,3,0)*0.475*44/12</f>
        <v>8.0172526292346102</v>
      </c>
      <c r="AW61" s="23">
        <f>EXP(-LN(2)/2)*AW60+(1-EXP(-LN(2)/2))/(LN(2)/2)*AQ61*AT61*VLOOKUP('Données projet'!$B$10,Paramètres!$A$1:$I$89,3,0)*0.475*44/12</f>
        <v>0.30802363546986827</v>
      </c>
      <c r="AX61" s="23">
        <f t="shared" si="6"/>
        <v>36.101878208738434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63.204954440640805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45">
      <c r="A62" s="11">
        <f t="shared" si="31"/>
        <v>59</v>
      </c>
      <c r="B62" s="77">
        <f>'Scénario référence'!$B$16*5+'Scénario référence'!$B$17*0+'Scénario référence'!$B$18*5</f>
        <v>3.75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13.75</v>
      </c>
      <c r="H62" s="70">
        <f t="shared" si="1"/>
        <v>201.66666666666666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159.64393915572111</v>
      </c>
      <c r="T62" s="62">
        <f t="shared" si="34"/>
        <v>389.58290705889829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39.259405610728372</v>
      </c>
      <c r="AA62" s="23">
        <f>EXP(-LN(2)/25)*AA61+(1-EXP(-LN(2)/25))/(LN(2)/25)*Calculateur!V62*Calculateur!X62*VLOOKUP('Données projet'!$B$9,Paramètres!$A$1:$I$89,3,0)*0.475*44/12</f>
        <v>7.8927056180768007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47.152111228805175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19.27888888888889</v>
      </c>
      <c r="AI62" s="14">
        <f>IF('Données projet'!$A$62&gt;35,AI61+AH62-AQ61,IF(A62&lt;'Données projet'!$A$62,$AF$205^A62,IF(A62='Données projet'!$A$62,'Données projet'!$B$62,AI61+AH62-AQ61)))</f>
        <v>600.72111111111087</v>
      </c>
      <c r="AJ62" s="14">
        <f>AI62*VLOOKUP('Données projet'!$B$10,Paramètres!$A$1:$I$89,3,0)*VLOOKUP('Données projet'!$B$10,Paramètres!$A$1:$I$89,5,0)</f>
        <v>281.13747999999987</v>
      </c>
      <c r="AK62" s="14">
        <f t="shared" si="35"/>
        <v>67.207334355151403</v>
      </c>
      <c r="AL62" s="22">
        <f t="shared" si="4"/>
        <v>606.70055166855502</v>
      </c>
      <c r="AM62" s="62">
        <f t="shared" si="5"/>
        <v>875.55094039727032</v>
      </c>
      <c r="AN62" s="62">
        <f ca="1">AVERAGE(OFFSET($AM$3,0,0,'Données projet'!$E$10+1,1))-AVERAGE(OFFSET($H$3,0,0,'Données projet'!$E$10+1,1))</f>
        <v>442.01983807226742</v>
      </c>
      <c r="AO62" s="62">
        <f t="shared" si="36"/>
        <v>276.48668026732219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27.231919721965749</v>
      </c>
      <c r="AV62" s="23">
        <f>EXP(-LN(2)/25)*AV61+(1-EXP(-LN(2)/25))/(LN(2)/25)*Calculateur!AQ62*Calculateur!AS62*VLOOKUP('Données projet'!$B$10,Paramètres!$A$1:$I$89,3,0)*0.475*44/12</f>
        <v>7.7980204344791977</v>
      </c>
      <c r="AW62" s="23">
        <f>EXP(-LN(2)/2)*AW61+(1-EXP(-LN(2)/2))/(LN(2)/2)*AQ62*AT62*VLOOKUP('Données projet'!$B$10,Paramètres!$A$1:$I$89,3,0)*0.475*44/12</f>
        <v>0.21780560140647703</v>
      </c>
      <c r="AX62" s="23">
        <f t="shared" si="6"/>
        <v>35.247745757851419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63.322833289649658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45">
      <c r="A63" s="11">
        <f t="shared" si="31"/>
        <v>60</v>
      </c>
      <c r="B63" s="77">
        <f>'Scénario référence'!$B$16*5+'Scénario référence'!$B$17*0+'Scénario référence'!$B$18*5</f>
        <v>3.75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13.75</v>
      </c>
      <c r="H63" s="70">
        <f t="shared" si="1"/>
        <v>201.66666666666666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159.64393915572111</v>
      </c>
      <c r="T63" s="62">
        <f t="shared" si="34"/>
        <v>389.58290705889829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38.489552612574954</v>
      </c>
      <c r="AA63" s="23">
        <f>EXP(-LN(2)/25)*AA62+(1-EXP(-LN(2)/25))/(LN(2)/25)*Calculateur!V63*Calculateur!X63*VLOOKUP('Données projet'!$B$9,Paramètres!$A$1:$I$89,3,0)*0.475*44/12</f>
        <v>7.6768791678911414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46.166431780466098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620</v>
      </c>
      <c r="AG63" s="13">
        <f>VLOOKUP(A63,'Données projet'!$A$61:$I$81,9,0)</f>
        <v>19.27888888888889</v>
      </c>
      <c r="AH63" s="13">
        <f t="array" ref="AH63">INDEX(AG:AG,MIN(IF(ISNUMBER(AG63:AG259),ROW(AG63:AG259),"")))</f>
        <v>19.27888888888889</v>
      </c>
      <c r="AI63" s="14">
        <f>IF('Données projet'!$A$62&gt;35,AI62+AH63-AQ62,IF(A63&lt;'Données projet'!$A$62,$AF$205^A63,IF(A63='Données projet'!$A$62,'Données projet'!$B$62,AI62+AH63-AQ62)))</f>
        <v>619.99999999999977</v>
      </c>
      <c r="AJ63" s="14">
        <f>AI63*VLOOKUP('Données projet'!$B$10,Paramètres!$A$1:$I$89,3,0)*VLOOKUP('Données projet'!$B$10,Paramètres!$A$1:$I$89,5,0)</f>
        <v>290.15999999999991</v>
      </c>
      <c r="AK63" s="14">
        <f t="shared" si="35"/>
        <v>69.109634717039938</v>
      </c>
      <c r="AL63" s="22">
        <f t="shared" si="4"/>
        <v>625.72794713217775</v>
      </c>
      <c r="AM63" s="62">
        <f t="shared" si="5"/>
        <v>895.00306021411916</v>
      </c>
      <c r="AN63" s="62">
        <f ca="1">AVERAGE(OFFSET($AM$3,0,0,'Données projet'!$E$10+1,1))-AVERAGE(OFFSET($H$3,0,0,'Données projet'!$E$10+1,1))</f>
        <v>442.01983807226742</v>
      </c>
      <c r="AO63" s="62">
        <f t="shared" si="36"/>
        <v>276.48668026732219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88.535185185185185</v>
      </c>
      <c r="AR63" s="17">
        <f>IF(ISNA(VLOOKUP(A63,'Données projet'!$A$61:$I$81,5,0)),0%,VLOOKUP(A63,'Données projet'!$A$61:$I$81,5,0)*VLOOKUP('Données projet'!$B$10,Paramètres!$A$1:$I$89,7,0))</f>
        <v>0.38500000000000001</v>
      </c>
      <c r="AS63" s="17">
        <f>IF(ISNA(VLOOKUP(A63,'Données projet'!$A$61:$I$81,6,0)),0%,VLOOKUP(A63,'Données projet'!$A$61:$I$81,6,0)*VLOOKUP('Données projet'!$B$10,Paramètres!$A$1:$I$89,7,0))</f>
        <v>9.240000000000001E-2</v>
      </c>
      <c r="AT63" s="17">
        <f>IF(ISNA(VLOOKUP(A63,'Données projet'!$A$61:$I$81,7,0)),0%,VLOOKUP(A63,'Données projet'!$A$61:$I$81,7,0))</f>
        <v>0.13200000000000001</v>
      </c>
      <c r="AU63" s="23">
        <f>EXP(-LN(2)/35)*AU62+(1-EXP(-LN(2)/35))/(LN(2)/35)*AQ63*AR63*VLOOKUP('Données projet'!$B$10,Paramètres!$A$1:$I$89,3,0)*0.475*44/12</f>
        <v>47.859632309435312</v>
      </c>
      <c r="AV63" s="23">
        <f>EXP(-LN(2)/25)*AV62+(1-EXP(-LN(2)/25))/(LN(2)/25)*Calculateur!AQ63*Calculateur!AS63*VLOOKUP('Données projet'!$B$10,Paramètres!$A$1:$I$89,3,0)*0.475*44/12</f>
        <v>12.643597281800254</v>
      </c>
      <c r="AW63" s="23">
        <f>EXP(-LN(2)/2)*AW62+(1-EXP(-LN(2)/2))/(LN(2)/2)*AQ63*AT63*VLOOKUP('Données projet'!$B$10,Paramètres!$A$1:$I$89,3,0)*0.475*44/12</f>
        <v>6.3465860813183914</v>
      </c>
      <c r="AX63" s="23">
        <f t="shared" si="6"/>
        <v>66.849815672553959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63.438667204165839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45">
      <c r="A64" s="11">
        <f t="shared" si="31"/>
        <v>61</v>
      </c>
      <c r="B64" s="77">
        <f>'Scénario référence'!$B$16*5+'Scénario référence'!$B$17*0+'Scénario référence'!$B$18*5</f>
        <v>3.75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13.75</v>
      </c>
      <c r="H64" s="70">
        <f t="shared" si="1"/>
        <v>201.66666666666666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159.64393915572111</v>
      </c>
      <c r="T64" s="62">
        <f t="shared" si="34"/>
        <v>389.58290705889829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37.73479596215136</v>
      </c>
      <c r="AA64" s="23">
        <f>EXP(-LN(2)/25)*AA63+(1-EXP(-LN(2)/25))/(LN(2)/25)*Calculateur!V64*Calculateur!X64*VLOOKUP('Données projet'!$B$9,Paramètres!$A$1:$I$89,3,0)*0.475*44/12</f>
        <v>7.4669545033356286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45.201750465486988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14.853518518518513</v>
      </c>
      <c r="AI64" s="14">
        <f>IF('Données projet'!$A$62&gt;35,AI63+AH64-AQ63,IF(A64&lt;'Données projet'!$A$62,$AF$205^A64,IF(A64='Données projet'!$A$62,'Données projet'!$B$62,AI63+AH64-AQ63)))</f>
        <v>546.31833333333316</v>
      </c>
      <c r="AJ64" s="14">
        <f>AI64*VLOOKUP('Données projet'!$B$10,Paramètres!$A$1:$I$89,3,0)*VLOOKUP('Données projet'!$B$10,Paramètres!$A$1:$I$89,5,0)</f>
        <v>255.67697999999993</v>
      </c>
      <c r="AK64" s="14">
        <f t="shared" si="35"/>
        <v>61.799987501807287</v>
      </c>
      <c r="AL64" s="22">
        <f t="shared" si="4"/>
        <v>552.93905173231428</v>
      </c>
      <c r="AM64" s="62">
        <f t="shared" si="5"/>
        <v>822.63152114949457</v>
      </c>
      <c r="AN64" s="62">
        <f ca="1">AVERAGE(OFFSET($AM$3,0,0,'Données projet'!$E$10+1,1))-AVERAGE(OFFSET($H$3,0,0,'Données projet'!$E$10+1,1))</f>
        <v>442.01983807226742</v>
      </c>
      <c r="AO64" s="62">
        <f t="shared" si="36"/>
        <v>276.48668026732219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46.921134111340571</v>
      </c>
      <c r="AV64" s="23">
        <f>EXP(-LN(2)/25)*AV63+(1-EXP(-LN(2)/25))/(LN(2)/25)*Calculateur!AQ64*Calculateur!AS64*VLOOKUP('Données projet'!$B$10,Paramètres!$A$1:$I$89,3,0)*0.475*44/12</f>
        <v>12.297857449231543</v>
      </c>
      <c r="AW64" s="23">
        <f>EXP(-LN(2)/2)*AW63+(1-EXP(-LN(2)/2))/(LN(2)/2)*AQ64*AT64*VLOOKUP('Données projet'!$B$10,Paramètres!$A$1:$I$89,3,0)*0.475*44/12</f>
        <v>4.4877140554843926</v>
      </c>
      <c r="AX64" s="23">
        <f t="shared" si="6"/>
        <v>63.70670561605651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63.552491659230995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45">
      <c r="A65" s="11">
        <f t="shared" si="31"/>
        <v>62</v>
      </c>
      <c r="B65" s="77">
        <f>'Scénario référence'!$B$16*5+'Scénario référence'!$B$17*0+'Scénario référence'!$B$18*5</f>
        <v>3.75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13.75</v>
      </c>
      <c r="H65" s="70">
        <f t="shared" si="1"/>
        <v>201.66666666666666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159.64393915572111</v>
      </c>
      <c r="T65" s="62">
        <f t="shared" si="34"/>
        <v>389.58290705889829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36.994839629286474</v>
      </c>
      <c r="AA65" s="23">
        <f>EXP(-LN(2)/25)*AA64+(1-EXP(-LN(2)/25))/(LN(2)/25)*Calculateur!V65*Calculateur!X65*VLOOKUP('Données projet'!$B$9,Paramètres!$A$1:$I$89,3,0)*0.475*44/12</f>
        <v>7.2627702397718448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44.257609869058321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14.853518518518513</v>
      </c>
      <c r="AI65" s="14">
        <f>IF('Données projet'!$A$62&gt;35,AI64+AH65-AQ64,IF(A65&lt;'Données projet'!$A$62,$AF$205^A65,IF(A65='Données projet'!$A$62,'Données projet'!$B$62,AI64+AH65-AQ64)))</f>
        <v>561.17185185185167</v>
      </c>
      <c r="AJ65" s="14">
        <f>AI65*VLOOKUP('Données projet'!$B$10,Paramètres!$A$1:$I$89,3,0)*VLOOKUP('Données projet'!$B$10,Paramètres!$A$1:$I$89,5,0)</f>
        <v>262.6284266666666</v>
      </c>
      <c r="AK65" s="14">
        <f t="shared" si="35"/>
        <v>63.28232389309921</v>
      </c>
      <c r="AL65" s="22">
        <f t="shared" si="4"/>
        <v>567.62789055825874</v>
      </c>
      <c r="AM65" s="62">
        <f t="shared" si="5"/>
        <v>837.73047611133052</v>
      </c>
      <c r="AN65" s="62">
        <f ca="1">AVERAGE(OFFSET($AM$3,0,0,'Données projet'!$E$10+1,1))-AVERAGE(OFFSET($H$3,0,0,'Données projet'!$E$10+1,1))</f>
        <v>442.01983807226742</v>
      </c>
      <c r="AO65" s="62">
        <f t="shared" si="36"/>
        <v>276.48668026732219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46.001039290483092</v>
      </c>
      <c r="AV65" s="23">
        <f>EXP(-LN(2)/25)*AV64+(1-EXP(-LN(2)/25))/(LN(2)/25)*Calculateur!AQ65*Calculateur!AS65*VLOOKUP('Données projet'!$B$10,Paramètres!$A$1:$I$89,3,0)*0.475*44/12</f>
        <v>11.961571890566091</v>
      </c>
      <c r="AW65" s="23">
        <f>EXP(-LN(2)/2)*AW64+(1-EXP(-LN(2)/2))/(LN(2)/2)*AQ65*AT65*VLOOKUP('Données projet'!$B$10,Paramètres!$A$1:$I$89,3,0)*0.475*44/12</f>
        <v>3.1732930406591966</v>
      </c>
      <c r="AX65" s="23">
        <f t="shared" si="6"/>
        <v>61.13590422170838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63.664341514474131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45">
      <c r="A66" s="11">
        <f t="shared" si="31"/>
        <v>63</v>
      </c>
      <c r="B66" s="77">
        <f>'Scénario référence'!$B$16*5+'Scénario référence'!$B$17*0+'Scénario référence'!$B$18*5</f>
        <v>3.75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13.75</v>
      </c>
      <c r="H66" s="70">
        <f t="shared" si="1"/>
        <v>201.66666666666666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159.64393915572111</v>
      </c>
      <c r="T66" s="62">
        <f t="shared" si="34"/>
        <v>389.58290705889829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36.269393388780266</v>
      </c>
      <c r="AA66" s="23">
        <f>EXP(-LN(2)/25)*AA65+(1-EXP(-LN(2)/25))/(LN(2)/25)*Calculateur!V66*Calculateur!X66*VLOOKUP('Données projet'!$B$9,Paramètres!$A$1:$I$89,3,0)*0.475*44/12</f>
        <v>7.0641694056327964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43.333562794413062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14.853518518518513</v>
      </c>
      <c r="AI66" s="14">
        <f>IF('Données projet'!$A$62&gt;35,AI65+AH66-AQ65,IF(A66&lt;'Données projet'!$A$62,$AF$205^A66,IF(A66='Données projet'!$A$62,'Données projet'!$B$62,AI65+AH66-AQ65)))</f>
        <v>576.02537037037018</v>
      </c>
      <c r="AJ66" s="14">
        <f>AI66*VLOOKUP('Données projet'!$B$10,Paramètres!$A$1:$I$89,3,0)*VLOOKUP('Données projet'!$B$10,Paramètres!$A$1:$I$89,5,0)</f>
        <v>269.57987333333324</v>
      </c>
      <c r="AK66" s="14">
        <f t="shared" si="35"/>
        <v>64.760099726686519</v>
      </c>
      <c r="AL66" s="22">
        <f t="shared" si="4"/>
        <v>582.30878641286779</v>
      </c>
      <c r="AM66" s="62">
        <f t="shared" si="5"/>
        <v>852.81437350375563</v>
      </c>
      <c r="AN66" s="62">
        <f ca="1">AVERAGE(OFFSET($AM$3,0,0,'Données projet'!$E$10+1,1))-AVERAGE(OFFSET($H$3,0,0,'Données projet'!$E$10+1,1))</f>
        <v>442.01983807226742</v>
      </c>
      <c r="AO66" s="62">
        <f t="shared" si="36"/>
        <v>276.48668026732219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45.098986967860199</v>
      </c>
      <c r="AV66" s="23">
        <f>EXP(-LN(2)/25)*AV65+(1-EXP(-LN(2)/25))/(LN(2)/25)*Calculateur!AQ66*Calculateur!AS66*VLOOKUP('Données projet'!$B$10,Paramètres!$A$1:$I$89,3,0)*0.475*44/12</f>
        <v>11.634482078186835</v>
      </c>
      <c r="AW66" s="23">
        <f>EXP(-LN(2)/2)*AW65+(1-EXP(-LN(2)/2))/(LN(2)/2)*AQ66*AT66*VLOOKUP('Données projet'!$B$10,Paramètres!$A$1:$I$89,3,0)*0.475*44/12</f>
        <v>2.2438570277421968</v>
      </c>
      <c r="AX66" s="23">
        <f t="shared" si="6"/>
        <v>58.977326073789229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63.774251024787617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45">
      <c r="A67" s="11">
        <f t="shared" si="31"/>
        <v>64</v>
      </c>
      <c r="B67" s="77">
        <f>'Scénario référence'!$B$16*5+'Scénario référence'!$B$17*0+'Scénario référence'!$B$18*5</f>
        <v>3.75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13.75</v>
      </c>
      <c r="H67" s="70">
        <f t="shared" si="1"/>
        <v>201.66666666666666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159.64393915572111</v>
      </c>
      <c r="T67" s="62">
        <f t="shared" si="34"/>
        <v>389.58290705889829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35.558172706571874</v>
      </c>
      <c r="AA67" s="23">
        <f>EXP(-LN(2)/25)*AA66+(1-EXP(-LN(2)/25))/(LN(2)/25)*Calculateur!V67*Calculateur!X67*VLOOKUP('Données projet'!$B$9,Paramètres!$A$1:$I$89,3,0)*0.475*44/12</f>
        <v>6.8709993217472443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42.429172028319115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14.853518518518513</v>
      </c>
      <c r="AI67" s="14">
        <f>IF('Données projet'!$A$62&gt;35,AI66+AH67-AQ66,IF(A67&lt;'Données projet'!$A$62,$AF$205^A67,IF(A67='Données projet'!$A$62,'Données projet'!$B$62,AI66+AH67-AQ66)))</f>
        <v>590.8788888888887</v>
      </c>
      <c r="AJ67" s="14">
        <f>AI67*VLOOKUP('Données projet'!$B$10,Paramètres!$A$1:$I$89,3,0)*VLOOKUP('Données projet'!$B$10,Paramètres!$A$1:$I$89,5,0)</f>
        <v>276.53131999999994</v>
      </c>
      <c r="AK67" s="14">
        <f t="shared" si="35"/>
        <v>66.233446123287081</v>
      </c>
      <c r="AL67" s="22">
        <f t="shared" si="4"/>
        <v>596.98196766472495</v>
      </c>
      <c r="AM67" s="62">
        <f t="shared" si="5"/>
        <v>867.8835651177244</v>
      </c>
      <c r="AN67" s="62">
        <f ca="1">AVERAGE(OFFSET($AM$3,0,0,'Données projet'!$E$10+1,1))-AVERAGE(OFFSET($H$3,0,0,'Données projet'!$E$10+1,1))</f>
        <v>442.01983807226742</v>
      </c>
      <c r="AO67" s="62">
        <f t="shared" si="36"/>
        <v>276.48668026732219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44.214623341086352</v>
      </c>
      <c r="AV67" s="23">
        <f>EXP(-LN(2)/25)*AV66+(1-EXP(-LN(2)/25))/(LN(2)/25)*Calculateur!AQ67*Calculateur!AS67*VLOOKUP('Données projet'!$B$10,Paramètres!$A$1:$I$89,3,0)*0.475*44/12</f>
        <v>11.316336553927995</v>
      </c>
      <c r="AW67" s="23">
        <f>EXP(-LN(2)/2)*AW66+(1-EXP(-LN(2)/2))/(LN(2)/2)*AQ67*AT67*VLOOKUP('Données projet'!$B$10,Paramètres!$A$1:$I$89,3,0)*0.475*44/12</f>
        <v>1.5866465203295985</v>
      </c>
      <c r="AX67" s="23">
        <f t="shared" si="6"/>
        <v>57.11760641534395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63.882253850818017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45">
      <c r="A68" s="11">
        <f t="shared" si="31"/>
        <v>65</v>
      </c>
      <c r="B68" s="77">
        <f>'Scénario référence'!$B$16*5+'Scénario référence'!$B$17*0+'Scénario référence'!$B$18*5</f>
        <v>3.75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13.75</v>
      </c>
      <c r="H68" s="70">
        <f t="shared" ref="H68:H131" si="56">(B68+E68+F68)*44/12+(C68+D68)*0.475*44/12</f>
        <v>201.66666666666666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159.64393915572111</v>
      </c>
      <c r="T68" s="62">
        <f t="shared" si="34"/>
        <v>389.58290705889829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34.860898628139807</v>
      </c>
      <c r="AA68" s="23">
        <f>EXP(-LN(2)/25)*AA67+(1-EXP(-LN(2)/25))/(LN(2)/25)*Calculateur!V68*Calculateur!X68*VLOOKUP('Données projet'!$B$9,Paramètres!$A$1:$I$89,3,0)*0.475*44/12</f>
        <v>6.6831114839639154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41.54401011210372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14.853518518518513</v>
      </c>
      <c r="AI68" s="14">
        <f>IF('Données projet'!$A$62&gt;35,AI67+AH68-AQ67,IF(A68&lt;'Données projet'!$A$62,$AF$205^A68,IF(A68='Données projet'!$A$62,'Données projet'!$B$62,AI67+AH68-AQ67)))</f>
        <v>605.73240740740721</v>
      </c>
      <c r="AJ68" s="14">
        <f>AI68*VLOOKUP('Données projet'!$B$10,Paramètres!$A$1:$I$89,3,0)*VLOOKUP('Données projet'!$B$10,Paramètres!$A$1:$I$89,5,0)</f>
        <v>283.48276666666658</v>
      </c>
      <c r="AK68" s="14">
        <f t="shared" si="35"/>
        <v>67.702487235707395</v>
      </c>
      <c r="AL68" s="22">
        <f t="shared" ref="AL68:AL131" si="58">(AJ68+AK68)*0.475*44/12</f>
        <v>611.64765054663462</v>
      </c>
      <c r="AM68" s="62">
        <f t="shared" ref="AM68:AM131" si="59">AL68+(AD68+AE68)*44/12</f>
        <v>882.93838846730932</v>
      </c>
      <c r="AN68" s="62">
        <f ca="1">AVERAGE(OFFSET($AM$3,0,0,'Données projet'!$E$10+1,1))-AVERAGE(OFFSET($H$3,0,0,'Données projet'!$E$10+1,1))</f>
        <v>442.01983807226742</v>
      </c>
      <c r="AO68" s="62">
        <f t="shared" si="36"/>
        <v>276.48668026732219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43.34760154562499</v>
      </c>
      <c r="AV68" s="23">
        <f>EXP(-LN(2)/25)*AV67+(1-EXP(-LN(2)/25))/(LN(2)/25)*Calculateur!AQ68*Calculateur!AS68*VLOOKUP('Données projet'!$B$10,Paramètres!$A$1:$I$89,3,0)*0.475*44/12</f>
        <v>11.006890735760559</v>
      </c>
      <c r="AW68" s="23">
        <f>EXP(-LN(2)/2)*AW67+(1-EXP(-LN(2)/2))/(LN(2)/2)*AQ68*AT68*VLOOKUP('Données projet'!$B$10,Paramètres!$A$1:$I$89,3,0)*0.475*44/12</f>
        <v>1.1219285138710986</v>
      </c>
      <c r="AX68" s="23">
        <f t="shared" ref="AX68:AX131" si="60">SUM(AU68:AW68)</f>
        <v>55.476420795256644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63.988383069274924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45">
      <c r="A69" s="11">
        <f t="shared" ref="A69:A132" si="85">A68+1</f>
        <v>66</v>
      </c>
      <c r="B69" s="77">
        <f>'Scénario référence'!$B$16*5+'Scénario référence'!$B$17*0+'Scénario référence'!$B$18*5</f>
        <v>3.75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13.75</v>
      </c>
      <c r="H69" s="70">
        <f t="shared" si="56"/>
        <v>201.66666666666666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159.64393915572111</v>
      </c>
      <c r="T69" s="62">
        <f t="shared" ref="T69:T132" si="88">$T$3</f>
        <v>389.58290705889829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34.177297669090599</v>
      </c>
      <c r="AA69" s="23">
        <f>EXP(-LN(2)/25)*AA68+(1-EXP(-LN(2)/25))/(LN(2)/25)*Calculateur!V69*Calculateur!X69*VLOOKUP('Données projet'!$B$9,Paramètres!$A$1:$I$89,3,0)*0.475*44/12</f>
        <v>6.5003614489853634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40.677659118075965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14.853518518518513</v>
      </c>
      <c r="AI69" s="14">
        <f>IF('Données projet'!$A$62&gt;35,AI68+AH69-AQ68,IF(A69&lt;'Données projet'!$A$62,$AF$205^A69,IF(A69='Données projet'!$A$62,'Données projet'!$B$62,AI68+AH69-AQ68)))</f>
        <v>620.58592592592572</v>
      </c>
      <c r="AJ69" s="14">
        <f>AI69*VLOOKUP('Données projet'!$B$10,Paramètres!$A$1:$I$89,3,0)*VLOOKUP('Données projet'!$B$10,Paramètres!$A$1:$I$89,5,0)</f>
        <v>290.43421333333322</v>
      </c>
      <c r="AK69" s="14">
        <f t="shared" ref="AK69:AK132" si="89">EXP(-1.0587+0.8836*LN(AJ69)+0.284)</f>
        <v>69.167340780778872</v>
      </c>
      <c r="AL69" s="22">
        <f t="shared" si="58"/>
        <v>626.30604008207854</v>
      </c>
      <c r="AM69" s="62">
        <f t="shared" si="59"/>
        <v>897.97916775330214</v>
      </c>
      <c r="AN69" s="62">
        <f ca="1">AVERAGE(OFFSET($AM$3,0,0,'Données projet'!$E$10+1,1))-AVERAGE(OFFSET($H$3,0,0,'Données projet'!$E$10+1,1))</f>
        <v>442.01983807226742</v>
      </c>
      <c r="AO69" s="62">
        <f t="shared" ref="AO69:AO132" si="90">$AO$3</f>
        <v>276.48668026732219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42.497581518741548</v>
      </c>
      <c r="AV69" s="23">
        <f>EXP(-LN(2)/25)*AV68+(1-EXP(-LN(2)/25))/(LN(2)/25)*Calculateur!AQ69*Calculateur!AS69*VLOOKUP('Données projet'!$B$10,Paramètres!$A$1:$I$89,3,0)*0.475*44/12</f>
        <v>10.705906729763958</v>
      </c>
      <c r="AW69" s="23">
        <f>EXP(-LN(2)/2)*AW68+(1-EXP(-LN(2)/2))/(LN(2)/2)*AQ69*AT69*VLOOKUP('Données projet'!$B$10,Paramètres!$A$1:$I$89,3,0)*0.475*44/12</f>
        <v>0.79332326016479937</v>
      </c>
      <c r="AX69" s="23">
        <f t="shared" si="60"/>
        <v>53.996811508670305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64.092671183061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45">
      <c r="A70" s="11">
        <f t="shared" si="85"/>
        <v>67</v>
      </c>
      <c r="B70" s="77">
        <f>'Scénario référence'!$B$16*5+'Scénario référence'!$B$17*0+'Scénario référence'!$B$18*5</f>
        <v>3.75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13.75</v>
      </c>
      <c r="H70" s="70">
        <f t="shared" si="56"/>
        <v>201.66666666666666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159.64393915572111</v>
      </c>
      <c r="T70" s="62">
        <f t="shared" si="88"/>
        <v>389.58290705889829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33.507101707892929</v>
      </c>
      <c r="AA70" s="23">
        <f>EXP(-LN(2)/25)*AA69+(1-EXP(-LN(2)/25))/(LN(2)/25)*Calculateur!V70*Calculateur!X70*VLOOKUP('Données projet'!$B$9,Paramètres!$A$1:$I$89,3,0)*0.475*44/12</f>
        <v>6.3226087233237065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39.829710431216633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14.853518518518513</v>
      </c>
      <c r="AI70" s="14">
        <f>IF('Données projet'!$A$62&gt;35,AI69+AH70-AQ69,IF(A70&lt;'Données projet'!$A$62,$AF$205^A70,IF(A70='Données projet'!$A$62,'Données projet'!$B$62,AI69+AH70-AQ69)))</f>
        <v>635.43944444444423</v>
      </c>
      <c r="AJ70" s="14">
        <f>AI70*VLOOKUP('Données projet'!$B$10,Paramètres!$A$1:$I$89,3,0)*VLOOKUP('Données projet'!$B$10,Paramètres!$A$1:$I$89,5,0)</f>
        <v>297.38565999999986</v>
      </c>
      <c r="AK70" s="14">
        <f t="shared" si="89"/>
        <v>70.628118518933903</v>
      </c>
      <c r="AL70" s="22">
        <f t="shared" si="58"/>
        <v>640.95733092047624</v>
      </c>
      <c r="AM70" s="62">
        <f t="shared" si="59"/>
        <v>913.00621473497222</v>
      </c>
      <c r="AN70" s="62">
        <f ca="1">AVERAGE(OFFSET($AM$3,0,0,'Données projet'!$E$10+1,1))-AVERAGE(OFFSET($H$3,0,0,'Données projet'!$E$10+1,1))</f>
        <v>442.01983807226742</v>
      </c>
      <c r="AO70" s="62">
        <f t="shared" si="90"/>
        <v>276.48668026732219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41.664229866124266</v>
      </c>
      <c r="AV70" s="23">
        <f>EXP(-LN(2)/25)*AV69+(1-EXP(-LN(2)/25))/(LN(2)/25)*Calculateur!AQ70*Calculateur!AS70*VLOOKUP('Données projet'!$B$10,Paramètres!$A$1:$I$89,3,0)*0.475*44/12</f>
        <v>10.413153147239397</v>
      </c>
      <c r="AW70" s="23">
        <f>EXP(-LN(2)/2)*AW69+(1-EXP(-LN(2)/2))/(LN(2)/2)*AQ70*AT70*VLOOKUP('Données projet'!$B$10,Paramètres!$A$1:$I$89,3,0)*0.475*44/12</f>
        <v>0.5609642569355493</v>
      </c>
      <c r="AX70" s="23">
        <f t="shared" si="60"/>
        <v>52.638347270299214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64.195150131226171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45">
      <c r="A71" s="11">
        <f t="shared" si="85"/>
        <v>68</v>
      </c>
      <c r="B71" s="77">
        <f>'Scénario référence'!$B$16*5+'Scénario référence'!$B$17*0+'Scénario référence'!$B$18*5</f>
        <v>3.75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13.75</v>
      </c>
      <c r="H71" s="70">
        <f t="shared" si="56"/>
        <v>201.66666666666666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159.64393915572111</v>
      </c>
      <c r="T71" s="62">
        <f t="shared" si="88"/>
        <v>389.58290705889829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32.850047880715174</v>
      </c>
      <c r="AA71" s="23">
        <f>EXP(-LN(2)/25)*AA70+(1-EXP(-LN(2)/25))/(LN(2)/25)*Calculateur!V71*Calculateur!X71*VLOOKUP('Données projet'!$B$9,Paramètres!$A$1:$I$89,3,0)*0.475*44/12</f>
        <v>6.1497166552928775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38.999764536008051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14.853518518518513</v>
      </c>
      <c r="AI71" s="14">
        <f>IF('Données projet'!$A$62&gt;35,AI70+AH71-AQ70,IF(A71&lt;'Données projet'!$A$62,$AF$205^A71,IF(A71='Données projet'!$A$62,'Données projet'!$B$62,AI70+AH71-AQ70)))</f>
        <v>650.29296296296275</v>
      </c>
      <c r="AJ71" s="14">
        <f>AI71*VLOOKUP('Données projet'!$B$10,Paramètres!$A$1:$I$89,3,0)*VLOOKUP('Données projet'!$B$10,Paramètres!$A$1:$I$89,5,0)</f>
        <v>304.33710666666656</v>
      </c>
      <c r="AK71" s="14">
        <f t="shared" si="89"/>
        <v>72.084926687677097</v>
      </c>
      <c r="AL71" s="22">
        <f t="shared" si="58"/>
        <v>655.60170809214844</v>
      </c>
      <c r="AM71" s="62">
        <f t="shared" si="59"/>
        <v>928.01982952089588</v>
      </c>
      <c r="AN71" s="62">
        <f ca="1">AVERAGE(OFFSET($AM$3,0,0,'Données projet'!$E$10+1,1))-AVERAGE(OFFSET($H$3,0,0,'Données projet'!$E$10+1,1))</f>
        <v>442.01983807226742</v>
      </c>
      <c r="AO71" s="62">
        <f t="shared" si="90"/>
        <v>276.48668026732219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40.847219731120497</v>
      </c>
      <c r="AV71" s="23">
        <f>EXP(-LN(2)/25)*AV70+(1-EXP(-LN(2)/25))/(LN(2)/25)*Calculateur!AQ71*Calculateur!AS71*VLOOKUP('Données projet'!$B$10,Paramètres!$A$1:$I$89,3,0)*0.475*44/12</f>
        <v>10.128404926824212</v>
      </c>
      <c r="AW71" s="23">
        <f>EXP(-LN(2)/2)*AW70+(1-EXP(-LN(2)/2))/(LN(2)/2)*AQ71*AT71*VLOOKUP('Données projet'!$B$10,Paramètres!$A$1:$I$89,3,0)*0.475*44/12</f>
        <v>0.39666163008239969</v>
      </c>
      <c r="AX71" s="23">
        <f t="shared" si="60"/>
        <v>51.372286288027105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64.295851298749298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45">
      <c r="A72" s="11">
        <f t="shared" si="85"/>
        <v>69</v>
      </c>
      <c r="B72" s="77">
        <f>'Scénario référence'!$B$16*5+'Scénario référence'!$B$17*0+'Scénario référence'!$B$18*5</f>
        <v>3.75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13.75</v>
      </c>
      <c r="H72" s="70">
        <f t="shared" si="56"/>
        <v>201.66666666666666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159.64393915572111</v>
      </c>
      <c r="T72" s="62">
        <f t="shared" si="88"/>
        <v>389.58290705889829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32.205878478325111</v>
      </c>
      <c r="AA72" s="23">
        <f>EXP(-LN(2)/25)*AA71+(1-EXP(-LN(2)/25))/(LN(2)/25)*Calculateur!V72*Calculateur!X72*VLOOKUP('Données projet'!$B$9,Paramètres!$A$1:$I$89,3,0)*0.475*44/12</f>
        <v>5.9815523299543498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38.187430808279458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14.853518518518513</v>
      </c>
      <c r="AI72" s="14">
        <f>IF('Données projet'!$A$62&gt;35,AI71+AH72-AQ71,IF(A72&lt;'Données projet'!$A$62,$AF$205^A72,IF(A72='Données projet'!$A$62,'Données projet'!$B$62,AI71+AH72-AQ71)))</f>
        <v>665.14648148148126</v>
      </c>
      <c r="AJ72" s="14">
        <f>AI72*VLOOKUP('Données projet'!$B$10,Paramètres!$A$1:$I$89,3,0)*VLOOKUP('Données projet'!$B$10,Paramètres!$A$1:$I$89,5,0)</f>
        <v>311.2885533333332</v>
      </c>
      <c r="AK72" s="14">
        <f t="shared" si="89"/>
        <v>73.537866394336561</v>
      </c>
      <c r="AL72" s="22">
        <f t="shared" si="58"/>
        <v>670.23934769235814</v>
      </c>
      <c r="AM72" s="62">
        <f t="shared" si="59"/>
        <v>943.0203012882414</v>
      </c>
      <c r="AN72" s="62">
        <f ca="1">AVERAGE(OFFSET($AM$3,0,0,'Données projet'!$E$10+1,1))-AVERAGE(OFFSET($H$3,0,0,'Données projet'!$E$10+1,1))</f>
        <v>442.01983807226742</v>
      </c>
      <c r="AO72" s="62">
        <f t="shared" si="90"/>
        <v>276.48668026732219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40.04623066653717</v>
      </c>
      <c r="AV72" s="23">
        <f>EXP(-LN(2)/25)*AV71+(1-EXP(-LN(2)/25))/(LN(2)/25)*Calculateur!AQ72*Calculateur!AS72*VLOOKUP('Données projet'!$B$10,Paramètres!$A$1:$I$89,3,0)*0.475*44/12</f>
        <v>9.851443161470538</v>
      </c>
      <c r="AW72" s="23">
        <f>EXP(-LN(2)/2)*AW71+(1-EXP(-LN(2)/2))/(LN(2)/2)*AQ72*AT72*VLOOKUP('Données projet'!$B$10,Paramètres!$A$1:$I$89,3,0)*0.475*44/12</f>
        <v>0.28048212846777465</v>
      </c>
      <c r="AX72" s="23">
        <f t="shared" si="60"/>
        <v>50.178155956475486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64.39480552614998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45">
      <c r="A73" s="11">
        <f t="shared" si="85"/>
        <v>70</v>
      </c>
      <c r="B73" s="77">
        <f>'Scénario référence'!$B$16*5+'Scénario référence'!$B$17*0+'Scénario référence'!$B$18*5</f>
        <v>3.75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13.75</v>
      </c>
      <c r="H73" s="70">
        <f t="shared" si="56"/>
        <v>201.66666666666666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159.64393915572111</v>
      </c>
      <c r="T73" s="62">
        <f t="shared" si="88"/>
        <v>389.58290705889829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31.574340845011378</v>
      </c>
      <c r="AA73" s="23">
        <f>EXP(-LN(2)/25)*AA72+(1-EXP(-LN(2)/25))/(LN(2)/25)*Calculateur!V73*Calculateur!X73*VLOOKUP('Données projet'!$B$9,Paramètres!$A$1:$I$89,3,0)*0.475*44/12</f>
        <v>5.8179864669355821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37.392327311946957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680</v>
      </c>
      <c r="AG73" s="13">
        <f>VLOOKUP(A73,'Données projet'!$A$61:$I$81,9,0)</f>
        <v>14.853518518518513</v>
      </c>
      <c r="AH73" s="13">
        <f t="array" ref="AH73">INDEX(AG:AG,MIN(IF(ISNUMBER(AG73:AG269),ROW(AG73:AG269),"")))</f>
        <v>14.853518518518513</v>
      </c>
      <c r="AI73" s="14">
        <f>IF('Données projet'!$A$62&gt;35,AI72+AH73-AQ72,IF(A73&lt;'Données projet'!$A$62,$AF$205^A73,IF(A73='Données projet'!$A$62,'Données projet'!$B$62,AI72+AH73-AQ72)))</f>
        <v>679.99999999999977</v>
      </c>
      <c r="AJ73" s="14">
        <f>AI73*VLOOKUP('Données projet'!$B$10,Paramètres!$A$1:$I$89,3,0)*VLOOKUP('Données projet'!$B$10,Paramètres!$A$1:$I$89,5,0)</f>
        <v>318.2399999999999</v>
      </c>
      <c r="AK73" s="14">
        <f t="shared" si="89"/>
        <v>74.987033972743831</v>
      </c>
      <c r="AL73" s="22">
        <f t="shared" si="58"/>
        <v>684.87041750252865</v>
      </c>
      <c r="AM73" s="62">
        <f t="shared" si="59"/>
        <v>958.00790893861904</v>
      </c>
      <c r="AN73" s="62">
        <f ca="1">AVERAGE(OFFSET($AM$3,0,0,'Données projet'!$E$10+1,1))-AVERAGE(OFFSET($H$3,0,0,'Données projet'!$E$10+1,1))</f>
        <v>442.01983807226742</v>
      </c>
      <c r="AO73" s="62">
        <f t="shared" si="90"/>
        <v>276.48668026732219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111.0774691358025</v>
      </c>
      <c r="AR73" s="17">
        <f>IF(ISNA(VLOOKUP(A73,'Données projet'!$A$61:$I$81,5,0)),0%,VLOOKUP(A73,'Données projet'!$A$61:$I$81,5,0)*VLOOKUP('Données projet'!$B$10,Paramètres!$A$1:$I$89,7,0))</f>
        <v>0.38500000000000001</v>
      </c>
      <c r="AS73" s="17">
        <f>IF(ISNA(VLOOKUP(A73,'Données projet'!$A$61:$I$81,6,0)),0%,VLOOKUP(A73,'Données projet'!$A$61:$I$81,6,0)*VLOOKUP('Données projet'!$B$10,Paramètres!$A$1:$I$89,7,0))</f>
        <v>9.240000000000001E-2</v>
      </c>
      <c r="AT73" s="17">
        <f>IF(ISNA(VLOOKUP(A73,'Données projet'!$A$61:$I$81,7,0)),0%,VLOOKUP(A73,'Données projet'!$A$61:$I$81,7,0))</f>
        <v>0.13200000000000001</v>
      </c>
      <c r="AU73" s="23">
        <f>EXP(-LN(2)/35)*AU72+(1-EXP(-LN(2)/35))/(LN(2)/35)*AQ73*AR73*VLOOKUP('Données projet'!$B$10,Paramètres!$A$1:$I$89,3,0)*0.475*44/12</f>
        <v>65.810727789012134</v>
      </c>
      <c r="AV73" s="23">
        <f>EXP(-LN(2)/25)*AV72+(1-EXP(-LN(2)/25))/(LN(2)/25)*Calculateur!AQ73*Calculateur!AS73*VLOOKUP('Données projet'!$B$10,Paramètres!$A$1:$I$89,3,0)*0.475*44/12</f>
        <v>15.928913174020602</v>
      </c>
      <c r="AW73" s="23">
        <f>EXP(-LN(2)/2)*AW72+(1-EXP(-LN(2)/2))/(LN(2)/2)*AQ73*AT73*VLOOKUP('Données projet'!$B$10,Paramètres!$A$1:$I$89,3,0)*0.475*44/12</f>
        <v>7.9676202246199921</v>
      </c>
      <c r="AX73" s="23">
        <f t="shared" si="60"/>
        <v>89.707261187652733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64.492043118933765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45">
      <c r="A74" s="11">
        <f t="shared" si="85"/>
        <v>71</v>
      </c>
      <c r="B74" s="77">
        <f>'Scénario référence'!$B$16*5+'Scénario référence'!$B$17*0+'Scénario référence'!$B$18*5</f>
        <v>3.75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13.75</v>
      </c>
      <c r="H74" s="70">
        <f t="shared" si="56"/>
        <v>201.66666666666666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159.64393915572111</v>
      </c>
      <c r="T74" s="62">
        <f t="shared" si="88"/>
        <v>389.58290705889829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30.955187279487006</v>
      </c>
      <c r="AA74" s="23">
        <f>EXP(-LN(2)/25)*AA73+(1-EXP(-LN(2)/25))/(LN(2)/25)*Calculateur!V74*Calculateur!X74*VLOOKUP('Données projet'!$B$9,Paramètres!$A$1:$I$89,3,0)*0.475*44/12</f>
        <v>5.6588933210426173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36.614080600529626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13.107746913580252</v>
      </c>
      <c r="AI74" s="14">
        <f>IF('Données projet'!$A$62&gt;35,AI73+AH74-AQ73,IF(A74&lt;'Données projet'!$A$62,$AF$205^A74,IF(A74='Données projet'!$A$62,'Données projet'!$B$62,AI73+AH74-AQ73)))</f>
        <v>582.03027777777754</v>
      </c>
      <c r="AJ74" s="14">
        <f>AI74*VLOOKUP('Données projet'!$B$10,Paramètres!$A$1:$I$89,3,0)*VLOOKUP('Données projet'!$B$10,Paramètres!$A$1:$I$89,5,0)</f>
        <v>272.3901699999999</v>
      </c>
      <c r="AK74" s="14">
        <f t="shared" si="89"/>
        <v>65.356263197838587</v>
      </c>
      <c r="AL74" s="22">
        <f t="shared" si="58"/>
        <v>588.24170448623534</v>
      </c>
      <c r="AM74" s="62">
        <f t="shared" si="59"/>
        <v>861.72954862810457</v>
      </c>
      <c r="AN74" s="62">
        <f ca="1">AVERAGE(OFFSET($AM$3,0,0,'Données projet'!$E$10+1,1))-AVERAGE(OFFSET($H$3,0,0,'Données projet'!$E$10+1,1))</f>
        <v>442.01983807226742</v>
      </c>
      <c r="AO74" s="62">
        <f t="shared" si="90"/>
        <v>276.48668026732219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64.520219557650009</v>
      </c>
      <c r="AV74" s="23">
        <f>EXP(-LN(2)/25)*AV73+(1-EXP(-LN(2)/25))/(LN(2)/25)*Calculateur!AQ74*Calculateur!AS74*VLOOKUP('Données projet'!$B$10,Paramètres!$A$1:$I$89,3,0)*0.475*44/12</f>
        <v>15.493336205611872</v>
      </c>
      <c r="AW74" s="23">
        <f>EXP(-LN(2)/2)*AW73+(1-EXP(-LN(2)/2))/(LN(2)/2)*AQ74*AT74*VLOOKUP('Données projet'!$B$10,Paramètres!$A$1:$I$89,3,0)*0.475*44/12</f>
        <v>5.6339582907478798</v>
      </c>
      <c r="AX74" s="23">
        <f t="shared" si="60"/>
        <v>85.647514054009761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64.58759385687344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45">
      <c r="A75" s="11">
        <f t="shared" si="85"/>
        <v>72</v>
      </c>
      <c r="B75" s="77">
        <f>'Scénario référence'!$B$16*5+'Scénario référence'!$B$17*0+'Scénario référence'!$B$18*5</f>
        <v>3.75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13.75</v>
      </c>
      <c r="H75" s="70">
        <f t="shared" si="56"/>
        <v>201.66666666666666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159.64393915572111</v>
      </c>
      <c r="T75" s="62">
        <f t="shared" si="88"/>
        <v>389.58290705889829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30.348174937736182</v>
      </c>
      <c r="AA75" s="23">
        <f>EXP(-LN(2)/25)*AA74+(1-EXP(-LN(2)/25))/(LN(2)/25)*Calculateur!V75*Calculateur!X75*VLOOKUP('Données projet'!$B$9,Paramètres!$A$1:$I$89,3,0)*0.475*44/12</f>
        <v>5.5041505855904411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35.852325523326627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13.107746913580252</v>
      </c>
      <c r="AI75" s="14">
        <f>IF('Données projet'!$A$62&gt;35,AI74+AH75-AQ74,IF(A75&lt;'Données projet'!$A$62,$AF$205^A75,IF(A75='Données projet'!$A$62,'Données projet'!$B$62,AI74+AH75-AQ74)))</f>
        <v>595.13802469135783</v>
      </c>
      <c r="AJ75" s="14">
        <f>AI75*VLOOKUP('Données projet'!$B$10,Paramètres!$A$1:$I$89,3,0)*VLOOKUP('Données projet'!$B$10,Paramètres!$A$1:$I$89,5,0)</f>
        <v>278.52459555555549</v>
      </c>
      <c r="AK75" s="14">
        <f t="shared" si="89"/>
        <v>66.65511770178415</v>
      </c>
      <c r="AL75" s="22">
        <f t="shared" si="58"/>
        <v>601.18800058986642</v>
      </c>
      <c r="AM75" s="62">
        <f t="shared" si="59"/>
        <v>875.02011960134053</v>
      </c>
      <c r="AN75" s="62">
        <f ca="1">AVERAGE(OFFSET($AM$3,0,0,'Données projet'!$E$10+1,1))-AVERAGE(OFFSET($H$3,0,0,'Données projet'!$E$10+1,1))</f>
        <v>442.01983807226742</v>
      </c>
      <c r="AO75" s="62">
        <f t="shared" si="90"/>
        <v>276.48668026732219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63.255017405572595</v>
      </c>
      <c r="AV75" s="23">
        <f>EXP(-LN(2)/25)*AV74+(1-EXP(-LN(2)/25))/(LN(2)/25)*Calculateur!AQ75*Calculateur!AS75*VLOOKUP('Données projet'!$B$10,Paramètres!$A$1:$I$89,3,0)*0.475*44/12</f>
        <v>15.069670112310275</v>
      </c>
      <c r="AW75" s="23">
        <f>EXP(-LN(2)/2)*AW74+(1-EXP(-LN(2)/2))/(LN(2)/2)*AQ75*AT75*VLOOKUP('Données projet'!$B$10,Paramètres!$A$1:$I$89,3,0)*0.475*44/12</f>
        <v>3.9838101123099965</v>
      </c>
      <c r="AX75" s="23">
        <f t="shared" si="60"/>
        <v>82.308497630192861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64.681487003129305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45">
      <c r="A76" s="11">
        <f t="shared" si="85"/>
        <v>73</v>
      </c>
      <c r="B76" s="77">
        <f>'Scénario référence'!$B$16*5+'Scénario référence'!$B$17*0+'Scénario référence'!$B$18*5</f>
        <v>3.75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13.75</v>
      </c>
      <c r="H76" s="70">
        <f t="shared" si="56"/>
        <v>201.66666666666666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159.64393915572111</v>
      </c>
      <c r="T76" s="62">
        <f t="shared" si="88"/>
        <v>389.58290705889829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29.753065737766121</v>
      </c>
      <c r="AA76" s="23">
        <f>EXP(-LN(2)/25)*AA75+(1-EXP(-LN(2)/25))/(LN(2)/25)*Calculateur!V76*Calculateur!X76*VLOOKUP('Données projet'!$B$9,Paramètres!$A$1:$I$89,3,0)*0.475*44/12</f>
        <v>5.3536392983767715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35.106705036142891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13.107746913580252</v>
      </c>
      <c r="AI76" s="14">
        <f>IF('Données projet'!$A$62&gt;35,AI75+AH76-AQ75,IF(A76&lt;'Données projet'!$A$62,$AF$205^A76,IF(A76='Données projet'!$A$62,'Données projet'!$B$62,AI75+AH76-AQ75)))</f>
        <v>608.24577160493811</v>
      </c>
      <c r="AJ76" s="14">
        <f>AI76*VLOOKUP('Données projet'!$B$10,Paramètres!$A$1:$I$89,3,0)*VLOOKUP('Données projet'!$B$10,Paramètres!$A$1:$I$89,5,0)</f>
        <v>284.65902111111103</v>
      </c>
      <c r="AK76" s="14">
        <f t="shared" si="89"/>
        <v>67.950646342616906</v>
      </c>
      <c r="AL76" s="22">
        <f t="shared" si="58"/>
        <v>614.1285041485761</v>
      </c>
      <c r="AM76" s="62">
        <f t="shared" si="59"/>
        <v>888.29892563035082</v>
      </c>
      <c r="AN76" s="62">
        <f ca="1">AVERAGE(OFFSET($AM$3,0,0,'Données projet'!$E$10+1,1))-AVERAGE(OFFSET($H$3,0,0,'Données projet'!$E$10+1,1))</f>
        <v>442.01983807226742</v>
      </c>
      <c r="AO76" s="62">
        <f t="shared" si="90"/>
        <v>276.48668026732219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62.014625096000302</v>
      </c>
      <c r="AV76" s="23">
        <f>EXP(-LN(2)/25)*AV75+(1-EXP(-LN(2)/25))/(LN(2)/25)*Calculateur!AQ76*Calculateur!AS76*VLOOKUP('Données projet'!$B$10,Paramètres!$A$1:$I$89,3,0)*0.475*44/12</f>
        <v>14.657589190609642</v>
      </c>
      <c r="AW76" s="23">
        <f>EXP(-LN(2)/2)*AW75+(1-EXP(-LN(2)/2))/(LN(2)/2)*AQ76*AT76*VLOOKUP('Données projet'!$B$10,Paramètres!$A$1:$I$89,3,0)*0.475*44/12</f>
        <v>2.8169791453739403</v>
      </c>
      <c r="AX76" s="23">
        <f t="shared" si="60"/>
        <v>79.489193431983878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64.773751313211264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45">
      <c r="A77" s="11">
        <f t="shared" si="85"/>
        <v>74</v>
      </c>
      <c r="B77" s="77">
        <f>'Scénario référence'!$B$16*5+'Scénario référence'!$B$17*0+'Scénario référence'!$B$18*5</f>
        <v>3.75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13.75</v>
      </c>
      <c r="H77" s="70">
        <f t="shared" si="56"/>
        <v>201.66666666666666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159.64393915572111</v>
      </c>
      <c r="T77" s="62">
        <f t="shared" si="88"/>
        <v>389.58290705889829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29.169626266226704</v>
      </c>
      <c r="AA77" s="23">
        <f>EXP(-LN(2)/25)*AA76+(1-EXP(-LN(2)/25))/(LN(2)/25)*Calculateur!V77*Calculateur!X77*VLOOKUP('Données projet'!$B$9,Paramètres!$A$1:$I$89,3,0)*0.475*44/12</f>
        <v>5.2072437502270041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34.376870016453708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13.107746913580252</v>
      </c>
      <c r="AI77" s="14">
        <f>IF('Données projet'!$A$62&gt;35,AI76+AH77-AQ76,IF(A77&lt;'Données projet'!$A$62,$AF$205^A77,IF(A77='Données projet'!$A$62,'Données projet'!$B$62,AI76+AH77-AQ76)))</f>
        <v>621.3535185185184</v>
      </c>
      <c r="AJ77" s="14">
        <f>AI77*VLOOKUP('Données projet'!$B$10,Paramètres!$A$1:$I$89,3,0)*VLOOKUP('Données projet'!$B$10,Paramètres!$A$1:$I$89,5,0)</f>
        <v>290.79344666666657</v>
      </c>
      <c r="AK77" s="14">
        <f t="shared" si="89"/>
        <v>69.242929047879286</v>
      </c>
      <c r="AL77" s="22">
        <f t="shared" si="58"/>
        <v>627.06335436950064</v>
      </c>
      <c r="AM77" s="62">
        <f t="shared" si="59"/>
        <v>901.56620953004699</v>
      </c>
      <c r="AN77" s="62">
        <f ca="1">AVERAGE(OFFSET($AM$3,0,0,'Données projet'!$E$10+1,1))-AVERAGE(OFFSET($H$3,0,0,'Données projet'!$E$10+1,1))</f>
        <v>442.01983807226742</v>
      </c>
      <c r="AO77" s="62">
        <f t="shared" si="90"/>
        <v>276.48668026732219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60.798556123054119</v>
      </c>
      <c r="AV77" s="23">
        <f>EXP(-LN(2)/25)*AV76+(1-EXP(-LN(2)/25))/(LN(2)/25)*Calculateur!AQ77*Calculateur!AS77*VLOOKUP('Données projet'!$B$10,Paramètres!$A$1:$I$89,3,0)*0.475*44/12</f>
        <v>14.256776643383306</v>
      </c>
      <c r="AW77" s="23">
        <f>EXP(-LN(2)/2)*AW76+(1-EXP(-LN(2)/2))/(LN(2)/2)*AQ77*AT77*VLOOKUP('Données projet'!$B$10,Paramètres!$A$1:$I$89,3,0)*0.475*44/12</f>
        <v>1.9919050561549987</v>
      </c>
      <c r="AX77" s="23">
        <f t="shared" si="60"/>
        <v>77.047237822592436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64.864415043785385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45">
      <c r="A78" s="11">
        <f t="shared" si="85"/>
        <v>75</v>
      </c>
      <c r="B78" s="77">
        <f>'Scénario référence'!$B$16*5+'Scénario référence'!$B$17*0+'Scénario référence'!$B$18*5</f>
        <v>3.75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13.75</v>
      </c>
      <c r="H78" s="70">
        <f t="shared" si="56"/>
        <v>201.66666666666666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159.64393915572111</v>
      </c>
      <c r="T78" s="62">
        <f t="shared" si="88"/>
        <v>389.58290705889829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28.597627686861234</v>
      </c>
      <c r="AA78" s="23">
        <f>EXP(-LN(2)/25)*AA77+(1-EXP(-LN(2)/25))/(LN(2)/25)*Calculateur!V78*Calculateur!X78*VLOOKUP('Données projet'!$B$9,Paramètres!$A$1:$I$89,3,0)*0.475*44/12</f>
        <v>5.064851396039999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33.662479082901235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13.107746913580252</v>
      </c>
      <c r="AI78" s="14">
        <f>IF('Données projet'!$A$62&gt;35,AI77+AH78-AQ77,IF(A78&lt;'Données projet'!$A$62,$AF$205^A78,IF(A78='Données projet'!$A$62,'Données projet'!$B$62,AI77+AH78-AQ77)))</f>
        <v>634.46126543209868</v>
      </c>
      <c r="AJ78" s="14">
        <f>AI78*VLOOKUP('Données projet'!$B$10,Paramètres!$A$1:$I$89,3,0)*VLOOKUP('Données projet'!$B$10,Paramètres!$A$1:$I$89,5,0)</f>
        <v>296.92787222222222</v>
      </c>
      <c r="AK78" s="14">
        <f t="shared" si="89"/>
        <v>70.532042180215768</v>
      </c>
      <c r="AL78" s="22">
        <f t="shared" si="58"/>
        <v>639.99268425091282</v>
      </c>
      <c r="AM78" s="62">
        <f t="shared" si="59"/>
        <v>914.82220610911486</v>
      </c>
      <c r="AN78" s="62">
        <f ca="1">AVERAGE(OFFSET($AM$3,0,0,'Données projet'!$E$10+1,1))-AVERAGE(OFFSET($H$3,0,0,'Données projet'!$E$10+1,1))</f>
        <v>442.01983807226742</v>
      </c>
      <c r="AO78" s="62">
        <f t="shared" si="90"/>
        <v>276.48668026732219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59.606333520938577</v>
      </c>
      <c r="AV78" s="23">
        <f>EXP(-LN(2)/25)*AV77+(1-EXP(-LN(2)/25))/(LN(2)/25)*Calculateur!AQ78*Calculateur!AS78*VLOOKUP('Données projet'!$B$10,Paramètres!$A$1:$I$89,3,0)*0.475*44/12</f>
        <v>13.866924336338689</v>
      </c>
      <c r="AW78" s="23">
        <f>EXP(-LN(2)/2)*AW77+(1-EXP(-LN(2)/2))/(LN(2)/2)*AQ78*AT78*VLOOKUP('Données projet'!$B$10,Paramètres!$A$1:$I$89,3,0)*0.475*44/12</f>
        <v>1.4084895726869704</v>
      </c>
      <c r="AX78" s="23">
        <f t="shared" si="60"/>
        <v>74.881747429964236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64.953505961327807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45">
      <c r="A79" s="11">
        <f t="shared" si="85"/>
        <v>76</v>
      </c>
      <c r="B79" s="77">
        <f>'Scénario référence'!$B$16*5+'Scénario référence'!$B$17*0+'Scénario référence'!$B$18*5</f>
        <v>3.75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13.75</v>
      </c>
      <c r="H79" s="70">
        <f t="shared" si="56"/>
        <v>201.66666666666666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159.64393915572111</v>
      </c>
      <c r="T79" s="62">
        <f t="shared" si="88"/>
        <v>389.58290705889829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28.036845650752436</v>
      </c>
      <c r="AA79" s="23">
        <f>EXP(-LN(2)/25)*AA78+(1-EXP(-LN(2)/25))/(LN(2)/25)*Calculateur!V79*Calculateur!X79*VLOOKUP('Données projet'!$B$9,Paramètres!$A$1:$I$89,3,0)*0.475*44/12</f>
        <v>4.9263527682663266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32.963198419018767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13.107746913580252</v>
      </c>
      <c r="AI79" s="14">
        <f>IF('Données projet'!$A$62&gt;35,AI78+AH79-AQ78,IF(A79&lt;'Données projet'!$A$62,$AF$205^A79,IF(A79='Données projet'!$A$62,'Données projet'!$B$62,AI78+AH79-AQ78)))</f>
        <v>647.56901234567897</v>
      </c>
      <c r="AJ79" s="14">
        <f>AI79*VLOOKUP('Données projet'!$B$10,Paramètres!$A$1:$I$89,3,0)*VLOOKUP('Données projet'!$B$10,Paramètres!$A$1:$I$89,5,0)</f>
        <v>303.06229777777776</v>
      </c>
      <c r="AK79" s="14">
        <f t="shared" si="89"/>
        <v>71.818058766683279</v>
      </c>
      <c r="AL79" s="22">
        <f t="shared" si="58"/>
        <v>652.91662098160305</v>
      </c>
      <c r="AM79" s="62">
        <f t="shared" si="59"/>
        <v>928.06714260057345</v>
      </c>
      <c r="AN79" s="62">
        <f ca="1">AVERAGE(OFFSET($AM$3,0,0,'Données projet'!$E$10+1,1))-AVERAGE(OFFSET($H$3,0,0,'Données projet'!$E$10+1,1))</f>
        <v>442.01983807226742</v>
      </c>
      <c r="AO79" s="62">
        <f t="shared" si="90"/>
        <v>276.48668026732219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58.437489676866534</v>
      </c>
      <c r="AV79" s="23">
        <f>EXP(-LN(2)/25)*AV78+(1-EXP(-LN(2)/25))/(LN(2)/25)*Calculateur!AQ79*Calculateur!AS79*VLOOKUP('Données projet'!$B$10,Paramètres!$A$1:$I$89,3,0)*0.475*44/12</f>
        <v>13.487732561131651</v>
      </c>
      <c r="AW79" s="23">
        <f>EXP(-LN(2)/2)*AW78+(1-EXP(-LN(2)/2))/(LN(2)/2)*AQ79*AT79*VLOOKUP('Données projet'!$B$10,Paramètres!$A$1:$I$89,3,0)*0.475*44/12</f>
        <v>0.99595252807749945</v>
      </c>
      <c r="AX79" s="23">
        <f t="shared" si="60"/>
        <v>72.92117476607568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65.041051350628294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45">
      <c r="A80" s="11">
        <f t="shared" si="85"/>
        <v>77</v>
      </c>
      <c r="B80" s="77">
        <f>'Scénario référence'!$B$16*5+'Scénario référence'!$B$17*0+'Scénario référence'!$B$18*5</f>
        <v>3.75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13.75</v>
      </c>
      <c r="H80" s="70">
        <f t="shared" si="56"/>
        <v>201.66666666666666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159.64393915572111</v>
      </c>
      <c r="T80" s="62">
        <f t="shared" si="88"/>
        <v>389.58290705889829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27.487060208328465</v>
      </c>
      <c r="AA80" s="23">
        <f>EXP(-LN(2)/25)*AA79+(1-EXP(-LN(2)/25))/(LN(2)/25)*Calculateur!V80*Calculateur!X80*VLOOKUP('Données projet'!$B$9,Paramètres!$A$1:$I$89,3,0)*0.475*44/12</f>
        <v>4.7916413927524513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32.278701601080918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13.107746913580252</v>
      </c>
      <c r="AI80" s="14">
        <f>IF('Données projet'!$A$62&gt;35,AI79+AH80-AQ79,IF(A80&lt;'Données projet'!$A$62,$AF$205^A80,IF(A80='Données projet'!$A$62,'Données projet'!$B$62,AI79+AH80-AQ79)))</f>
        <v>660.67675925925926</v>
      </c>
      <c r="AJ80" s="14">
        <f>AI80*VLOOKUP('Données projet'!$B$10,Paramètres!$A$1:$I$89,3,0)*VLOOKUP('Données projet'!$B$10,Paramètres!$A$1:$I$89,5,0)</f>
        <v>309.1967233333333</v>
      </c>
      <c r="AK80" s="14">
        <f t="shared" si="89"/>
        <v>73.101048708972129</v>
      </c>
      <c r="AL80" s="22">
        <f t="shared" si="58"/>
        <v>665.83528630701528</v>
      </c>
      <c r="AM80" s="62">
        <f t="shared" si="59"/>
        <v>941.30123905855294</v>
      </c>
      <c r="AN80" s="62">
        <f ca="1">AVERAGE(OFFSET($AM$3,0,0,'Données projet'!$E$10+1,1))-AVERAGE(OFFSET($H$3,0,0,'Données projet'!$E$10+1,1))</f>
        <v>442.01983807226742</v>
      </c>
      <c r="AO80" s="62">
        <f t="shared" si="90"/>
        <v>276.48668026732219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57.291566147652397</v>
      </c>
      <c r="AV80" s="23">
        <f>EXP(-LN(2)/25)*AV79+(1-EXP(-LN(2)/25))/(LN(2)/25)*Calculateur!AQ80*Calculateur!AS80*VLOOKUP('Données projet'!$B$10,Paramètres!$A$1:$I$89,3,0)*0.475*44/12</f>
        <v>13.118909804958477</v>
      </c>
      <c r="AW80" s="23">
        <f>EXP(-LN(2)/2)*AW79+(1-EXP(-LN(2)/2))/(LN(2)/2)*AQ80*AT80*VLOOKUP('Données projet'!$B$10,Paramètres!$A$1:$I$89,3,0)*0.475*44/12</f>
        <v>0.70424478634348531</v>
      </c>
      <c r="AX80" s="23">
        <f t="shared" si="60"/>
        <v>71.114720738954361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65.127078023146609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45">
      <c r="A81" s="11">
        <f t="shared" si="85"/>
        <v>78</v>
      </c>
      <c r="B81" s="77">
        <f>'Scénario référence'!$B$16*5+'Scénario référence'!$B$17*0+'Scénario référence'!$B$18*5</f>
        <v>3.75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13.75</v>
      </c>
      <c r="H81" s="70">
        <f t="shared" si="56"/>
        <v>201.66666666666666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159.64393915572111</v>
      </c>
      <c r="T81" s="62">
        <f t="shared" si="88"/>
        <v>389.58290705889829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26.94805572309442</v>
      </c>
      <c r="AA81" s="23">
        <f>EXP(-LN(2)/25)*AA80+(1-EXP(-LN(2)/25))/(LN(2)/25)*Calculateur!V81*Calculateur!X81*VLOOKUP('Données projet'!$B$9,Paramètres!$A$1:$I$89,3,0)*0.475*44/12</f>
        <v>4.6606137068861662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31.608669429980587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13.107746913580252</v>
      </c>
      <c r="AI81" s="14">
        <f>IF('Données projet'!$A$62&gt;35,AI80+AH81-AQ80,IF(A81&lt;'Données projet'!$A$62,$AF$205^A81,IF(A81='Données projet'!$A$62,'Données projet'!$B$62,AI80+AH81-AQ80)))</f>
        <v>673.78450617283954</v>
      </c>
      <c r="AJ81" s="14">
        <f>AI81*VLOOKUP('Données projet'!$B$10,Paramètres!$A$1:$I$89,3,0)*VLOOKUP('Données projet'!$B$10,Paramètres!$A$1:$I$89,5,0)</f>
        <v>315.33114888888895</v>
      </c>
      <c r="AK81" s="14">
        <f t="shared" si="89"/>
        <v>74.381078976471741</v>
      </c>
      <c r="AL81" s="22">
        <f t="shared" si="58"/>
        <v>678.7487968655031</v>
      </c>
      <c r="AM81" s="62">
        <f t="shared" si="59"/>
        <v>954.52470872465608</v>
      </c>
      <c r="AN81" s="62">
        <f ca="1">AVERAGE(OFFSET($AM$3,0,0,'Données projet'!$E$10+1,1))-AVERAGE(OFFSET($H$3,0,0,'Données projet'!$E$10+1,1))</f>
        <v>442.01983807226742</v>
      </c>
      <c r="AO81" s="62">
        <f t="shared" si="90"/>
        <v>276.48668026732219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56.168113479901812</v>
      </c>
      <c r="AV81" s="23">
        <f>EXP(-LN(2)/25)*AV80+(1-EXP(-LN(2)/25))/(LN(2)/25)*Calculateur!AQ81*Calculateur!AS81*VLOOKUP('Données projet'!$B$10,Paramètres!$A$1:$I$89,3,0)*0.475*44/12</f>
        <v>12.760172526448404</v>
      </c>
      <c r="AW81" s="23">
        <f>EXP(-LN(2)/2)*AW80+(1-EXP(-LN(2)/2))/(LN(2)/2)*AQ81*AT81*VLOOKUP('Données projet'!$B$10,Paramètres!$A$1:$I$89,3,0)*0.475*44/12</f>
        <v>0.49797626403874984</v>
      </c>
      <c r="AX81" s="23">
        <f t="shared" si="60"/>
        <v>69.426262270388975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65.211612325223541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45">
      <c r="A82" s="11">
        <f t="shared" si="85"/>
        <v>79</v>
      </c>
      <c r="B82" s="77">
        <f>'Scénario référence'!$B$16*5+'Scénario référence'!$B$17*0+'Scénario référence'!$B$18*5</f>
        <v>3.75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13.75</v>
      </c>
      <c r="H82" s="70">
        <f t="shared" si="56"/>
        <v>201.66666666666666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159.64393915572111</v>
      </c>
      <c r="T82" s="62">
        <f t="shared" si="88"/>
        <v>389.58290705889829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26.419620787055543</v>
      </c>
      <c r="AA82" s="23">
        <f>EXP(-LN(2)/25)*AA81+(1-EXP(-LN(2)/25))/(LN(2)/25)*Calculateur!V82*Calculateur!X82*VLOOKUP('Données projet'!$B$9,Paramètres!$A$1:$I$89,3,0)*0.475*44/12</f>
        <v>4.5331689799803412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30.952789767035885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13.107746913580252</v>
      </c>
      <c r="AI82" s="14">
        <f>IF('Données projet'!$A$62&gt;35,AI81+AH82-AQ81,IF(A82&lt;'Données projet'!$A$62,$AF$205^A82,IF(A82='Données projet'!$A$62,'Données projet'!$B$62,AI81+AH82-AQ81)))</f>
        <v>686.89225308641983</v>
      </c>
      <c r="AJ82" s="14">
        <f>AI82*VLOOKUP('Données projet'!$B$10,Paramètres!$A$1:$I$89,3,0)*VLOOKUP('Données projet'!$B$10,Paramètres!$A$1:$I$89,5,0)</f>
        <v>321.46557444444448</v>
      </c>
      <c r="AK82" s="14">
        <f t="shared" si="89"/>
        <v>75.658213783888485</v>
      </c>
      <c r="AL82" s="22">
        <f t="shared" si="58"/>
        <v>691.65726449767988</v>
      </c>
      <c r="AM82" s="62">
        <f t="shared" si="59"/>
        <v>967.73775836689583</v>
      </c>
      <c r="AN82" s="62">
        <f ca="1">AVERAGE(OFFSET($AM$3,0,0,'Données projet'!$E$10+1,1))-AVERAGE(OFFSET($H$3,0,0,'Données projet'!$E$10+1,1))</f>
        <v>442.01983807226742</v>
      </c>
      <c r="AO82" s="62">
        <f t="shared" si="90"/>
        <v>276.48668026732219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55.066691033727352</v>
      </c>
      <c r="AV82" s="23">
        <f>EXP(-LN(2)/25)*AV81+(1-EXP(-LN(2)/25))/(LN(2)/25)*Calculateur!AQ82*Calculateur!AS82*VLOOKUP('Données projet'!$B$10,Paramètres!$A$1:$I$89,3,0)*0.475*44/12</f>
        <v>12.411244937684362</v>
      </c>
      <c r="AW82" s="23">
        <f>EXP(-LN(2)/2)*AW81+(1-EXP(-LN(2)/2))/(LN(2)/2)*AQ82*AT82*VLOOKUP('Données projet'!$B$10,Paramètres!$A$1:$I$89,3,0)*0.475*44/12</f>
        <v>0.35212239317174271</v>
      </c>
      <c r="AX82" s="23">
        <f t="shared" si="60"/>
        <v>67.830058364583451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65.29468014614983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45">
      <c r="A83" s="11">
        <f t="shared" si="85"/>
        <v>80</v>
      </c>
      <c r="B83" s="77">
        <f>'Scénario référence'!$B$16*5+'Scénario référence'!$B$17*0+'Scénario référence'!$B$18*5</f>
        <v>3.75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13.75</v>
      </c>
      <c r="H83" s="70">
        <f t="shared" si="56"/>
        <v>201.66666666666666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159.64393915572111</v>
      </c>
      <c r="T83" s="62">
        <f t="shared" si="88"/>
        <v>389.58290705889829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25.901548137798901</v>
      </c>
      <c r="AA83" s="23">
        <f>EXP(-LN(2)/25)*AA82+(1-EXP(-LN(2)/25))/(LN(2)/25)*Calculateur!V83*Calculateur!X83*VLOOKUP('Données projet'!$B$9,Paramètres!$A$1:$I$89,3,0)*0.475*44/12</f>
        <v>4.4092092358337824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30.310757373632683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700</v>
      </c>
      <c r="AG83" s="13">
        <f>VLOOKUP(A83,'Données projet'!$A$61:$I$81,9,0)</f>
        <v>13.107746913580252</v>
      </c>
      <c r="AH83" s="13">
        <f t="array" ref="AH83">INDEX(AG:AG,MIN(IF(ISNUMBER(AG83:AG279),ROW(AG83:AG279),"")))</f>
        <v>13.107746913580252</v>
      </c>
      <c r="AI83" s="14">
        <f>IF('Données projet'!$A$62&gt;35,AI82+AH83-AQ82,IF(A83&lt;'Données projet'!$A$62,$AF$205^A83,IF(A83='Données projet'!$A$62,'Données projet'!$B$62,AI82+AH83-AQ82)))</f>
        <v>700.00000000000011</v>
      </c>
      <c r="AJ83" s="14">
        <f>AI83*VLOOKUP('Données projet'!$B$10,Paramètres!$A$1:$I$89,3,0)*VLOOKUP('Données projet'!$B$10,Paramètres!$A$1:$I$89,5,0)</f>
        <v>327.60000000000002</v>
      </c>
      <c r="AK83" s="14">
        <f t="shared" si="89"/>
        <v>76.932514754922607</v>
      </c>
      <c r="AL83" s="22">
        <f t="shared" si="58"/>
        <v>704.56079653149027</v>
      </c>
      <c r="AM83" s="62">
        <f t="shared" si="59"/>
        <v>980.94058859383813</v>
      </c>
      <c r="AN83" s="62">
        <f ca="1">AVERAGE(OFFSET($AM$3,0,0,'Données projet'!$E$10+1,1))-AVERAGE(OFFSET($H$3,0,0,'Données projet'!$E$10+1,1))</f>
        <v>442.01983807226742</v>
      </c>
      <c r="AO83" s="62">
        <f t="shared" si="90"/>
        <v>276.48668026732219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135.65375514403294</v>
      </c>
      <c r="AR83" s="17">
        <f>IF(ISNA(VLOOKUP(A83,'Données projet'!$A$61:$I$81,5,0)),0%,VLOOKUP(A83,'Données projet'!$A$61:$I$81,5,0)*VLOOKUP('Données projet'!$B$10,Paramètres!$A$1:$I$89,7,0))</f>
        <v>0.38500000000000001</v>
      </c>
      <c r="AS83" s="17">
        <f>IF(ISNA(VLOOKUP(A83,'Données projet'!$A$61:$I$81,6,0)),0%,VLOOKUP(A83,'Données projet'!$A$61:$I$81,6,0)*VLOOKUP('Données projet'!$B$10,Paramètres!$A$1:$I$89,7,0))</f>
        <v>9.240000000000001E-2</v>
      </c>
      <c r="AT83" s="17">
        <f>IF(ISNA(VLOOKUP(A83,'Données projet'!$A$61:$I$81,7,0)),0%,VLOOKUP(A83,'Données projet'!$A$61:$I$81,7,0))</f>
        <v>0.13200000000000001</v>
      </c>
      <c r="AU83" s="23">
        <f>EXP(-LN(2)/35)*AU82+(1-EXP(-LN(2)/35))/(LN(2)/35)*AQ83*AR83*VLOOKUP('Données projet'!$B$10,Paramètres!$A$1:$I$89,3,0)*0.475*44/12</f>
        <v>86.410879398663894</v>
      </c>
      <c r="AV83" s="23">
        <f>EXP(-LN(2)/25)*AV82+(1-EXP(-LN(2)/25))/(LN(2)/25)*Calculateur!AQ83*Calculateur!AS83*VLOOKUP('Données projet'!$B$10,Paramètres!$A$1:$I$89,3,0)*0.475*44/12</f>
        <v>19.822982047383647</v>
      </c>
      <c r="AW83" s="23">
        <f>EXP(-LN(2)/2)*AW82+(1-EXP(-LN(2)/2))/(LN(2)/2)*AQ83*AT83*VLOOKUP('Données projet'!$B$10,Paramètres!$A$1:$I$89,3,0)*0.475*44/12</f>
        <v>9.7372605189388004</v>
      </c>
      <c r="AX83" s="23">
        <f t="shared" si="60"/>
        <v>115.97112196498634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65.376306926094884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45">
      <c r="A84" s="11">
        <f t="shared" si="85"/>
        <v>81</v>
      </c>
      <c r="B84" s="77">
        <f>'Scénario référence'!$B$16*5+'Scénario référence'!$B$17*0+'Scénario référence'!$B$18*5</f>
        <v>3.75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13.75</v>
      </c>
      <c r="H84" s="70">
        <f t="shared" si="56"/>
        <v>201.66666666666666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159.64393915572111</v>
      </c>
      <c r="T84" s="62">
        <f t="shared" si="88"/>
        <v>389.58290705889829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25.39363457720107</v>
      </c>
      <c r="AA84" s="23">
        <f>EXP(-LN(2)/25)*AA83+(1-EXP(-LN(2)/25))/(LN(2)/25)*Calculateur!V84*Calculateur!X84*VLOOKUP('Données projet'!$B$9,Paramètres!$A$1:$I$89,3,0)*0.475*44/12</f>
        <v>4.2886391774096717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29.68227375461074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11.565375514403296</v>
      </c>
      <c r="AI84" s="14">
        <f>IF('Données projet'!$A$62&gt;35,AI83+AH84-AQ83,IF(A84&lt;'Données projet'!$A$62,$AF$205^A84,IF(A84='Données projet'!$A$62,'Données projet'!$B$62,AI83+AH84-AQ83)))</f>
        <v>575.91162037037043</v>
      </c>
      <c r="AJ84" s="14">
        <f>AI84*VLOOKUP('Données projet'!$B$10,Paramètres!$A$1:$I$89,3,0)*VLOOKUP('Données projet'!$B$10,Paramètres!$A$1:$I$89,5,0)</f>
        <v>269.52663833333338</v>
      </c>
      <c r="AK84" s="14">
        <f t="shared" si="89"/>
        <v>64.748799738193483</v>
      </c>
      <c r="AL84" s="22">
        <f t="shared" si="58"/>
        <v>582.19638797457594</v>
      </c>
      <c r="AM84" s="62">
        <f t="shared" si="59"/>
        <v>858.87028607553532</v>
      </c>
      <c r="AN84" s="62">
        <f ca="1">AVERAGE(OFFSET($AM$3,0,0,'Données projet'!$E$10+1,1))-AVERAGE(OFFSET($H$3,0,0,'Données projet'!$E$10+1,1))</f>
        <v>442.01983807226742</v>
      </c>
      <c r="AO84" s="62">
        <f t="shared" si="90"/>
        <v>276.48668026732219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84.716414759088295</v>
      </c>
      <c r="AV84" s="23">
        <f>EXP(-LN(2)/25)*AV83+(1-EXP(-LN(2)/25))/(LN(2)/25)*Calculateur!AQ84*Calculateur!AS84*VLOOKUP('Données projet'!$B$10,Paramètres!$A$1:$I$89,3,0)*0.475*44/12</f>
        <v>19.280921560852622</v>
      </c>
      <c r="AW84" s="23">
        <f>EXP(-LN(2)/2)*AW83+(1-EXP(-LN(2)/2))/(LN(2)/2)*AQ84*AT84*VLOOKUP('Données projet'!$B$10,Paramètres!$A$1:$I$89,3,0)*0.475*44/12</f>
        <v>6.8852829431216671</v>
      </c>
      <c r="AX84" s="23">
        <f t="shared" si="60"/>
        <v>110.88261926306258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65.456517663898012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45">
      <c r="A85" s="11">
        <f t="shared" si="85"/>
        <v>82</v>
      </c>
      <c r="B85" s="77">
        <f>'Scénario référence'!$B$16*5+'Scénario référence'!$B$17*0+'Scénario référence'!$B$18*5</f>
        <v>3.75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13.75</v>
      </c>
      <c r="H85" s="70">
        <f t="shared" si="56"/>
        <v>201.66666666666666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159.64393915572111</v>
      </c>
      <c r="T85" s="62">
        <f t="shared" si="88"/>
        <v>389.58290705889829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24.895680891729878</v>
      </c>
      <c r="AA85" s="23">
        <f>EXP(-LN(2)/25)*AA84+(1-EXP(-LN(2)/25))/(LN(2)/25)*Calculateur!V85*Calculateur!X85*VLOOKUP('Données projet'!$B$9,Paramètres!$A$1:$I$89,3,0)*0.475*44/12</f>
        <v>4.1713661135736722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29.06704700530355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11.565375514403296</v>
      </c>
      <c r="AI85" s="14">
        <f>IF('Données projet'!$A$62&gt;35,AI84+AH85-AQ84,IF(A85&lt;'Données projet'!$A$62,$AF$205^A85,IF(A85='Données projet'!$A$62,'Données projet'!$B$62,AI84+AH85-AQ84)))</f>
        <v>587.47699588477371</v>
      </c>
      <c r="AJ85" s="14">
        <f>AI85*VLOOKUP('Données projet'!$B$10,Paramètres!$A$1:$I$89,3,0)*VLOOKUP('Données projet'!$B$10,Paramètres!$A$1:$I$89,5,0)</f>
        <v>274.93923407407408</v>
      </c>
      <c r="AK85" s="14">
        <f t="shared" si="89"/>
        <v>65.896390912070956</v>
      </c>
      <c r="AL85" s="22">
        <f t="shared" si="58"/>
        <v>593.6220468508692</v>
      </c>
      <c r="AM85" s="62">
        <f t="shared" si="59"/>
        <v>870.58494890819281</v>
      </c>
      <c r="AN85" s="62">
        <f ca="1">AVERAGE(OFFSET($AM$3,0,0,'Données projet'!$E$10+1,1))-AVERAGE(OFFSET($H$3,0,0,'Données projet'!$E$10+1,1))</f>
        <v>442.01983807226742</v>
      </c>
      <c r="AO85" s="62">
        <f t="shared" si="90"/>
        <v>276.48668026732219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83.0551775375734</v>
      </c>
      <c r="AV85" s="23">
        <f>EXP(-LN(2)/25)*AV84+(1-EXP(-LN(2)/25))/(LN(2)/25)*Calculateur!AQ85*Calculateur!AS85*VLOOKUP('Données projet'!$B$10,Paramètres!$A$1:$I$89,3,0)*0.475*44/12</f>
        <v>18.753683746831509</v>
      </c>
      <c r="AW85" s="23">
        <f>EXP(-LN(2)/2)*AW84+(1-EXP(-LN(2)/2))/(LN(2)/2)*AQ85*AT85*VLOOKUP('Données projet'!$B$10,Paramètres!$A$1:$I$89,3,0)*0.475*44/12</f>
        <v>4.8686302594694011</v>
      </c>
      <c r="AX85" s="23">
        <f t="shared" si="60"/>
        <v>106.67749154387431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65.535336924724618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45">
      <c r="A86" s="11">
        <f t="shared" si="85"/>
        <v>83</v>
      </c>
      <c r="B86" s="77">
        <f>'Scénario référence'!$B$16*5+'Scénario référence'!$B$17*0+'Scénario référence'!$B$18*5</f>
        <v>3.75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13.75</v>
      </c>
      <c r="H86" s="70">
        <f t="shared" si="56"/>
        <v>201.66666666666666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159.64393915572111</v>
      </c>
      <c r="T86" s="62">
        <f t="shared" si="88"/>
        <v>389.58290705889829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24.407491774309019</v>
      </c>
      <c r="AA86" s="23">
        <f>EXP(-LN(2)/25)*AA85+(1-EXP(-LN(2)/25))/(LN(2)/25)*Calculateur!V86*Calculateur!X86*VLOOKUP('Données projet'!$B$9,Paramètres!$A$1:$I$89,3,0)*0.475*44/12</f>
        <v>4.0572998878353896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28.464791662144407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11.565375514403296</v>
      </c>
      <c r="AI86" s="14">
        <f>IF('Données projet'!$A$62&gt;35,AI85+AH86-AQ85,IF(A86&lt;'Données projet'!$A$62,$AF$205^A86,IF(A86='Données projet'!$A$62,'Données projet'!$B$62,AI85+AH86-AQ85)))</f>
        <v>599.042371399177</v>
      </c>
      <c r="AJ86" s="14">
        <f>AI86*VLOOKUP('Données projet'!$B$10,Paramètres!$A$1:$I$89,3,0)*VLOOKUP('Données projet'!$B$10,Paramètres!$A$1:$I$89,5,0)</f>
        <v>280.35182981481483</v>
      </c>
      <c r="AK86" s="14">
        <f t="shared" si="89"/>
        <v>67.041355200060309</v>
      </c>
      <c r="AL86" s="22">
        <f t="shared" si="58"/>
        <v>605.04313056757417</v>
      </c>
      <c r="AM86" s="62">
        <f t="shared" si="59"/>
        <v>882.29002300873503</v>
      </c>
      <c r="AN86" s="62">
        <f ca="1">AVERAGE(OFFSET($AM$3,0,0,'Données projet'!$E$10+1,1))-AVERAGE(OFFSET($H$3,0,0,'Données projet'!$E$10+1,1))</f>
        <v>442.01983807226742</v>
      </c>
      <c r="AO86" s="62">
        <f t="shared" si="90"/>
        <v>276.48668026732219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81.426516164717754</v>
      </c>
      <c r="AV86" s="23">
        <f>EXP(-LN(2)/25)*AV85+(1-EXP(-LN(2)/25))/(LN(2)/25)*Calculateur!AQ86*Calculateur!AS86*VLOOKUP('Données projet'!$B$10,Paramètres!$A$1:$I$89,3,0)*0.475*44/12</f>
        <v>18.240863278561037</v>
      </c>
      <c r="AW86" s="23">
        <f>EXP(-LN(2)/2)*AW85+(1-EXP(-LN(2)/2))/(LN(2)/2)*AQ86*AT86*VLOOKUP('Données projet'!$B$10,Paramètres!$A$1:$I$89,3,0)*0.475*44/12</f>
        <v>3.442641471560834</v>
      </c>
      <c r="AX86" s="23">
        <f t="shared" si="60"/>
        <v>103.11002091483962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65.612788847589343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45">
      <c r="A87" s="11">
        <f t="shared" si="85"/>
        <v>84</v>
      </c>
      <c r="B87" s="77">
        <f>'Scénario référence'!$B$16*5+'Scénario référence'!$B$17*0+'Scénario référence'!$B$18*5</f>
        <v>3.75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13.75</v>
      </c>
      <c r="H87" s="70">
        <f t="shared" si="56"/>
        <v>201.66666666666666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159.64393915572111</v>
      </c>
      <c r="T87" s="62">
        <f t="shared" si="88"/>
        <v>389.58290705889829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23.928875747714823</v>
      </c>
      <c r="AA87" s="23">
        <f>EXP(-LN(2)/25)*AA86+(1-EXP(-LN(2)/25))/(LN(2)/25)*Calculateur!V87*Calculateur!X87*VLOOKUP('Données projet'!$B$9,Paramètres!$A$1:$I$89,3,0)*0.475*44/12</f>
        <v>3.946352809038403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27.875228556753225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11.565375514403296</v>
      </c>
      <c r="AI87" s="14">
        <f>IF('Données projet'!$A$62&gt;35,AI86+AH87-AQ86,IF(A87&lt;'Données projet'!$A$62,$AF$205^A87,IF(A87='Données projet'!$A$62,'Données projet'!$B$62,AI86+AH87-AQ86)))</f>
        <v>610.60774691358029</v>
      </c>
      <c r="AJ87" s="14">
        <f>AI87*VLOOKUP('Données projet'!$B$10,Paramètres!$A$1:$I$89,3,0)*VLOOKUP('Données projet'!$B$10,Paramètres!$A$1:$I$89,5,0)</f>
        <v>285.76442555555559</v>
      </c>
      <c r="AK87" s="14">
        <f t="shared" si="89"/>
        <v>68.183749164814614</v>
      </c>
      <c r="AL87" s="22">
        <f t="shared" si="58"/>
        <v>616.45973763797804</v>
      </c>
      <c r="AM87" s="62">
        <f t="shared" si="59"/>
        <v>893.985693864724</v>
      </c>
      <c r="AN87" s="62">
        <f ca="1">AVERAGE(OFFSET($AM$3,0,0,'Données projet'!$E$10+1,1))-AVERAGE(OFFSET($H$3,0,0,'Données projet'!$E$10+1,1))</f>
        <v>442.01983807226742</v>
      </c>
      <c r="AO87" s="62">
        <f t="shared" si="90"/>
        <v>276.48668026732219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79.829791847998465</v>
      </c>
      <c r="AV87" s="23">
        <f>EXP(-LN(2)/25)*AV86+(1-EXP(-LN(2)/25))/(LN(2)/25)*Calculateur!AQ87*Calculateur!AS87*VLOOKUP('Données projet'!$B$10,Paramètres!$A$1:$I$89,3,0)*0.475*44/12</f>
        <v>17.742065912963476</v>
      </c>
      <c r="AW87" s="23">
        <f>EXP(-LN(2)/2)*AW86+(1-EXP(-LN(2)/2))/(LN(2)/2)*AQ87*AT87*VLOOKUP('Données projet'!$B$10,Paramètres!$A$1:$I$89,3,0)*0.475*44/12</f>
        <v>2.434315129734701</v>
      </c>
      <c r="AX87" s="23">
        <f t="shared" si="60"/>
        <v>100.00617289069663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65.688897152748922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45">
      <c r="A88" s="11">
        <f t="shared" si="85"/>
        <v>85</v>
      </c>
      <c r="B88" s="77">
        <f>'Scénario référence'!$B$16*5+'Scénario référence'!$B$17*0+'Scénario référence'!$B$18*5</f>
        <v>3.75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13.75</v>
      </c>
      <c r="H88" s="70">
        <f t="shared" si="56"/>
        <v>201.66666666666666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159.64393915572111</v>
      </c>
      <c r="T88" s="62">
        <f t="shared" si="88"/>
        <v>389.58290705889829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23.459645089475188</v>
      </c>
      <c r="AA88" s="23">
        <f>EXP(-LN(2)/25)*AA87+(1-EXP(-LN(2)/25))/(LN(2)/25)*Calculateur!V88*Calculateur!X88*VLOOKUP('Données projet'!$B$9,Paramètres!$A$1:$I$89,3,0)*0.475*44/12</f>
        <v>3.8384395839455734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27.29808467342076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11.565375514403296</v>
      </c>
      <c r="AI88" s="14">
        <f>IF('Données projet'!$A$62&gt;35,AI87+AH88-AQ87,IF(A88&lt;'Données projet'!$A$62,$AF$205^A88,IF(A88='Données projet'!$A$62,'Données projet'!$B$62,AI87+AH88-AQ87)))</f>
        <v>622.17312242798357</v>
      </c>
      <c r="AJ88" s="14">
        <f>AI88*VLOOKUP('Données projet'!$B$10,Paramètres!$A$1:$I$89,3,0)*VLOOKUP('Données projet'!$B$10,Paramètres!$A$1:$I$89,5,0)</f>
        <v>291.17702129629635</v>
      </c>
      <c r="AK88" s="14">
        <f t="shared" si="89"/>
        <v>69.323627103695401</v>
      </c>
      <c r="AL88" s="22">
        <f t="shared" si="58"/>
        <v>627.87196262998566</v>
      </c>
      <c r="AM88" s="62">
        <f t="shared" si="59"/>
        <v>905.67214150953009</v>
      </c>
      <c r="AN88" s="62">
        <f ca="1">AVERAGE(OFFSET($AM$3,0,0,'Données projet'!$E$10+1,1))-AVERAGE(OFFSET($H$3,0,0,'Données projet'!$E$10+1,1))</f>
        <v>442.01983807226742</v>
      </c>
      <c r="AO88" s="62">
        <f t="shared" si="90"/>
        <v>276.48668026732219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78.26437832122437</v>
      </c>
      <c r="AV88" s="23">
        <f>EXP(-LN(2)/25)*AV87+(1-EXP(-LN(2)/25))/(LN(2)/25)*Calculateur!AQ88*Calculateur!AS88*VLOOKUP('Données projet'!$B$10,Paramètres!$A$1:$I$89,3,0)*0.475*44/12</f>
        <v>17.256908187558793</v>
      </c>
      <c r="AW88" s="23">
        <f>EXP(-LN(2)/2)*AW87+(1-EXP(-LN(2)/2))/(LN(2)/2)*AQ88*AT88*VLOOKUP('Données projet'!$B$10,Paramètres!$A$1:$I$89,3,0)*0.475*44/12</f>
        <v>1.7213207357804174</v>
      </c>
      <c r="AX88" s="23">
        <f t="shared" si="60"/>
        <v>97.242607244563587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65.763685148966673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45">
      <c r="A89" s="11">
        <f t="shared" si="85"/>
        <v>86</v>
      </c>
      <c r="B89" s="77">
        <f>'Scénario référence'!$B$16*5+'Scénario référence'!$B$17*0+'Scénario référence'!$B$18*5</f>
        <v>3.75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13.75</v>
      </c>
      <c r="H89" s="70">
        <f t="shared" si="56"/>
        <v>201.66666666666666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159.64393915572111</v>
      </c>
      <c r="T89" s="62">
        <f t="shared" si="88"/>
        <v>389.58290705889829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22.999615758241191</v>
      </c>
      <c r="AA89" s="23">
        <f>EXP(-LN(2)/25)*AA88+(1-EXP(-LN(2)/25))/(LN(2)/25)*Calculateur!V89*Calculateur!X89*VLOOKUP('Données projet'!$B$9,Paramètres!$A$1:$I$89,3,0)*0.475*44/12</f>
        <v>3.733477251667817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26.733093009909009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11.565375514403296</v>
      </c>
      <c r="AI89" s="14">
        <f>IF('Données projet'!$A$62&gt;35,AI88+AH89-AQ88,IF(A89&lt;'Données projet'!$A$62,$AF$205^A89,IF(A89='Données projet'!$A$62,'Données projet'!$B$62,AI88+AH89-AQ88)))</f>
        <v>633.73849794238686</v>
      </c>
      <c r="AJ89" s="14">
        <f>AI89*VLOOKUP('Données projet'!$B$10,Paramètres!$A$1:$I$89,3,0)*VLOOKUP('Données projet'!$B$10,Paramètres!$A$1:$I$89,5,0)</f>
        <v>296.58961703703704</v>
      </c>
      <c r="AK89" s="14">
        <f t="shared" si="89"/>
        <v>70.46104117988871</v>
      </c>
      <c r="AL89" s="22">
        <f t="shared" si="58"/>
        <v>639.2798963944789</v>
      </c>
      <c r="AM89" s="62">
        <f t="shared" si="59"/>
        <v>917.34954077686575</v>
      </c>
      <c r="AN89" s="62">
        <f ca="1">AVERAGE(OFFSET($AM$3,0,0,'Données projet'!$E$10+1,1))-AVERAGE(OFFSET($H$3,0,0,'Données projet'!$E$10+1,1))</f>
        <v>442.01983807226742</v>
      </c>
      <c r="AO89" s="62">
        <f t="shared" si="90"/>
        <v>276.48668026732219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76.729661598902339</v>
      </c>
      <c r="AV89" s="23">
        <f>EXP(-LN(2)/25)*AV88+(1-EXP(-LN(2)/25))/(LN(2)/25)*Calculateur!AQ89*Calculateur!AS89*VLOOKUP('Données projet'!$B$10,Paramètres!$A$1:$I$89,3,0)*0.475*44/12</f>
        <v>16.785017125668638</v>
      </c>
      <c r="AW89" s="23">
        <f>EXP(-LN(2)/2)*AW88+(1-EXP(-LN(2)/2))/(LN(2)/2)*AQ89*AT89*VLOOKUP('Données projet'!$B$10,Paramètres!$A$1:$I$89,3,0)*0.475*44/12</f>
        <v>1.2171575648673507</v>
      </c>
      <c r="AX89" s="23">
        <f t="shared" si="60"/>
        <v>94.731836289438334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65.837175740650963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45">
      <c r="A90" s="11">
        <f t="shared" si="85"/>
        <v>87</v>
      </c>
      <c r="B90" s="77">
        <f>'Scénario référence'!$B$16*5+'Scénario référence'!$B$17*0+'Scénario référence'!$B$18*5</f>
        <v>3.75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13.75</v>
      </c>
      <c r="H90" s="70">
        <f t="shared" si="56"/>
        <v>201.66666666666666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159.64393915572111</v>
      </c>
      <c r="T90" s="62">
        <f t="shared" si="88"/>
        <v>389.58290705889829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22.548607321602507</v>
      </c>
      <c r="AA90" s="23">
        <f>EXP(-LN(2)/25)*AA89+(1-EXP(-LN(2)/25))/(LN(2)/25)*Calculateur!V90*Calculateur!X90*VLOOKUP('Données projet'!$B$9,Paramètres!$A$1:$I$89,3,0)*0.475*44/12</f>
        <v>3.6313851198859246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26.17999244148843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11.565375514403296</v>
      </c>
      <c r="AI90" s="14">
        <f>IF('Données projet'!$A$62&gt;35,AI89+AH90-AQ89,IF(A90&lt;'Données projet'!$A$62,$AF$205^A90,IF(A90='Données projet'!$A$62,'Données projet'!$B$62,AI89+AH90-AQ89)))</f>
        <v>645.30387345679014</v>
      </c>
      <c r="AJ90" s="14">
        <f>AI90*VLOOKUP('Données projet'!$B$10,Paramètres!$A$1:$I$89,3,0)*VLOOKUP('Données projet'!$B$10,Paramètres!$A$1:$I$89,5,0)</f>
        <v>302.0022127777778</v>
      </c>
      <c r="AK90" s="14">
        <f t="shared" si="89"/>
        <v>71.596041543679334</v>
      </c>
      <c r="AL90" s="22">
        <f t="shared" si="58"/>
        <v>650.68362627653789</v>
      </c>
      <c r="AM90" s="62">
        <f t="shared" si="59"/>
        <v>929.01806153772736</v>
      </c>
      <c r="AN90" s="62">
        <f ca="1">AVERAGE(OFFSET($AM$3,0,0,'Données projet'!$E$10+1,1))-AVERAGE(OFFSET($H$3,0,0,'Données projet'!$E$10+1,1))</f>
        <v>442.01983807226742</v>
      </c>
      <c r="AO90" s="62">
        <f t="shared" si="90"/>
        <v>276.48668026732219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75.225039735420282</v>
      </c>
      <c r="AV90" s="23">
        <f>EXP(-LN(2)/25)*AV89+(1-EXP(-LN(2)/25))/(LN(2)/25)*Calculateur!AQ90*Calculateur!AS90*VLOOKUP('Données projet'!$B$10,Paramètres!$A$1:$I$89,3,0)*0.475*44/12</f>
        <v>16.326029949681541</v>
      </c>
      <c r="AW90" s="23">
        <f>EXP(-LN(2)/2)*AW89+(1-EXP(-LN(2)/2))/(LN(2)/2)*AQ90*AT90*VLOOKUP('Données projet'!$B$10,Paramètres!$A$1:$I$89,3,0)*0.475*44/12</f>
        <v>0.86066036789020883</v>
      </c>
      <c r="AX90" s="23">
        <f t="shared" si="60"/>
        <v>92.411730052992027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65.909391434869846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45">
      <c r="A91" s="11">
        <f t="shared" si="85"/>
        <v>88</v>
      </c>
      <c r="B91" s="77">
        <f>'Scénario référence'!$B$16*5+'Scénario référence'!$B$17*0+'Scénario référence'!$B$18*5</f>
        <v>3.75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13.75</v>
      </c>
      <c r="H91" s="70">
        <f t="shared" si="56"/>
        <v>201.66666666666666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159.64393915572111</v>
      </c>
      <c r="T91" s="62">
        <f t="shared" si="88"/>
        <v>389.58290705889829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22.106442885318323</v>
      </c>
      <c r="AA91" s="23">
        <f>EXP(-LN(2)/25)*AA90+(1-EXP(-LN(2)/25))/(LN(2)/25)*Calculateur!V91*Calculateur!X91*VLOOKUP('Données projet'!$B$9,Paramètres!$A$1:$I$89,3,0)*0.475*44/12</f>
        <v>3.5320847028164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25.638527588134721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11.565375514403296</v>
      </c>
      <c r="AI91" s="14">
        <f>IF('Données projet'!$A$62&gt;35,AI90+AH91-AQ90,IF(A91&lt;'Données projet'!$A$62,$AF$205^A91,IF(A91='Données projet'!$A$62,'Données projet'!$B$62,AI90+AH91-AQ90)))</f>
        <v>656.86924897119343</v>
      </c>
      <c r="AJ91" s="14">
        <f>AI91*VLOOKUP('Données projet'!$B$10,Paramètres!$A$1:$I$89,3,0)*VLOOKUP('Données projet'!$B$10,Paramètres!$A$1:$I$89,5,0)</f>
        <v>307.4148085185185</v>
      </c>
      <c r="AK91" s="14">
        <f t="shared" si="89"/>
        <v>72.728676444784242</v>
      </c>
      <c r="AL91" s="22">
        <f t="shared" si="58"/>
        <v>662.08323631108567</v>
      </c>
      <c r="AM91" s="62">
        <f t="shared" si="59"/>
        <v>940.67786892131426</v>
      </c>
      <c r="AN91" s="62">
        <f ca="1">AVERAGE(OFFSET($AM$3,0,0,'Données projet'!$E$10+1,1))-AVERAGE(OFFSET($H$3,0,0,'Données projet'!$E$10+1,1))</f>
        <v>442.01983807226742</v>
      </c>
      <c r="AO91" s="62">
        <f t="shared" si="90"/>
        <v>276.48668026732219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73.749922588952387</v>
      </c>
      <c r="AV91" s="23">
        <f>EXP(-LN(2)/25)*AV90+(1-EXP(-LN(2)/25))/(LN(2)/25)*Calculateur!AQ91*Calculateur!AS91*VLOOKUP('Données projet'!$B$10,Paramètres!$A$1:$I$89,3,0)*0.475*44/12</f>
        <v>15.879593802158897</v>
      </c>
      <c r="AW91" s="23">
        <f>EXP(-LN(2)/2)*AW90+(1-EXP(-LN(2)/2))/(LN(2)/2)*AQ91*AT91*VLOOKUP('Données projet'!$B$10,Paramètres!$A$1:$I$89,3,0)*0.475*44/12</f>
        <v>0.60857878243367547</v>
      </c>
      <c r="AX91" s="23">
        <f t="shared" si="60"/>
        <v>90.238095173544963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65.980354348244163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45">
      <c r="A92" s="11">
        <f t="shared" si="85"/>
        <v>89</v>
      </c>
      <c r="B92" s="77">
        <f>'Scénario référence'!$B$16*5+'Scénario référence'!$B$17*0+'Scénario référence'!$B$18*5</f>
        <v>3.75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13.75</v>
      </c>
      <c r="H92" s="70">
        <f t="shared" si="56"/>
        <v>201.66666666666666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159.64393915572111</v>
      </c>
      <c r="T92" s="62">
        <f t="shared" si="88"/>
        <v>389.58290705889829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21.672949023935995</v>
      </c>
      <c r="AA92" s="23">
        <f>EXP(-LN(2)/25)*AA91+(1-EXP(-LN(2)/25))/(LN(2)/25)*Calculateur!V92*Calculateur!X92*VLOOKUP('Données projet'!$B$9,Paramètres!$A$1:$I$89,3,0)*0.475*44/12</f>
        <v>3.4354996608736235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25.10844868480962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11.565375514403296</v>
      </c>
      <c r="AI92" s="14">
        <f>IF('Données projet'!$A$62&gt;35,AI91+AH92-AQ91,IF(A92&lt;'Données projet'!$A$62,$AF$205^A92,IF(A92='Données projet'!$A$62,'Données projet'!$B$62,AI91+AH92-AQ91)))</f>
        <v>668.43462448559671</v>
      </c>
      <c r="AJ92" s="14">
        <f>AI92*VLOOKUP('Données projet'!$B$10,Paramètres!$A$1:$I$89,3,0)*VLOOKUP('Données projet'!$B$10,Paramètres!$A$1:$I$89,5,0)</f>
        <v>312.82740425925925</v>
      </c>
      <c r="AK92" s="14">
        <f t="shared" si="89"/>
        <v>73.858992336551609</v>
      </c>
      <c r="AL92" s="22">
        <f t="shared" si="58"/>
        <v>673.47880740437051</v>
      </c>
      <c r="AM92" s="62">
        <f t="shared" si="59"/>
        <v>952.32912352134645</v>
      </c>
      <c r="AN92" s="62">
        <f ca="1">AVERAGE(OFFSET($AM$3,0,0,'Données projet'!$E$10+1,1))-AVERAGE(OFFSET($H$3,0,0,'Données projet'!$E$10+1,1))</f>
        <v>442.01983807226742</v>
      </c>
      <c r="AO92" s="62">
        <f t="shared" si="90"/>
        <v>276.48668026732219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72.303731589994101</v>
      </c>
      <c r="AV92" s="23">
        <f>EXP(-LN(2)/25)*AV91+(1-EXP(-LN(2)/25))/(LN(2)/25)*Calculateur!AQ92*Calculateur!AS92*VLOOKUP('Données projet'!$B$10,Paramètres!$A$1:$I$89,3,0)*0.475*44/12</f>
        <v>15.445365474567318</v>
      </c>
      <c r="AW92" s="23">
        <f>EXP(-LN(2)/2)*AW91+(1-EXP(-LN(2)/2))/(LN(2)/2)*AQ92*AT92*VLOOKUP('Données projet'!$B$10,Paramètres!$A$1:$I$89,3,0)*0.475*44/12</f>
        <v>0.43033018394510453</v>
      </c>
      <c r="AX92" s="23">
        <f t="shared" si="60"/>
        <v>88.179427248506528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66.050086213720732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45">
      <c r="A93" s="11">
        <f t="shared" si="85"/>
        <v>90</v>
      </c>
      <c r="B93" s="77">
        <f>'Scénario référence'!$B$16*5+'Scénario référence'!$B$17*0+'Scénario référence'!$B$18*5</f>
        <v>3.75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13.75</v>
      </c>
      <c r="H93" s="70">
        <f t="shared" si="56"/>
        <v>201.66666666666666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159.64393915572111</v>
      </c>
      <c r="T93" s="62">
        <f t="shared" si="88"/>
        <v>389.58290705889829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21.247955712770228</v>
      </c>
      <c r="AA93" s="23">
        <f>EXP(-LN(2)/25)*AA92+(1-EXP(-LN(2)/25))/(LN(2)/25)*Calculateur!V93*Calculateur!X93*VLOOKUP('Données projet'!$B$9,Paramètres!$A$1:$I$89,3,0)*0.475*44/12</f>
        <v>3.341555741981959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24.589511454752188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680</v>
      </c>
      <c r="AG93" s="13">
        <f>VLOOKUP(A93,'Données projet'!$A$61:$I$81,9,0)</f>
        <v>11.565375514403296</v>
      </c>
      <c r="AH93" s="13">
        <f t="array" ref="AH93">INDEX(AG:AG,MIN(IF(ISNUMBER(AG93:AG289),ROW(AG93:AG289),"")))</f>
        <v>11.565375514403296</v>
      </c>
      <c r="AI93" s="14">
        <f>IF('Données projet'!$A$62&gt;35,AI92+AH93-AQ92,IF(A93&lt;'Données projet'!$A$62,$AF$205^A93,IF(A93='Données projet'!$A$62,'Données projet'!$B$62,AI92+AH93-AQ92)))</f>
        <v>680</v>
      </c>
      <c r="AJ93" s="14">
        <f>AI93*VLOOKUP('Données projet'!$B$10,Paramètres!$A$1:$I$89,3,0)*VLOOKUP('Données projet'!$B$10,Paramètres!$A$1:$I$89,5,0)</f>
        <v>318.24</v>
      </c>
      <c r="AK93" s="14">
        <f t="shared" si="89"/>
        <v>74.987033972743887</v>
      </c>
      <c r="AL93" s="22">
        <f t="shared" si="58"/>
        <v>684.87041750252899</v>
      </c>
      <c r="AM93" s="62">
        <f t="shared" si="59"/>
        <v>963.97198158903302</v>
      </c>
      <c r="AN93" s="62">
        <f ca="1">AVERAGE(OFFSET($AM$3,0,0,'Données projet'!$E$10+1,1))-AVERAGE(OFFSET($H$3,0,0,'Données projet'!$E$10+1,1))</f>
        <v>442.01983807226742</v>
      </c>
      <c r="AO93" s="62">
        <f t="shared" si="90"/>
        <v>276.48668026732219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160.72437414266119</v>
      </c>
      <c r="AR93" s="17">
        <f>IF(ISNA(VLOOKUP(A93,'Données projet'!$A$61:$I$81,5,0)),0%,VLOOKUP(A93,'Données projet'!$A$61:$I$81,5,0)*VLOOKUP('Données projet'!$B$10,Paramètres!$A$1:$I$89,7,0))</f>
        <v>0.38500000000000001</v>
      </c>
      <c r="AS93" s="17">
        <f>IF(ISNA(VLOOKUP(A93,'Données projet'!$A$61:$I$81,6,0)),0%,VLOOKUP(A93,'Données projet'!$A$61:$I$81,6,0)*VLOOKUP('Données projet'!$B$10,Paramètres!$A$1:$I$89,7,0))</f>
        <v>9.240000000000001E-2</v>
      </c>
      <c r="AT93" s="17">
        <f>IF(ISNA(VLOOKUP(A93,'Données projet'!$A$61:$I$81,7,0)),0%,VLOOKUP(A93,'Données projet'!$A$61:$I$81,7,0))</f>
        <v>0.13200000000000001</v>
      </c>
      <c r="AU93" s="23">
        <f>EXP(-LN(2)/35)*AU92+(1-EXP(-LN(2)/35))/(LN(2)/35)*AQ93*AR93*VLOOKUP('Données projet'!$B$10,Paramètres!$A$1:$I$89,3,0)*0.475*44/12</f>
        <v>109.30230107284649</v>
      </c>
      <c r="AV93" s="23">
        <f>EXP(-LN(2)/25)*AV92+(1-EXP(-LN(2)/25))/(LN(2)/25)*Calculateur!AQ93*Calculateur!AS93*VLOOKUP('Données projet'!$B$10,Paramètres!$A$1:$I$89,3,0)*0.475*44/12</f>
        <v>24.206645114871641</v>
      </c>
      <c r="AW93" s="23">
        <f>EXP(-LN(2)/2)*AW92+(1-EXP(-LN(2)/2))/(LN(2)/2)*AQ93*AT93*VLOOKUP('Données projet'!$B$10,Paramètres!$A$1:$I$89,3,0)*0.475*44/12</f>
        <v>11.546120768929343</v>
      </c>
      <c r="AX93" s="23">
        <f t="shared" si="60"/>
        <v>145.05506695664747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66.118608387228392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45">
      <c r="A94" s="11">
        <f t="shared" si="85"/>
        <v>91</v>
      </c>
      <c r="B94" s="77">
        <f>'Scénario référence'!$B$16*5+'Scénario référence'!$B$17*0+'Scénario référence'!$B$18*5</f>
        <v>3.75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13.75</v>
      </c>
      <c r="H94" s="70">
        <f t="shared" si="56"/>
        <v>201.66666666666666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159.64393915572111</v>
      </c>
      <c r="T94" s="62">
        <f t="shared" si="88"/>
        <v>389.58290705889829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20.831296261216096</v>
      </c>
      <c r="AA94" s="23">
        <f>EXP(-LN(2)/25)*AA93+(1-EXP(-LN(2)/25))/(LN(2)/25)*Calculateur!V94*Calculateur!X94*VLOOKUP('Données projet'!$B$9,Paramètres!$A$1:$I$89,3,0)*0.475*44/12</f>
        <v>3.250180724492683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24.081476985708779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8.0678034979423732</v>
      </c>
      <c r="AI94" s="14">
        <f>IF('Données projet'!$A$62&gt;35,AI93+AH94-AQ93,IF(A94&lt;'Données projet'!$A$62,$AF$205^A94,IF(A94='Données projet'!$A$62,'Données projet'!$B$62,AI93+AH94-AQ93)))</f>
        <v>527.34342935528116</v>
      </c>
      <c r="AJ94" s="14">
        <f>AI94*VLOOKUP('Données projet'!$B$10,Paramètres!$A$1:$I$89,3,0)*VLOOKUP('Données projet'!$B$10,Paramètres!$A$1:$I$89,5,0)</f>
        <v>246.79672493827158</v>
      </c>
      <c r="AK94" s="14">
        <f t="shared" si="89"/>
        <v>59.89949373785069</v>
      </c>
      <c r="AL94" s="22">
        <f t="shared" si="58"/>
        <v>534.16258086091295</v>
      </c>
      <c r="AM94" s="62">
        <f t="shared" si="59"/>
        <v>813.51103432638001</v>
      </c>
      <c r="AN94" s="62">
        <f ca="1">AVERAGE(OFFSET($AM$3,0,0,'Données projet'!$E$10+1,1))-AVERAGE(OFFSET($H$3,0,0,'Données projet'!$E$10+1,1))</f>
        <v>442.01983807226742</v>
      </c>
      <c r="AO94" s="62">
        <f t="shared" si="90"/>
        <v>276.48668026732219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107.15894961662872</v>
      </c>
      <c r="AV94" s="23">
        <f>EXP(-LN(2)/25)*AV93+(1-EXP(-LN(2)/25))/(LN(2)/25)*Calculateur!AQ94*Calculateur!AS94*VLOOKUP('Données projet'!$B$10,Paramètres!$A$1:$I$89,3,0)*0.475*44/12</f>
        <v>23.544713131233333</v>
      </c>
      <c r="AW94" s="23">
        <f>EXP(-LN(2)/2)*AW93+(1-EXP(-LN(2)/2))/(LN(2)/2)*AQ94*AT94*VLOOKUP('Données projet'!$B$10,Paramètres!$A$1:$I$89,3,0)*0.475*44/12</f>
        <v>8.1643402921087738</v>
      </c>
      <c r="AX94" s="23">
        <f t="shared" si="60"/>
        <v>138.8680030399708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66.185941854218314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45">
      <c r="A95" s="11">
        <f t="shared" si="85"/>
        <v>92</v>
      </c>
      <c r="B95" s="77">
        <f>'Scénario référence'!$B$16*5+'Scénario référence'!$B$17*0+'Scénario référence'!$B$18*5</f>
        <v>3.75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13.75</v>
      </c>
      <c r="H95" s="70">
        <f t="shared" si="56"/>
        <v>201.66666666666666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159.64393915572111</v>
      </c>
      <c r="T95" s="62">
        <f t="shared" si="88"/>
        <v>389.58290705889829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20.422807247369771</v>
      </c>
      <c r="AA95" s="23">
        <f>EXP(-LN(2)/25)*AA94+(1-EXP(-LN(2)/25))/(LN(2)/25)*Calculateur!V95*Calculateur!X95*VLOOKUP('Données projet'!$B$9,Paramètres!$A$1:$I$89,3,0)*0.475*44/12</f>
        <v>3.1613043616618546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23.584111609031627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8.0678034979423732</v>
      </c>
      <c r="AI95" s="14">
        <f>IF('Données projet'!$A$62&gt;35,AI94+AH95-AQ94,IF(A95&lt;'Données projet'!$A$62,$AF$205^A95,IF(A95='Données projet'!$A$62,'Données projet'!$B$62,AI94+AH95-AQ94)))</f>
        <v>535.41123285322351</v>
      </c>
      <c r="AJ95" s="14">
        <f>AI95*VLOOKUP('Données projet'!$B$10,Paramètres!$A$1:$I$89,3,0)*VLOOKUP('Données projet'!$B$10,Paramètres!$A$1:$I$89,5,0)</f>
        <v>250.5724569753086</v>
      </c>
      <c r="AK95" s="14">
        <f t="shared" si="89"/>
        <v>60.708507575265074</v>
      </c>
      <c r="AL95" s="22">
        <f t="shared" si="58"/>
        <v>542.14767992558245</v>
      </c>
      <c r="AM95" s="62">
        <f t="shared" si="59"/>
        <v>821.7387397912496</v>
      </c>
      <c r="AN95" s="62">
        <f ca="1">AVERAGE(OFFSET($AM$3,0,0,'Données projet'!$E$10+1,1))-AVERAGE(OFFSET($H$3,0,0,'Données projet'!$E$10+1,1))</f>
        <v>442.01983807226742</v>
      </c>
      <c r="AO95" s="62">
        <f t="shared" si="90"/>
        <v>276.48668026732219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105.05762797515209</v>
      </c>
      <c r="AV95" s="23">
        <f>EXP(-LN(2)/25)*AV94+(1-EXP(-LN(2)/25))/(LN(2)/25)*Calculateur!AQ95*Calculateur!AS95*VLOOKUP('Données projet'!$B$10,Paramètres!$A$1:$I$89,3,0)*0.475*44/12</f>
        <v>22.900881712497107</v>
      </c>
      <c r="AW95" s="23">
        <f>EXP(-LN(2)/2)*AW94+(1-EXP(-LN(2)/2))/(LN(2)/2)*AQ95*AT95*VLOOKUP('Données projet'!$B$10,Paramètres!$A$1:$I$89,3,0)*0.475*44/12</f>
        <v>5.7730603844646726</v>
      </c>
      <c r="AX95" s="23">
        <f t="shared" si="60"/>
        <v>133.73157007211387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66.252107236091035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45">
      <c r="A96" s="11">
        <f t="shared" si="85"/>
        <v>93</v>
      </c>
      <c r="B96" s="77">
        <f>'Scénario référence'!$B$16*5+'Scénario référence'!$B$17*0+'Scénario référence'!$B$18*5</f>
        <v>3.75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13.75</v>
      </c>
      <c r="H96" s="70">
        <f t="shared" si="56"/>
        <v>201.66666666666666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159.64393915572111</v>
      </c>
      <c r="T96" s="62">
        <f t="shared" si="88"/>
        <v>389.58290705889829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20.022328453931276</v>
      </c>
      <c r="AA96" s="23">
        <f>EXP(-LN(2)/25)*AA95+(1-EXP(-LN(2)/25))/(LN(2)/25)*Calculateur!V96*Calculateur!X96*VLOOKUP('Données projet'!$B$9,Paramètres!$A$1:$I$89,3,0)*0.475*44/12</f>
        <v>3.0748583276464401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23.097186781577715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8.0678034979423732</v>
      </c>
      <c r="AI96" s="14">
        <f>IF('Données projet'!$A$62&gt;35,AI95+AH96-AQ95,IF(A96&lt;'Données projet'!$A$62,$AF$205^A96,IF(A96='Données projet'!$A$62,'Données projet'!$B$62,AI95+AH96-AQ95)))</f>
        <v>543.47903635116586</v>
      </c>
      <c r="AJ96" s="14">
        <f>AI96*VLOOKUP('Données projet'!$B$10,Paramètres!$A$1:$I$89,3,0)*VLOOKUP('Données projet'!$B$10,Paramètres!$A$1:$I$89,5,0)</f>
        <v>254.34818901234564</v>
      </c>
      <c r="AK96" s="14">
        <f t="shared" si="89"/>
        <v>61.516103618045648</v>
      </c>
      <c r="AL96" s="22">
        <f t="shared" si="58"/>
        <v>550.13030966459814</v>
      </c>
      <c r="AM96" s="62">
        <f t="shared" si="59"/>
        <v>829.95976725180844</v>
      </c>
      <c r="AN96" s="62">
        <f ca="1">AVERAGE(OFFSET($AM$3,0,0,'Données projet'!$E$10+1,1))-AVERAGE(OFFSET($H$3,0,0,'Données projet'!$E$10+1,1))</f>
        <v>442.01983807226742</v>
      </c>
      <c r="AO96" s="62">
        <f t="shared" si="90"/>
        <v>276.48668026732219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102.99751196938516</v>
      </c>
      <c r="AV96" s="23">
        <f>EXP(-LN(2)/25)*AV95+(1-EXP(-LN(2)/25))/(LN(2)/25)*Calculateur!AQ96*Calculateur!AS96*VLOOKUP('Données projet'!$B$10,Paramètres!$A$1:$I$89,3,0)*0.475*44/12</f>
        <v>22.274655897763846</v>
      </c>
      <c r="AW96" s="23">
        <f>EXP(-LN(2)/2)*AW95+(1-EXP(-LN(2)/2))/(LN(2)/2)*AQ96*AT96*VLOOKUP('Données projet'!$B$10,Paramètres!$A$1:$I$89,3,0)*0.475*44/12</f>
        <v>4.0821701460543878</v>
      </c>
      <c r="AX96" s="23">
        <f t="shared" si="60"/>
        <v>129.3543380132034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66.317124796511905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45">
      <c r="A97" s="11">
        <f t="shared" si="85"/>
        <v>94</v>
      </c>
      <c r="B97" s="77">
        <f>'Scénario référence'!$B$16*5+'Scénario référence'!$B$17*0+'Scénario référence'!$B$18*5</f>
        <v>3.75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13.75</v>
      </c>
      <c r="H97" s="70">
        <f t="shared" si="56"/>
        <v>201.66666666666666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159.64393915572111</v>
      </c>
      <c r="T97" s="62">
        <f t="shared" si="88"/>
        <v>389.58290705889829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19.629702805364165</v>
      </c>
      <c r="AA97" s="23">
        <f>EXP(-LN(2)/25)*AA96+(1-EXP(-LN(2)/25))/(LN(2)/25)*Calculateur!V97*Calculateur!X97*VLOOKUP('Données projet'!$B$9,Paramètres!$A$1:$I$89,3,0)*0.475*44/12</f>
        <v>2.9907761649771762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22.620478970341342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8.0678034979423732</v>
      </c>
      <c r="AI97" s="14">
        <f>IF('Données projet'!$A$62&gt;35,AI96+AH97-AQ96,IF(A97&lt;'Données projet'!$A$62,$AF$205^A97,IF(A97='Données projet'!$A$62,'Données projet'!$B$62,AI96+AH97-AQ96)))</f>
        <v>551.54683984910821</v>
      </c>
      <c r="AJ97" s="14">
        <f>AI97*VLOOKUP('Données projet'!$B$10,Paramètres!$A$1:$I$89,3,0)*VLOOKUP('Données projet'!$B$10,Paramètres!$A$1:$I$89,5,0)</f>
        <v>258.12392104938266</v>
      </c>
      <c r="AK97" s="14">
        <f t="shared" si="89"/>
        <v>62.322305344274874</v>
      </c>
      <c r="AL97" s="22">
        <f t="shared" si="58"/>
        <v>558.11051096895346</v>
      </c>
      <c r="AM97" s="62">
        <f t="shared" si="59"/>
        <v>838.17423061021566</v>
      </c>
      <c r="AN97" s="62">
        <f ca="1">AVERAGE(OFFSET($AM$3,0,0,'Données projet'!$E$10+1,1))-AVERAGE(OFFSET($H$3,0,0,'Données projet'!$E$10+1,1))</f>
        <v>442.01983807226742</v>
      </c>
      <c r="AO97" s="62">
        <f t="shared" si="90"/>
        <v>276.48668026732219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100.97779358194464</v>
      </c>
      <c r="AV97" s="23">
        <f>EXP(-LN(2)/25)*AV96+(1-EXP(-LN(2)/25))/(LN(2)/25)*Calculateur!AQ97*Calculateur!AS97*VLOOKUP('Données projet'!$B$10,Paramètres!$A$1:$I$89,3,0)*0.475*44/12</f>
        <v>21.665554260866251</v>
      </c>
      <c r="AW97" s="23">
        <f>EXP(-LN(2)/2)*AW96+(1-EXP(-LN(2)/2))/(LN(2)/2)*AQ97*AT97*VLOOKUP('Données projet'!$B$10,Paramètres!$A$1:$I$89,3,0)*0.475*44/12</f>
        <v>2.8865301922323368</v>
      </c>
      <c r="AX97" s="23">
        <f t="shared" si="60"/>
        <v>125.52987803504324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66.381014447616963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45">
      <c r="A98" s="11">
        <f t="shared" si="85"/>
        <v>95</v>
      </c>
      <c r="B98" s="77">
        <f>'Scénario référence'!$B$16*5+'Scénario référence'!$B$17*0+'Scénario référence'!$B$18*5</f>
        <v>3.75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13.75</v>
      </c>
      <c r="H98" s="70">
        <f t="shared" si="56"/>
        <v>201.66666666666666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159.64393915572111</v>
      </c>
      <c r="T98" s="62">
        <f t="shared" si="88"/>
        <v>389.58290705889829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19.244776306287456</v>
      </c>
      <c r="AA98" s="23">
        <f>EXP(-LN(2)/25)*AA97+(1-EXP(-LN(2)/25))/(LN(2)/25)*Calculateur!V98*Calculateur!X98*VLOOKUP('Données projet'!$B$9,Paramètres!$A$1:$I$89,3,0)*0.475*44/12</f>
        <v>2.9089932334677924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22.153769539755249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8.0678034979423732</v>
      </c>
      <c r="AI98" s="14">
        <f>IF('Données projet'!$A$62&gt;35,AI97+AH98-AQ97,IF(A98&lt;'Données projet'!$A$62,$AF$205^A98,IF(A98='Données projet'!$A$62,'Données projet'!$B$62,AI97+AH98-AQ97)))</f>
        <v>559.61464334705056</v>
      </c>
      <c r="AJ98" s="14">
        <f>AI98*VLOOKUP('Données projet'!$B$10,Paramètres!$A$1:$I$89,3,0)*VLOOKUP('Données projet'!$B$10,Paramètres!$A$1:$I$89,5,0)</f>
        <v>261.89965308641968</v>
      </c>
      <c r="AK98" s="14">
        <f t="shared" si="89"/>
        <v>63.12713550574599</v>
      </c>
      <c r="AL98" s="22">
        <f t="shared" si="58"/>
        <v>566.08832346468841</v>
      </c>
      <c r="AM98" s="62">
        <f t="shared" si="59"/>
        <v>846.3822412370962</v>
      </c>
      <c r="AN98" s="62">
        <f ca="1">AVERAGE(OFFSET($AM$3,0,0,'Données projet'!$E$10+1,1))-AVERAGE(OFFSET($H$3,0,0,'Données projet'!$E$10+1,1))</f>
        <v>442.01983807226742</v>
      </c>
      <c r="AO98" s="62">
        <f t="shared" si="90"/>
        <v>276.48668026732219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98.997680640175247</v>
      </c>
      <c r="AV98" s="23">
        <f>EXP(-LN(2)/25)*AV97+(1-EXP(-LN(2)/25))/(LN(2)/25)*Calculateur!AQ98*Calculateur!AS98*VLOOKUP('Données projet'!$B$10,Paramètres!$A$1:$I$89,3,0)*0.475*44/12</f>
        <v>21.073108540260883</v>
      </c>
      <c r="AW98" s="23">
        <f>EXP(-LN(2)/2)*AW97+(1-EXP(-LN(2)/2))/(LN(2)/2)*AQ98*AT98*VLOOKUP('Données projet'!$B$10,Paramètres!$A$1:$I$89,3,0)*0.475*44/12</f>
        <v>2.0410850730271939</v>
      </c>
      <c r="AX98" s="23">
        <f t="shared" si="60"/>
        <v>122.11187425346331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66.443795756111214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45">
      <c r="A99" s="11">
        <f t="shared" si="85"/>
        <v>96</v>
      </c>
      <c r="B99" s="77">
        <f>'Scénario référence'!$B$16*5+'Scénario référence'!$B$17*0+'Scénario référence'!$B$18*5</f>
        <v>3.75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13.75</v>
      </c>
      <c r="H99" s="70">
        <f t="shared" si="56"/>
        <v>201.66666666666666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159.64393915572111</v>
      </c>
      <c r="T99" s="62">
        <f t="shared" si="88"/>
        <v>389.58290705889829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18.867397981075658</v>
      </c>
      <c r="AA99" s="23">
        <f>EXP(-LN(2)/25)*AA98+(1-EXP(-LN(2)/25))/(LN(2)/25)*Calculateur!V99*Calculateur!X99*VLOOKUP('Données projet'!$B$9,Paramètres!$A$1:$I$89,3,0)*0.475*44/12</f>
        <v>2.82944666052131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21.696844641596968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8.0678034979423732</v>
      </c>
      <c r="AI99" s="14">
        <f>IF('Données projet'!$A$62&gt;35,AI98+AH99-AQ98,IF(A99&lt;'Données projet'!$A$62,$AF$205^A99,IF(A99='Données projet'!$A$62,'Données projet'!$B$62,AI98+AH99-AQ98)))</f>
        <v>567.68244684499291</v>
      </c>
      <c r="AJ99" s="14">
        <f>AI99*VLOOKUP('Données projet'!$B$10,Paramètres!$A$1:$I$89,3,0)*VLOOKUP('Données projet'!$B$10,Paramètres!$A$1:$I$89,5,0)</f>
        <v>265.67538512345669</v>
      </c>
      <c r="AK99" s="14">
        <f t="shared" si="89"/>
        <v>63.930616160570338</v>
      </c>
      <c r="AL99" s="22">
        <f t="shared" si="58"/>
        <v>574.06378556968036</v>
      </c>
      <c r="AM99" s="62">
        <f t="shared" si="59"/>
        <v>854.58390805030422</v>
      </c>
      <c r="AN99" s="62">
        <f ca="1">AVERAGE(OFFSET($AM$3,0,0,'Données projet'!$E$10+1,1))-AVERAGE(OFFSET($H$3,0,0,'Données projet'!$E$10+1,1))</f>
        <v>442.01983807226742</v>
      </c>
      <c r="AO99" s="62">
        <f t="shared" si="90"/>
        <v>276.48668026732219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97.056396505444312</v>
      </c>
      <c r="AV99" s="23">
        <f>EXP(-LN(2)/25)*AV98+(1-EXP(-LN(2)/25))/(LN(2)/25)*Calculateur!AQ99*Calculateur!AS99*VLOOKUP('Données projet'!$B$10,Paramètres!$A$1:$I$89,3,0)*0.475*44/12</f>
        <v>20.496863279040834</v>
      </c>
      <c r="AW99" s="23">
        <f>EXP(-LN(2)/2)*AW98+(1-EXP(-LN(2)/2))/(LN(2)/2)*AQ99*AT99*VLOOKUP('Données projet'!$B$10,Paramètres!$A$1:$I$89,3,0)*0.475*44/12</f>
        <v>1.4432650961161684</v>
      </c>
      <c r="AX99" s="23">
        <f t="shared" si="60"/>
        <v>118.99652488060131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66.505487949261067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45">
      <c r="A100" s="11">
        <f t="shared" si="85"/>
        <v>97</v>
      </c>
      <c r="B100" s="77">
        <f>'Scénario référence'!$B$16*5+'Scénario référence'!$B$17*0+'Scénario référence'!$B$18*5</f>
        <v>3.75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13.75</v>
      </c>
      <c r="H100" s="70">
        <f t="shared" si="56"/>
        <v>201.66666666666666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159.64393915572111</v>
      </c>
      <c r="T100" s="62">
        <f t="shared" si="88"/>
        <v>389.58290705889829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18.497419814643216</v>
      </c>
      <c r="AA100" s="23">
        <f>EXP(-LN(2)/25)*AA99+(1-EXP(-LN(2)/25))/(LN(2)/25)*Calculateur!V100*Calculateur!X100*VLOOKUP('Données projet'!$B$9,Paramètres!$A$1:$I$89,3,0)*0.475*44/12</f>
        <v>2.7520752927952219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21.249495107438438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8.0678034979423732</v>
      </c>
      <c r="AI100" s="14">
        <f>IF('Données projet'!$A$62&gt;35,AI99+AH100-AQ99,IF(A100&lt;'Données projet'!$A$62,$AF$205^A100,IF(A100='Données projet'!$A$62,'Données projet'!$B$62,AI99+AH100-AQ99)))</f>
        <v>575.75025034293526</v>
      </c>
      <c r="AJ100" s="14">
        <f>AI100*VLOOKUP('Données projet'!$B$10,Paramètres!$A$1:$I$89,3,0)*VLOOKUP('Données projet'!$B$10,Paramètres!$A$1:$I$89,5,0)</f>
        <v>269.45111716049371</v>
      </c>
      <c r="AK100" s="14">
        <f t="shared" si="89"/>
        <v>64.732768703879586</v>
      </c>
      <c r="AL100" s="22">
        <f t="shared" si="58"/>
        <v>582.03693454711674</v>
      </c>
      <c r="AM100" s="62">
        <f t="shared" si="59"/>
        <v>862.77933758998711</v>
      </c>
      <c r="AN100" s="62">
        <f ca="1">AVERAGE(OFFSET($AM$3,0,0,'Données projet'!$E$10+1,1))-AVERAGE(OFFSET($H$3,0,0,'Données projet'!$E$10+1,1))</f>
        <v>442.01983807226742</v>
      </c>
      <c r="AO100" s="62">
        <f t="shared" si="90"/>
        <v>276.48668026732219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95.153179768529043</v>
      </c>
      <c r="AV100" s="23">
        <f>EXP(-LN(2)/25)*AV99+(1-EXP(-LN(2)/25))/(LN(2)/25)*Calculateur!AQ100*Calculateur!AS100*VLOOKUP('Données projet'!$B$10,Paramètres!$A$1:$I$89,3,0)*0.475*44/12</f>
        <v>19.936375474792268</v>
      </c>
      <c r="AW100" s="23">
        <f>EXP(-LN(2)/2)*AW99+(1-EXP(-LN(2)/2))/(LN(2)/2)*AQ100*AT100*VLOOKUP('Données projet'!$B$10,Paramètres!$A$1:$I$89,3,0)*0.475*44/12</f>
        <v>1.0205425365135969</v>
      </c>
      <c r="AX100" s="23">
        <f t="shared" si="60"/>
        <v>116.11009777983492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66.56610992078285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45">
      <c r="A101" s="11">
        <f t="shared" si="85"/>
        <v>98</v>
      </c>
      <c r="B101" s="77">
        <f>'Scénario référence'!$B$16*5+'Scénario référence'!$B$17*0+'Scénario référence'!$B$18*5</f>
        <v>3.75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13.75</v>
      </c>
      <c r="H101" s="70">
        <f t="shared" si="56"/>
        <v>201.66666666666666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159.64393915572111</v>
      </c>
      <c r="T101" s="62">
        <f t="shared" si="88"/>
        <v>389.58290705889829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18.134696694390115</v>
      </c>
      <c r="AA101" s="23">
        <f>EXP(-LN(2)/25)*AA100+(1-EXP(-LN(2)/25))/(LN(2)/25)*Calculateur!V101*Calculateur!X101*VLOOKUP('Données projet'!$B$9,Paramètres!$A$1:$I$89,3,0)*0.475*44/12</f>
        <v>2.6768196491883867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20.811516343578504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8.0678034979423732</v>
      </c>
      <c r="AI101" s="14">
        <f>IF('Données projet'!$A$62&gt;35,AI100+AH101-AQ100,IF(A101&lt;'Données projet'!$A$62,$AF$205^A101,IF(A101='Données projet'!$A$62,'Données projet'!$B$62,AI100+AH101-AQ100)))</f>
        <v>583.81805384087761</v>
      </c>
      <c r="AJ101" s="14">
        <f>AI101*VLOOKUP('Données projet'!$B$10,Paramètres!$A$1:$I$89,3,0)*VLOOKUP('Données projet'!$B$10,Paramètres!$A$1:$I$89,5,0)</f>
        <v>273.22684919753073</v>
      </c>
      <c r="AK101" s="14">
        <f t="shared" si="89"/>
        <v>65.533613896757245</v>
      </c>
      <c r="AL101" s="22">
        <f t="shared" si="58"/>
        <v>590.00780655588483</v>
      </c>
      <c r="AM101" s="62">
        <f t="shared" si="59"/>
        <v>870.9686340901917</v>
      </c>
      <c r="AN101" s="62">
        <f ca="1">AVERAGE(OFFSET($AM$3,0,0,'Données projet'!$E$10+1,1))-AVERAGE(OFFSET($H$3,0,0,'Données projet'!$E$10+1,1))</f>
        <v>442.01983807226742</v>
      </c>
      <c r="AO101" s="62">
        <f t="shared" si="90"/>
        <v>276.48668026732219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93.287283950977098</v>
      </c>
      <c r="AV101" s="23">
        <f>EXP(-LN(2)/25)*AV100+(1-EXP(-LN(2)/25))/(LN(2)/25)*Calculateur!AQ101*Calculateur!AS101*VLOOKUP('Données projet'!$B$10,Paramètres!$A$1:$I$89,3,0)*0.475*44/12</f>
        <v>19.391214239025651</v>
      </c>
      <c r="AW101" s="23">
        <f>EXP(-LN(2)/2)*AW100+(1-EXP(-LN(2)/2))/(LN(2)/2)*AQ101*AT101*VLOOKUP('Données projet'!$B$10,Paramètres!$A$1:$I$89,3,0)*0.475*44/12</f>
        <v>0.72163254805808419</v>
      </c>
      <c r="AX101" s="23">
        <f t="shared" si="60"/>
        <v>113.40013073806084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66.625680236629151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45">
      <c r="A102" s="11">
        <f t="shared" si="85"/>
        <v>99</v>
      </c>
      <c r="B102" s="77">
        <f>'Scénario référence'!$B$16*5+'Scénario référence'!$B$17*0+'Scénario référence'!$B$18*5</f>
        <v>3.75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13.75</v>
      </c>
      <c r="H102" s="70">
        <f t="shared" si="56"/>
        <v>201.66666666666666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159.64393915572111</v>
      </c>
      <c r="T102" s="62">
        <f t="shared" si="88"/>
        <v>389.58290705889829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17.779086353285919</v>
      </c>
      <c r="AA102" s="23">
        <f>EXP(-LN(2)/25)*AA101+(1-EXP(-LN(2)/25))/(LN(2)/25)*Calculateur!V102*Calculateur!X102*VLOOKUP('Données projet'!$B$9,Paramètres!$A$1:$I$89,3,0)*0.475*44/12</f>
        <v>2.603621875113503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20.382708228399423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8.0678034979423732</v>
      </c>
      <c r="AI102" s="14">
        <f>IF('Données projet'!$A$62&gt;35,AI101+AH102-AQ101,IF(A102&lt;'Données projet'!$A$62,$AF$205^A102,IF(A102='Données projet'!$A$62,'Données projet'!$B$62,AI101+AH102-AQ101)))</f>
        <v>591.88585733881996</v>
      </c>
      <c r="AJ102" s="14">
        <f>AI102*VLOOKUP('Données projet'!$B$10,Paramètres!$A$1:$I$89,3,0)*VLOOKUP('Données projet'!$B$10,Paramètres!$A$1:$I$89,5,0)</f>
        <v>277.00258123456774</v>
      </c>
      <c r="AK102" s="14">
        <f t="shared" si="89"/>
        <v>66.333171893526156</v>
      </c>
      <c r="AL102" s="22">
        <f t="shared" si="58"/>
        <v>597.97643669809679</v>
      </c>
      <c r="AM102" s="62">
        <f t="shared" si="59"/>
        <v>879.15189954723769</v>
      </c>
      <c r="AN102" s="62">
        <f ca="1">AVERAGE(OFFSET($AM$3,0,0,'Données projet'!$E$10+1,1))-AVERAGE(OFFSET($H$3,0,0,'Données projet'!$E$10+1,1))</f>
        <v>442.01983807226742</v>
      </c>
      <c r="AO102" s="62">
        <f t="shared" si="90"/>
        <v>276.48668026732219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91.457977212323271</v>
      </c>
      <c r="AV102" s="23">
        <f>EXP(-LN(2)/25)*AV101+(1-EXP(-LN(2)/25))/(LN(2)/25)*Calculateur!AQ102*Calculateur!AS102*VLOOKUP('Données projet'!$B$10,Paramètres!$A$1:$I$89,3,0)*0.475*44/12</f>
        <v>18.860960465919856</v>
      </c>
      <c r="AW102" s="23">
        <f>EXP(-LN(2)/2)*AW101+(1-EXP(-LN(2)/2))/(LN(2)/2)*AQ102*AT102*VLOOKUP('Données projet'!$B$10,Paramètres!$A$1:$I$89,3,0)*0.475*44/12</f>
        <v>0.51027126825679847</v>
      </c>
      <c r="AX102" s="23">
        <f t="shared" si="60"/>
        <v>110.82920894649993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66.684217140674789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45">
      <c r="A103" s="11">
        <f t="shared" si="85"/>
        <v>100</v>
      </c>
      <c r="B103" s="77">
        <f>'Scénario référence'!$B$16*5+'Scénario référence'!$B$17*0+'Scénario référence'!$B$18*5</f>
        <v>3.75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13.75</v>
      </c>
      <c r="H103" s="70">
        <f t="shared" si="56"/>
        <v>201.66666666666666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159.64393915572111</v>
      </c>
      <c r="T103" s="62">
        <f t="shared" si="88"/>
        <v>389.58290705889829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17.430449314069886</v>
      </c>
      <c r="AA103" s="23">
        <f>EXP(-LN(2)/25)*AA102+(1-EXP(-LN(2)/25))/(LN(2)/25)*Calculateur!V103*Calculateur!X103*VLOOKUP('Données projet'!$B$9,Paramètres!$A$1:$I$89,3,0)*0.475*44/12</f>
        <v>2.5324256980200004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19.962875012089885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599.95366083676254</v>
      </c>
      <c r="AG103" s="13">
        <f>VLOOKUP(A103,'Données projet'!$A$61:$I$81,9,0)</f>
        <v>8.0678034979423732</v>
      </c>
      <c r="AH103" s="13">
        <f t="array" ref="AH103">INDEX(AG:AG,MIN(IF(ISNUMBER(AG103:AG299),ROW(AG103:AG299),"")))</f>
        <v>8.0678034979423732</v>
      </c>
      <c r="AI103" s="14">
        <f>IF('Données projet'!$A$62&gt;35,AI102+AH103-AQ102,IF(A103&lt;'Données projet'!$A$62,$AF$205^A103,IF(A103='Données projet'!$A$62,'Données projet'!$B$62,AI102+AH103-AQ102)))</f>
        <v>599.95366083676231</v>
      </c>
      <c r="AJ103" s="14">
        <f>AI103*VLOOKUP('Données projet'!$B$10,Paramètres!$A$1:$I$89,3,0)*VLOOKUP('Données projet'!$B$10,Paramètres!$A$1:$I$89,5,0)</f>
        <v>280.77831327160476</v>
      </c>
      <c r="AK103" s="14">
        <f t="shared" si="89"/>
        <v>67.131462267505285</v>
      </c>
      <c r="AL103" s="22">
        <f t="shared" si="58"/>
        <v>605.94285906394998</v>
      </c>
      <c r="AM103" s="62">
        <f t="shared" si="59"/>
        <v>887.3292337850653</v>
      </c>
      <c r="AN103" s="62">
        <f ca="1">AVERAGE(OFFSET($AM$3,0,0,'Données projet'!$E$10+1,1))-AVERAGE(OFFSET($H$3,0,0,'Données projet'!$E$10+1,1))</f>
        <v>442.01983807226742</v>
      </c>
      <c r="AO103" s="62">
        <f t="shared" si="90"/>
        <v>276.48668026732219</v>
      </c>
      <c r="AP103" s="16" t="str">
        <f>IF(ISNA(VLOOKUP(A103,'Données projet'!$A$61:$I$81,3,0)),0,VLOOKUP(A103,'Données projet'!$A$61:$I$81,3,0))</f>
        <v>CR</v>
      </c>
      <c r="AQ103" s="16">
        <f>IF(ISNA(VLOOKUP(A103,'Données projet'!$A$61:$I$81,4,0)),0,VLOOKUP(A103,'Données projet'!$A$61:$I$81,4,0))</f>
        <v>599.95366083676254</v>
      </c>
      <c r="AR103" s="17">
        <f>IF(ISNA(VLOOKUP(A103,'Données projet'!$A$61:$I$81,5,0)),0%,VLOOKUP(A103,'Données projet'!$A$61:$I$81,5,0)*VLOOKUP('Données projet'!$B$10,Paramètres!$A$1:$I$89,7,0))</f>
        <v>0.38500000000000001</v>
      </c>
      <c r="AS103" s="17">
        <f>IF(ISNA(VLOOKUP(A103,'Données projet'!$A$61:$I$81,6,0)),0%,VLOOKUP(A103,'Données projet'!$A$61:$I$81,6,0)*VLOOKUP('Données projet'!$B$10,Paramètres!$A$1:$I$89,7,0))</f>
        <v>9.240000000000001E-2</v>
      </c>
      <c r="AT103" s="17">
        <f>IF(ISNA(VLOOKUP(A103,'Données projet'!$A$61:$I$81,7,0)),0%,VLOOKUP(A103,'Données projet'!$A$61:$I$81,7,0))</f>
        <v>0.13200000000000001</v>
      </c>
      <c r="AU103" s="23">
        <f>EXP(-LN(2)/35)*AU102+(1-EXP(-LN(2)/35))/(LN(2)/35)*AQ103*AR103*VLOOKUP('Données projet'!$B$10,Paramètres!$A$1:$I$89,3,0)*0.475*44/12</f>
        <v>233.06569620713347</v>
      </c>
      <c r="AV103" s="23">
        <f>EXP(-LN(2)/25)*AV102+(1-EXP(-LN(2)/25))/(LN(2)/25)*Calculateur!AQ103*Calculateur!AS103*VLOOKUP('Données projet'!$B$10,Paramètres!$A$1:$I$89,3,0)*0.475*44/12</f>
        <v>52.625973508547816</v>
      </c>
      <c r="AW103" s="23">
        <f>EXP(-LN(2)/2)*AW102+(1-EXP(-LN(2)/2))/(LN(2)/2)*AQ103*AT103*VLOOKUP('Données projet'!$B$10,Paramètres!$A$1:$I$89,3,0)*0.475*44/12</f>
        <v>42.32444453853622</v>
      </c>
      <c r="AX103" s="23">
        <f t="shared" si="60"/>
        <v>328.01611425421754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66.741738560304157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45">
      <c r="A104" s="11">
        <f t="shared" si="85"/>
        <v>101</v>
      </c>
      <c r="B104" s="77">
        <f>'Scénario référence'!$B$16*5+'Scénario référence'!$B$17*0+'Scénario référence'!$B$18*5</f>
        <v>3.75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13.75</v>
      </c>
      <c r="H104" s="70">
        <f t="shared" si="56"/>
        <v>201.66666666666666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159.64393915572111</v>
      </c>
      <c r="T104" s="62">
        <f t="shared" si="88"/>
        <v>389.58290705889829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17.088648834545282</v>
      </c>
      <c r="AA104" s="23">
        <f>EXP(-LN(2)/25)*AA103+(1-EXP(-LN(2)/25))/(LN(2)/25)*Calculateur!V104*Calculateur!X104*VLOOKUP('Données projet'!$B$9,Paramètres!$A$1:$I$89,3,0)*0.475*44/12</f>
        <v>2.4631763841331638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19.551825218678445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442.01983807226742</v>
      </c>
      <c r="AO104" s="62">
        <f t="shared" si="90"/>
        <v>276.48668026732219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228.49542006054952</v>
      </c>
      <c r="AV104" s="23">
        <f>EXP(-LN(2)/25)*AV103+(1-EXP(-LN(2)/25))/(LN(2)/25)*Calculateur!AQ104*Calculateur!AS104*VLOOKUP('Données projet'!$B$10,Paramètres!$A$1:$I$89,3,0)*0.475*44/12</f>
        <v>51.186913495476908</v>
      </c>
      <c r="AW104" s="23">
        <f>EXP(-LN(2)/2)*AW103+(1-EXP(-LN(2)/2))/(LN(2)/2)*AQ104*AT104*VLOOKUP('Données projet'!$B$10,Paramètres!$A$1:$I$89,3,0)*0.475*44/12</f>
        <v>29.927901743152898</v>
      </c>
      <c r="AX104" s="23">
        <f t="shared" si="60"/>
        <v>309.61023529917935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66.798262111901579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45">
      <c r="A105" s="11">
        <f t="shared" si="85"/>
        <v>102</v>
      </c>
      <c r="B105" s="77">
        <f>'Scénario référence'!$B$16*5+'Scénario référence'!$B$17*0+'Scénario référence'!$B$18*5</f>
        <v>3.75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13.75</v>
      </c>
      <c r="H105" s="70">
        <f t="shared" si="56"/>
        <v>201.66666666666666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159.64393915572111</v>
      </c>
      <c r="T105" s="62">
        <f t="shared" si="88"/>
        <v>389.58290705889829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16.753550853946447</v>
      </c>
      <c r="AA105" s="23">
        <f>EXP(-LN(2)/25)*AA104+(1-EXP(-LN(2)/25))/(LN(2)/25)*Calculateur!V105*Calculateur!X105*VLOOKUP('Données projet'!$B$9,Paramètres!$A$1:$I$89,3,0)*0.475*44/12</f>
        <v>2.3958206963762261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19.149371550322673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442.01983807226742</v>
      </c>
      <c r="AO105" s="62">
        <f t="shared" si="90"/>
        <v>276.48668026732219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224.01476424160688</v>
      </c>
      <c r="AV105" s="23">
        <f>EXP(-LN(2)/25)*AV104+(1-EXP(-LN(2)/25))/(LN(2)/25)*Calculateur!AQ105*Calculateur!AS105*VLOOKUP('Données projet'!$B$10,Paramètres!$A$1:$I$89,3,0)*0.475*44/12</f>
        <v>49.787204654140304</v>
      </c>
      <c r="AW105" s="23">
        <f>EXP(-LN(2)/2)*AW104+(1-EXP(-LN(2)/2))/(LN(2)/2)*AQ105*AT105*VLOOKUP('Données projet'!$B$10,Paramètres!$A$1:$I$89,3,0)*0.475*44/12</f>
        <v>21.162222269268113</v>
      </c>
      <c r="AX105" s="23">
        <f t="shared" si="60"/>
        <v>294.96419116501528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66.853805106246512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45">
      <c r="A106" s="11">
        <f t="shared" si="85"/>
        <v>103</v>
      </c>
      <c r="B106" s="77">
        <f>'Scénario référence'!$B$16*5+'Scénario référence'!$B$17*0+'Scénario référence'!$B$18*5</f>
        <v>3.75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13.75</v>
      </c>
      <c r="H106" s="70">
        <f t="shared" si="56"/>
        <v>201.66666666666666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159.64393915572111</v>
      </c>
      <c r="T106" s="62">
        <f t="shared" si="88"/>
        <v>389.58290705889829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16.425023940357569</v>
      </c>
      <c r="AA106" s="23">
        <f>EXP(-LN(2)/25)*AA105+(1-EXP(-LN(2)/25))/(LN(2)/25)*Calculateur!V106*Calculateur!X106*VLOOKUP('Données projet'!$B$9,Paramètres!$A$1:$I$89,3,0)*0.475*44/12</f>
        <v>2.3303068534430835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18.755330793800653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442.01983807226742</v>
      </c>
      <c r="AO106" s="62">
        <f t="shared" si="90"/>
        <v>276.48668026732219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219.62197135034353</v>
      </c>
      <c r="AV106" s="23">
        <f>EXP(-LN(2)/25)*AV105+(1-EXP(-LN(2)/25))/(LN(2)/25)*Calculateur!AQ106*Calculateur!AS106*VLOOKUP('Données projet'!$B$10,Paramètres!$A$1:$I$89,3,0)*0.475*44/12</f>
        <v>48.425770924677536</v>
      </c>
      <c r="AW106" s="23">
        <f>EXP(-LN(2)/2)*AW105+(1-EXP(-LN(2)/2))/(LN(2)/2)*AQ106*AT106*VLOOKUP('Données projet'!$B$10,Paramètres!$A$1:$I$89,3,0)*0.475*44/12</f>
        <v>14.963950871576452</v>
      </c>
      <c r="AX106" s="23">
        <f t="shared" si="60"/>
        <v>283.01169314659751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66.908384553815097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45">
      <c r="A107" s="11">
        <f t="shared" si="85"/>
        <v>104</v>
      </c>
      <c r="B107" s="77">
        <f>'Scénario référence'!$B$16*5+'Scénario référence'!$B$17*0+'Scénario référence'!$B$18*5</f>
        <v>3.75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13.75</v>
      </c>
      <c r="H107" s="70">
        <f t="shared" si="56"/>
        <v>201.66666666666666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159.64393915572111</v>
      </c>
      <c r="T107" s="62">
        <f t="shared" si="88"/>
        <v>389.58290705889829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16.102939239162538</v>
      </c>
      <c r="AA107" s="23">
        <f>EXP(-LN(2)/25)*AA106+(1-EXP(-LN(2)/25))/(LN(2)/25)*Calculateur!V107*Calculateur!X107*VLOOKUP('Données projet'!$B$9,Paramètres!$A$1:$I$89,3,0)*0.475*44/12</f>
        <v>2.266584489990171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18.369523729152711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442.01983807226742</v>
      </c>
      <c r="AO107" s="62">
        <f t="shared" si="90"/>
        <v>276.48668026732219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215.31531844833873</v>
      </c>
      <c r="AV107" s="23">
        <f>EXP(-LN(2)/25)*AV106+(1-EXP(-LN(2)/25))/(LN(2)/25)*Calculateur!AQ107*Calculateur!AS107*VLOOKUP('Données projet'!$B$10,Paramètres!$A$1:$I$89,3,0)*0.475*44/12</f>
        <v>47.101565672141618</v>
      </c>
      <c r="AW107" s="23">
        <f>EXP(-LN(2)/2)*AW106+(1-EXP(-LN(2)/2))/(LN(2)/2)*AQ107*AT107*VLOOKUP('Données projet'!$B$10,Paramètres!$A$1:$I$89,3,0)*0.475*44/12</f>
        <v>10.581111134634059</v>
      </c>
      <c r="AX107" s="23">
        <f t="shared" si="60"/>
        <v>272.9979952551144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66.962017169989736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45">
      <c r="A108" s="11">
        <f t="shared" si="85"/>
        <v>105</v>
      </c>
      <c r="B108" s="77">
        <f>'Scénario référence'!$B$16*5+'Scénario référence'!$B$17*0+'Scénario référence'!$B$18*5</f>
        <v>3.75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13.75</v>
      </c>
      <c r="H108" s="70">
        <f t="shared" si="56"/>
        <v>201.66666666666666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159.64393915572111</v>
      </c>
      <c r="T108" s="62">
        <f t="shared" si="88"/>
        <v>389.58290705889829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15.787170422505671</v>
      </c>
      <c r="AA108" s="23">
        <f>EXP(-LN(2)/25)*AA107+(1-EXP(-LN(2)/25))/(LN(2)/25)*Calculateur!V108*Calculateur!X108*VLOOKUP('Données projet'!$B$9,Paramètres!$A$1:$I$89,3,0)*0.475*44/12</f>
        <v>2.2046046179168917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17.991775040422564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442.01983807226742</v>
      </c>
      <c r="AO108" s="62">
        <f t="shared" si="90"/>
        <v>276.48668026732219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211.09311638294335</v>
      </c>
      <c r="AV108" s="23">
        <f>EXP(-LN(2)/25)*AV107+(1-EXP(-LN(2)/25))/(LN(2)/25)*Calculateur!AQ108*Calculateur!AS108*VLOOKUP('Données projet'!$B$10,Paramètres!$A$1:$I$89,3,0)*0.475*44/12</f>
        <v>45.813570881873218</v>
      </c>
      <c r="AW108" s="23">
        <f>EXP(-LN(2)/2)*AW107+(1-EXP(-LN(2)/2))/(LN(2)/2)*AQ108*AT108*VLOOKUP('Données projet'!$B$10,Paramètres!$A$1:$I$89,3,0)*0.475*44/12</f>
        <v>7.4819754357882271</v>
      </c>
      <c r="AX108" s="23">
        <f t="shared" si="60"/>
        <v>264.38866270060481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67.01471938017832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45">
      <c r="A109" s="11">
        <f t="shared" si="85"/>
        <v>106</v>
      </c>
      <c r="B109" s="77">
        <f>'Scénario référence'!$B$16*5+'Scénario référence'!$B$17*0+'Scénario référence'!$B$18*5</f>
        <v>3.75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13.75</v>
      </c>
      <c r="H109" s="70">
        <f t="shared" si="56"/>
        <v>201.66666666666666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159.64393915572111</v>
      </c>
      <c r="T109" s="62">
        <f t="shared" si="88"/>
        <v>389.58290705889829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15.477593639743485</v>
      </c>
      <c r="AA109" s="23">
        <f>EXP(-LN(2)/25)*AA108+(1-EXP(-LN(2)/25))/(LN(2)/25)*Calculateur!V109*Calculateur!X109*VLOOKUP('Données projet'!$B$9,Paramètres!$A$1:$I$89,3,0)*0.475*44/12</f>
        <v>2.1443195887048363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17.621913228448321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442.01983807226742</v>
      </c>
      <c r="AO109" s="62">
        <f t="shared" si="90"/>
        <v>276.48668026732219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206.95370912476142</v>
      </c>
      <c r="AV109" s="23">
        <f>EXP(-LN(2)/25)*AV108+(1-EXP(-LN(2)/25))/(LN(2)/25)*Calculateur!AQ109*Calculateur!AS109*VLOOKUP('Données projet'!$B$10,Paramètres!$A$1:$I$89,3,0)*0.475*44/12</f>
        <v>44.560796376877413</v>
      </c>
      <c r="AW109" s="23">
        <f>EXP(-LN(2)/2)*AW108+(1-EXP(-LN(2)/2))/(LN(2)/2)*AQ109*AT109*VLOOKUP('Données projet'!$B$10,Paramètres!$A$1:$I$89,3,0)*0.475*44/12</f>
        <v>5.2905555673170301</v>
      </c>
      <c r="AX109" s="23">
        <f t="shared" si="60"/>
        <v>256.80506106895587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67.066507324844594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45">
      <c r="A110" s="11">
        <f t="shared" si="85"/>
        <v>107</v>
      </c>
      <c r="B110" s="77">
        <f>'Scénario référence'!$B$16*5+'Scénario référence'!$B$17*0+'Scénario référence'!$B$18*5</f>
        <v>3.75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13.75</v>
      </c>
      <c r="H110" s="70">
        <f t="shared" si="56"/>
        <v>201.66666666666666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159.64393915572111</v>
      </c>
      <c r="T110" s="62">
        <f t="shared" si="88"/>
        <v>389.58290705889829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15.174087468868073</v>
      </c>
      <c r="AA110" s="23">
        <f>EXP(-LN(2)/25)*AA109+(1-EXP(-LN(2)/25))/(LN(2)/25)*Calculateur!V110*Calculateur!X110*VLOOKUP('Données projet'!$B$9,Paramètres!$A$1:$I$89,3,0)*0.475*44/12</f>
        <v>2.0856830567868361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17.259770525654908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442.01983807226742</v>
      </c>
      <c r="AO110" s="62">
        <f t="shared" si="90"/>
        <v>276.48668026732219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202.89547311812331</v>
      </c>
      <c r="AV110" s="23">
        <f>EXP(-LN(2)/25)*AV109+(1-EXP(-LN(2)/25))/(LN(2)/25)*Calculateur!AQ110*Calculateur!AS110*VLOOKUP('Données projet'!$B$10,Paramètres!$A$1:$I$89,3,0)*0.475*44/12</f>
        <v>43.342279056601264</v>
      </c>
      <c r="AW110" s="23">
        <f>EXP(-LN(2)/2)*AW109+(1-EXP(-LN(2)/2))/(LN(2)/2)*AQ110*AT110*VLOOKUP('Données projet'!$B$10,Paramètres!$A$1:$I$89,3,0)*0.475*44/12</f>
        <v>3.7409877178941144</v>
      </c>
      <c r="AX110" s="23">
        <f t="shared" si="60"/>
        <v>249.97873989261868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67.117396864451422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45">
      <c r="A111" s="11">
        <f t="shared" si="85"/>
        <v>108</v>
      </c>
      <c r="B111" s="77">
        <f>'Scénario référence'!$B$16*5+'Scénario référence'!$B$17*0+'Scénario référence'!$B$18*5</f>
        <v>3.75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13.75</v>
      </c>
      <c r="H111" s="70">
        <f t="shared" si="56"/>
        <v>201.66666666666666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159.64393915572111</v>
      </c>
      <c r="T111" s="62">
        <f t="shared" si="88"/>
        <v>389.58290705889829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14.876532868883043</v>
      </c>
      <c r="AA111" s="23">
        <f>EXP(-LN(2)/25)*AA110+(1-EXP(-LN(2)/25))/(LN(2)/25)*Calculateur!V111*Calculateur!X111*VLOOKUP('Données projet'!$B$9,Paramètres!$A$1:$I$89,3,0)*0.475*44/12</f>
        <v>2.0286499439176948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16.905182812800739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442.01983807226742</v>
      </c>
      <c r="AO111" s="62">
        <f t="shared" si="90"/>
        <v>276.48668026732219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198.91681664429581</v>
      </c>
      <c r="AV111" s="23">
        <f>EXP(-LN(2)/25)*AV110+(1-EXP(-LN(2)/25))/(LN(2)/25)*Calculateur!AQ111*Calculateur!AS111*VLOOKUP('Données projet'!$B$10,Paramètres!$A$1:$I$89,3,0)*0.475*44/12</f>
        <v>42.157082156527103</v>
      </c>
      <c r="AW111" s="23">
        <f>EXP(-LN(2)/2)*AW110+(1-EXP(-LN(2)/2))/(LN(2)/2)*AQ111*AT111*VLOOKUP('Données projet'!$B$10,Paramètres!$A$1:$I$89,3,0)*0.475*44/12</f>
        <v>2.6452777836585155</v>
      </c>
      <c r="AX111" s="23">
        <f t="shared" si="60"/>
        <v>243.71917658448143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67.167403584318052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45">
      <c r="A112" s="11">
        <f t="shared" si="85"/>
        <v>109</v>
      </c>
      <c r="B112" s="77">
        <f>'Scénario référence'!$B$16*5+'Scénario référence'!$B$17*0+'Scénario référence'!$B$18*5</f>
        <v>3.75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13.75</v>
      </c>
      <c r="H112" s="70">
        <f t="shared" si="56"/>
        <v>201.66666666666666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159.64393915572111</v>
      </c>
      <c r="T112" s="62">
        <f t="shared" si="88"/>
        <v>389.58290705889829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14.584813133113334</v>
      </c>
      <c r="AA112" s="23">
        <f>EXP(-LN(2)/25)*AA111+(1-EXP(-LN(2)/25))/(LN(2)/25)*Calculateur!V112*Calculateur!X112*VLOOKUP('Données projet'!$B$9,Paramètres!$A$1:$I$89,3,0)*0.475*44/12</f>
        <v>1.9731764045192015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16.557989537632537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442.01983807226742</v>
      </c>
      <c r="AO112" s="62">
        <f t="shared" si="90"/>
        <v>276.48668026732219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195.01617919717924</v>
      </c>
      <c r="AV112" s="23">
        <f>EXP(-LN(2)/25)*AV111+(1-EXP(-LN(2)/25))/(LN(2)/25)*Calculateur!AQ112*Calculateur!AS112*VLOOKUP('Données projet'!$B$10,Paramètres!$A$1:$I$89,3,0)*0.475*44/12</f>
        <v>41.004294528012274</v>
      </c>
      <c r="AW112" s="23">
        <f>EXP(-LN(2)/2)*AW111+(1-EXP(-LN(2)/2))/(LN(2)/2)*AQ112*AT112*VLOOKUP('Données projet'!$B$10,Paramètres!$A$1:$I$89,3,0)*0.475*44/12</f>
        <v>1.8704938589470574</v>
      </c>
      <c r="AX112" s="23">
        <f t="shared" si="60"/>
        <v>237.89096758413859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67.216542799393267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45">
      <c r="A113" s="11">
        <f t="shared" si="85"/>
        <v>110</v>
      </c>
      <c r="B113" s="77">
        <f>'Scénario référence'!$B$16*5+'Scénario référence'!$B$17*0+'Scénario référence'!$B$18*5</f>
        <v>3.75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13.75</v>
      </c>
      <c r="H113" s="70">
        <f t="shared" si="56"/>
        <v>201.66666666666666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159.64393915572111</v>
      </c>
      <c r="T113" s="62">
        <f t="shared" si="88"/>
        <v>389.58290705889829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14.298813843430599</v>
      </c>
      <c r="AA113" s="23">
        <f>EXP(-LN(2)/25)*AA112+(1-EXP(-LN(2)/25))/(LN(2)/25)*Calculateur!V113*Calculateur!X113*VLOOKUP('Données projet'!$B$9,Paramètres!$A$1:$I$89,3,0)*0.475*44/12</f>
        <v>1.9192197919727867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16.218033635403387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442.01983807226742</v>
      </c>
      <c r="AO113" s="62">
        <f t="shared" si="90"/>
        <v>276.48668026732219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191.19203087124671</v>
      </c>
      <c r="AV113" s="23">
        <f>EXP(-LN(2)/25)*AV112+(1-EXP(-LN(2)/25))/(LN(2)/25)*Calculateur!AQ113*Calculateur!AS113*VLOOKUP('Données projet'!$B$10,Paramètres!$A$1:$I$89,3,0)*0.475*44/12</f>
        <v>39.883029937821647</v>
      </c>
      <c r="AW113" s="23">
        <f>EXP(-LN(2)/2)*AW112+(1-EXP(-LN(2)/2))/(LN(2)/2)*AQ113*AT113*VLOOKUP('Données projet'!$B$10,Paramètres!$A$1:$I$89,3,0)*0.475*44/12</f>
        <v>1.322638891829258</v>
      </c>
      <c r="AX113" s="23">
        <f t="shared" si="60"/>
        <v>232.39769970089762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67.264829558945735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45">
      <c r="A114" s="11">
        <f t="shared" si="85"/>
        <v>111</v>
      </c>
      <c r="B114" s="77">
        <f>'Scénario référence'!$B$16*5+'Scénario référence'!$B$17*0+'Scénario référence'!$B$18*5</f>
        <v>3.75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13.75</v>
      </c>
      <c r="H114" s="70">
        <f t="shared" si="56"/>
        <v>201.66666666666666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159.64393915572111</v>
      </c>
      <c r="T114" s="62">
        <f t="shared" si="88"/>
        <v>389.58290705889829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14.018422825376202</v>
      </c>
      <c r="AA114" s="23">
        <f>EXP(-LN(2)/25)*AA113+(1-EXP(-LN(2)/25))/(LN(2)/25)*Calculateur!V114*Calculateur!X114*VLOOKUP('Données projet'!$B$9,Paramètres!$A$1:$I$89,3,0)*0.475*44/12</f>
        <v>1.8667386258339085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15.885161451210111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442.01983807226742</v>
      </c>
      <c r="AO114" s="62">
        <f t="shared" si="90"/>
        <v>276.48668026732219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187.44287176148555</v>
      </c>
      <c r="AV114" s="23">
        <f>EXP(-LN(2)/25)*AV113+(1-EXP(-LN(2)/25))/(LN(2)/25)*Calculateur!AQ114*Calculateur!AS114*VLOOKUP('Données projet'!$B$10,Paramètres!$A$1:$I$89,3,0)*0.475*44/12</f>
        <v>38.792426386814526</v>
      </c>
      <c r="AW114" s="23">
        <f>EXP(-LN(2)/2)*AW113+(1-EXP(-LN(2)/2))/(LN(2)/2)*AQ114*AT114*VLOOKUP('Données projet'!$B$10,Paramètres!$A$1:$I$89,3,0)*0.475*44/12</f>
        <v>0.93524692947352883</v>
      </c>
      <c r="AX114" s="23">
        <f t="shared" si="60"/>
        <v>227.1705450777736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67.312278651173003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45">
      <c r="A115" s="11">
        <f t="shared" si="85"/>
        <v>112</v>
      </c>
      <c r="B115" s="77">
        <f>'Scénario référence'!$B$16*5+'Scénario référence'!$B$17*0+'Scénario référence'!$B$18*5</f>
        <v>3.75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13.75</v>
      </c>
      <c r="H115" s="70">
        <f t="shared" si="56"/>
        <v>201.66666666666666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159.64393915572111</v>
      </c>
      <c r="T115" s="62">
        <f t="shared" si="88"/>
        <v>389.58290705889829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13.743530104164217</v>
      </c>
      <c r="AA115" s="23">
        <f>EXP(-LN(2)/25)*AA114+(1-EXP(-LN(2)/25))/(LN(2)/25)*Calculateur!V115*Calculateur!X115*VLOOKUP('Données projet'!$B$9,Paramètres!$A$1:$I$89,3,0)*0.475*44/12</f>
        <v>1.8156925599429623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15.559222664107178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442.01983807226742</v>
      </c>
      <c r="AO115" s="62">
        <f t="shared" si="90"/>
        <v>276.48668026732219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183.76723137510555</v>
      </c>
      <c r="AV115" s="23">
        <f>EXP(-LN(2)/25)*AV114+(1-EXP(-LN(2)/25))/(LN(2)/25)*Calculateur!AQ115*Calculateur!AS115*VLOOKUP('Données projet'!$B$10,Paramètres!$A$1:$I$89,3,0)*0.475*44/12</f>
        <v>37.731645447262039</v>
      </c>
      <c r="AW115" s="23">
        <f>EXP(-LN(2)/2)*AW114+(1-EXP(-LN(2)/2))/(LN(2)/2)*AQ115*AT115*VLOOKUP('Données projet'!$B$10,Paramètres!$A$1:$I$89,3,0)*0.475*44/12</f>
        <v>0.66131944591462899</v>
      </c>
      <c r="AX115" s="23">
        <f t="shared" si="60"/>
        <v>222.16019626828225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67.358904607730409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45">
      <c r="A116" s="11">
        <f t="shared" si="85"/>
        <v>113</v>
      </c>
      <c r="B116" s="77">
        <f>'Scénario référence'!$B$16*5+'Scénario référence'!$B$17*0+'Scénario référence'!$B$18*5</f>
        <v>3.75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13.75</v>
      </c>
      <c r="H116" s="70">
        <f t="shared" si="56"/>
        <v>201.66666666666666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159.64393915572111</v>
      </c>
      <c r="T116" s="62">
        <f t="shared" si="88"/>
        <v>389.58290705889829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13.474027861547194</v>
      </c>
      <c r="AA116" s="23">
        <f>EXP(-LN(2)/25)*AA115+(1-EXP(-LN(2)/25))/(LN(2)/25)*Calculateur!V116*Calculateur!X116*VLOOKUP('Données projet'!$B$9,Paramètres!$A$1:$I$89,3,0)*0.475*44/12</f>
        <v>1.7660423514082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15.240070212955395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442.01983807226742</v>
      </c>
      <c r="AO116" s="62">
        <f t="shared" si="90"/>
        <v>276.48668026732219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180.16366805478322</v>
      </c>
      <c r="AV116" s="23">
        <f>EXP(-LN(2)/25)*AV115+(1-EXP(-LN(2)/25))/(LN(2)/25)*Calculateur!AQ116*Calculateur!AS116*VLOOKUP('Données projet'!$B$10,Paramètres!$A$1:$I$89,3,0)*0.475*44/12</f>
        <v>36.699871618285663</v>
      </c>
      <c r="AW116" s="23">
        <f>EXP(-LN(2)/2)*AW115+(1-EXP(-LN(2)/2))/(LN(2)/2)*AQ116*AT116*VLOOKUP('Données projet'!$B$10,Paramètres!$A$1:$I$89,3,0)*0.475*44/12</f>
        <v>0.46762346473676442</v>
      </c>
      <c r="AX116" s="23">
        <f t="shared" si="60"/>
        <v>217.33116313780565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67.404721708181569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45">
      <c r="A117" s="11">
        <f t="shared" si="85"/>
        <v>114</v>
      </c>
      <c r="B117" s="77">
        <f>'Scénario référence'!$B$16*5+'Scénario référence'!$B$17*0+'Scénario référence'!$B$18*5</f>
        <v>3.75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13.75</v>
      </c>
      <c r="H117" s="70">
        <f t="shared" si="56"/>
        <v>201.66666666666666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159.64393915572111</v>
      </c>
      <c r="T117" s="62">
        <f t="shared" si="88"/>
        <v>389.58290705889829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13.209810393527755</v>
      </c>
      <c r="AA117" s="23">
        <f>EXP(-LN(2)/25)*AA116+(1-EXP(-LN(2)/25))/(LN(2)/25)*Calculateur!V117*Calculateur!X117*VLOOKUP('Données projet'!$B$9,Paramètres!$A$1:$I$89,3,0)*0.475*44/12</f>
        <v>1.7177498304368117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14.927560223964567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442.01983807226742</v>
      </c>
      <c r="AO117" s="62">
        <f t="shared" si="90"/>
        <v>276.48668026732219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176.6307684132158</v>
      </c>
      <c r="AV117" s="23">
        <f>EXP(-LN(2)/25)*AV116+(1-EXP(-LN(2)/25))/(LN(2)/25)*Calculateur!AQ117*Calculateur!AS117*VLOOKUP('Données projet'!$B$10,Paramètres!$A$1:$I$89,3,0)*0.475*44/12</f>
        <v>35.696311698921271</v>
      </c>
      <c r="AW117" s="23">
        <f>EXP(-LN(2)/2)*AW116+(1-EXP(-LN(2)/2))/(LN(2)/2)*AQ117*AT117*VLOOKUP('Données projet'!$B$10,Paramètres!$A$1:$I$89,3,0)*0.475*44/12</f>
        <v>0.33065972295731449</v>
      </c>
      <c r="AX117" s="23">
        <f t="shared" si="60"/>
        <v>212.65773983509439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67.44974398437158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45">
      <c r="A118" s="11">
        <f t="shared" si="85"/>
        <v>115</v>
      </c>
      <c r="B118" s="77">
        <f>'Scénario référence'!$B$16*5+'Scénario référence'!$B$17*0+'Scénario référence'!$B$18*5</f>
        <v>3.75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13.75</v>
      </c>
      <c r="H118" s="70">
        <f t="shared" si="56"/>
        <v>201.66666666666666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159.64393915572111</v>
      </c>
      <c r="T118" s="62">
        <f t="shared" si="88"/>
        <v>389.58290705889829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12.950774068899435</v>
      </c>
      <c r="AA118" s="23">
        <f>EXP(-LN(2)/25)*AA117+(1-EXP(-LN(2)/25))/(LN(2)/25)*Calculateur!V118*Calculateur!X118*VLOOKUP('Données projet'!$B$9,Paramètres!$A$1:$I$89,3,0)*0.475*44/12</f>
        <v>1.6707778709909795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14.621551939890415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442.01983807226742</v>
      </c>
      <c r="AO118" s="62">
        <f t="shared" si="90"/>
        <v>276.48668026732219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173.16714677876351</v>
      </c>
      <c r="AV118" s="23">
        <f>EXP(-LN(2)/25)*AV117+(1-EXP(-LN(2)/25))/(LN(2)/25)*Calculateur!AQ118*Calculateur!AS118*VLOOKUP('Données projet'!$B$10,Paramètres!$A$1:$I$89,3,0)*0.475*44/12</f>
        <v>34.720194178326821</v>
      </c>
      <c r="AW118" s="23">
        <f>EXP(-LN(2)/2)*AW117+(1-EXP(-LN(2)/2))/(LN(2)/2)*AQ118*AT118*VLOOKUP('Données projet'!$B$10,Paramètres!$A$1:$I$89,3,0)*0.475*44/12</f>
        <v>0.23381173236838221</v>
      </c>
      <c r="AX118" s="23">
        <f t="shared" si="60"/>
        <v>208.12115268945871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67.49398522472444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45">
      <c r="A119" s="11">
        <f t="shared" si="85"/>
        <v>116</v>
      </c>
      <c r="B119" s="77">
        <f>'Scénario référence'!$B$16*5+'Scénario référence'!$B$17*0+'Scénario référence'!$B$18*5</f>
        <v>3.75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13.75</v>
      </c>
      <c r="H119" s="70">
        <f t="shared" si="56"/>
        <v>201.66666666666666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159.64393915572111</v>
      </c>
      <c r="T119" s="62">
        <f t="shared" si="88"/>
        <v>389.58290705889829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12.696817288600519</v>
      </c>
      <c r="AA119" s="23">
        <f>EXP(-LN(2)/25)*AA118+(1-EXP(-LN(2)/25))/(LN(2)/25)*Calculateur!V119*Calculateur!X119*VLOOKUP('Données projet'!$B$9,Paramètres!$A$1:$I$89,3,0)*0.475*44/12</f>
        <v>1.6250903622463415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14.32190765084686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442.01983807226742</v>
      </c>
      <c r="AO119" s="62">
        <f t="shared" si="90"/>
        <v>276.48668026732219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169.77144465196224</v>
      </c>
      <c r="AV119" s="23">
        <f>EXP(-LN(2)/25)*AV118+(1-EXP(-LN(2)/25))/(LN(2)/25)*Calculateur!AQ119*Calculateur!AS119*VLOOKUP('Données projet'!$B$10,Paramètres!$A$1:$I$89,3,0)*0.475*44/12</f>
        <v>33.770768642664819</v>
      </c>
      <c r="AW119" s="23">
        <f>EXP(-LN(2)/2)*AW118+(1-EXP(-LN(2)/2))/(LN(2)/2)*AQ119*AT119*VLOOKUP('Données projet'!$B$10,Paramètres!$A$1:$I$89,3,0)*0.475*44/12</f>
        <v>0.16532986147865725</v>
      </c>
      <c r="AX119" s="23">
        <f t="shared" si="60"/>
        <v>203.70754315610571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67.537458978465764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45">
      <c r="A120" s="11">
        <f t="shared" si="85"/>
        <v>117</v>
      </c>
      <c r="B120" s="77">
        <f>'Scénario référence'!$B$16*5+'Scénario référence'!$B$17*0+'Scénario référence'!$B$18*5</f>
        <v>3.75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13.75</v>
      </c>
      <c r="H120" s="70">
        <f t="shared" si="56"/>
        <v>201.66666666666666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159.64393915572111</v>
      </c>
      <c r="T120" s="62">
        <f t="shared" si="88"/>
        <v>389.58290705889829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12.447840445864923</v>
      </c>
      <c r="AA120" s="23">
        <f>EXP(-LN(2)/25)*AA119+(1-EXP(-LN(2)/25))/(LN(2)/25)*Calculateur!V120*Calculateur!X120*VLOOKUP('Données projet'!$B$9,Paramètres!$A$1:$I$89,3,0)*0.475*44/12</f>
        <v>1.5806521808309273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14.028492626695851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442.01983807226742</v>
      </c>
      <c r="AO120" s="62">
        <f t="shared" si="90"/>
        <v>276.48668026732219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166.44233017269374</v>
      </c>
      <c r="AV120" s="23">
        <f>EXP(-LN(2)/25)*AV119+(1-EXP(-LN(2)/25))/(LN(2)/25)*Calculateur!AQ120*Calculateur!AS120*VLOOKUP('Données projet'!$B$10,Paramètres!$A$1:$I$89,3,0)*0.475*44/12</f>
        <v>32.847305198203614</v>
      </c>
      <c r="AW120" s="23">
        <f>EXP(-LN(2)/2)*AW119+(1-EXP(-LN(2)/2))/(LN(2)/2)*AQ120*AT120*VLOOKUP('Données projet'!$B$10,Paramètres!$A$1:$I$89,3,0)*0.475*44/12</f>
        <v>0.1169058661841911</v>
      </c>
      <c r="AX120" s="23">
        <f t="shared" si="60"/>
        <v>199.40654123708157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67.58017855977242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45">
      <c r="A121" s="11">
        <f t="shared" si="85"/>
        <v>118</v>
      </c>
      <c r="B121" s="77">
        <f>'Scénario référence'!$B$16*5+'Scénario référence'!$B$17*0+'Scénario référence'!$B$18*5</f>
        <v>3.75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13.75</v>
      </c>
      <c r="H121" s="70">
        <f t="shared" si="56"/>
        <v>201.66666666666666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159.64393915572111</v>
      </c>
      <c r="T121" s="62">
        <f t="shared" si="88"/>
        <v>389.58290705889829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12.203745887154493</v>
      </c>
      <c r="AA121" s="23">
        <f>EXP(-LN(2)/25)*AA120+(1-EXP(-LN(2)/25))/(LN(2)/25)*Calculateur!V121*Calculateur!X121*VLOOKUP('Données projet'!$B$9,Paramètres!$A$1:$I$89,3,0)*0.475*44/12</f>
        <v>1.53742916382322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13.741175050977713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442.01983807226742</v>
      </c>
      <c r="AO121" s="62">
        <f t="shared" si="90"/>
        <v>276.48668026732219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163.17849759780438</v>
      </c>
      <c r="AV121" s="23">
        <f>EXP(-LN(2)/25)*AV120+(1-EXP(-LN(2)/25))/(LN(2)/25)*Calculateur!AQ121*Calculateur!AS121*VLOOKUP('Données projet'!$B$10,Paramètres!$A$1:$I$89,3,0)*0.475*44/12</f>
        <v>31.94909391019403</v>
      </c>
      <c r="AW121" s="23">
        <f>EXP(-LN(2)/2)*AW120+(1-EXP(-LN(2)/2))/(LN(2)/2)*AQ121*AT121*VLOOKUP('Données projet'!$B$10,Paramètres!$A$1:$I$89,3,0)*0.475*44/12</f>
        <v>8.2664930739328624E-2</v>
      </c>
      <c r="AX121" s="23">
        <f t="shared" si="60"/>
        <v>195.21025643873773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67.622157051850081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45">
      <c r="A122" s="11">
        <f t="shared" si="85"/>
        <v>119</v>
      </c>
      <c r="B122" s="77">
        <f>'Scénario référence'!$B$16*5+'Scénario référence'!$B$17*0+'Scénario référence'!$B$18*5</f>
        <v>3.75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13.75</v>
      </c>
      <c r="H122" s="70">
        <f t="shared" si="56"/>
        <v>201.66666666666666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159.64393915572111</v>
      </c>
      <c r="T122" s="62">
        <f t="shared" si="88"/>
        <v>389.58290705889829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11.964437873857396</v>
      </c>
      <c r="AA122" s="23">
        <f>EXP(-LN(2)/25)*AA121+(1-EXP(-LN(2)/25))/(LN(2)/25)*Calculateur!V122*Calculateur!X122*VLOOKUP('Données projet'!$B$9,Paramètres!$A$1:$I$89,3,0)*0.475*44/12</f>
        <v>1.4953880824885881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13.459825956345984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442.01983807226742</v>
      </c>
      <c r="AO122" s="62">
        <f t="shared" si="90"/>
        <v>276.48668026732219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159.9786667889673</v>
      </c>
      <c r="AV122" s="23">
        <f>EXP(-LN(2)/25)*AV121+(1-EXP(-LN(2)/25))/(LN(2)/25)*Calculateur!AQ122*Calculateur!AS122*VLOOKUP('Données projet'!$B$10,Paramètres!$A$1:$I$89,3,0)*0.475*44/12</f>
        <v>31.075444257089945</v>
      </c>
      <c r="AW122" s="23">
        <f>EXP(-LN(2)/2)*AW121+(1-EXP(-LN(2)/2))/(LN(2)/2)*AQ122*AT122*VLOOKUP('Données projet'!$B$10,Paramètres!$A$1:$I$89,3,0)*0.475*44/12</f>
        <v>5.8452933092095552E-2</v>
      </c>
      <c r="AX122" s="23">
        <f t="shared" si="60"/>
        <v>191.11256397914934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67.663407310940059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45">
      <c r="A123" s="11">
        <f t="shared" si="85"/>
        <v>120</v>
      </c>
      <c r="B123" s="77">
        <f>'Scénario référence'!$B$16*5+'Scénario référence'!$B$17*0+'Scénario référence'!$B$18*5</f>
        <v>3.75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13.75</v>
      </c>
      <c r="H123" s="70">
        <f t="shared" si="56"/>
        <v>201.66666666666666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159.64393915572111</v>
      </c>
      <c r="T123" s="62">
        <f t="shared" si="88"/>
        <v>389.58290705889829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11.729822544737578</v>
      </c>
      <c r="AA123" s="23">
        <f>EXP(-LN(2)/25)*AA122+(1-EXP(-LN(2)/25))/(LN(2)/25)*Calculateur!V123*Calculateur!X123*VLOOKUP('Données projet'!$B$9,Paramètres!$A$1:$I$89,3,0)*0.475*44/12</f>
        <v>1.4544966167338962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13.184319161471475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442.01983807226742</v>
      </c>
      <c r="AO123" s="62">
        <f t="shared" si="90"/>
        <v>276.48668026732219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156.84158271058743</v>
      </c>
      <c r="AV123" s="23">
        <f>EXP(-LN(2)/25)*AV122+(1-EXP(-LN(2)/25))/(LN(2)/25)*Calculateur!AQ123*Calculateur!AS123*VLOOKUP('Données projet'!$B$10,Paramètres!$A$1:$I$89,3,0)*0.475*44/12</f>
        <v>30.225684599693231</v>
      </c>
      <c r="AW123" s="23">
        <f>EXP(-LN(2)/2)*AW122+(1-EXP(-LN(2)/2))/(LN(2)/2)*AQ123*AT123*VLOOKUP('Données projet'!$B$10,Paramètres!$A$1:$I$89,3,0)*0.475*44/12</f>
        <v>4.1332465369664312E-2</v>
      </c>
      <c r="AX123" s="23">
        <f t="shared" si="60"/>
        <v>187.10859977565033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67.703941970256579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45">
      <c r="A124" s="11">
        <f t="shared" si="85"/>
        <v>121</v>
      </c>
      <c r="B124" s="77">
        <f>'Scénario référence'!$B$16*5+'Scénario référence'!$B$17*0+'Scénario référence'!$B$18*5</f>
        <v>3.75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13.75</v>
      </c>
      <c r="H124" s="70">
        <f t="shared" si="56"/>
        <v>201.66666666666666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159.64393915572111</v>
      </c>
      <c r="T124" s="62">
        <f t="shared" si="88"/>
        <v>389.58290705889829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11.49980787912058</v>
      </c>
      <c r="AA124" s="23">
        <f>EXP(-LN(2)/25)*AA123+(1-EXP(-LN(2)/25))/(LN(2)/25)*Calculateur!V124*Calculateur!X124*VLOOKUP('Données projet'!$B$9,Paramètres!$A$1:$I$89,3,0)*0.475*44/12</f>
        <v>1.414723330260655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12.914531209381234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442.01983807226742</v>
      </c>
      <c r="AO124" s="62">
        <f t="shared" si="90"/>
        <v>276.48668026732219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153.76601493755223</v>
      </c>
      <c r="AV124" s="23">
        <f>EXP(-LN(2)/25)*AV123+(1-EXP(-LN(2)/25))/(LN(2)/25)*Calculateur!AQ124*Calculateur!AS124*VLOOKUP('Données projet'!$B$10,Paramètres!$A$1:$I$89,3,0)*0.475*44/12</f>
        <v>29.399161664814947</v>
      </c>
      <c r="AW124" s="23">
        <f>EXP(-LN(2)/2)*AW123+(1-EXP(-LN(2)/2))/(LN(2)/2)*AQ124*AT124*VLOOKUP('Données projet'!$B$10,Paramètres!$A$1:$I$89,3,0)*0.475*44/12</f>
        <v>2.9226466546047776E-2</v>
      </c>
      <c r="AX124" s="23">
        <f t="shared" si="60"/>
        <v>183.19440306891323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67.7437734438559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45">
      <c r="A125" s="11">
        <f t="shared" si="85"/>
        <v>122</v>
      </c>
      <c r="B125" s="77">
        <f>'Scénario référence'!$B$16*5+'Scénario référence'!$B$17*0+'Scénario référence'!$B$18*5</f>
        <v>3.75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13.75</v>
      </c>
      <c r="H125" s="70">
        <f t="shared" si="56"/>
        <v>201.66666666666666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159.64393915572111</v>
      </c>
      <c r="T125" s="62">
        <f t="shared" si="88"/>
        <v>389.58290705889829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11.274303660801237</v>
      </c>
      <c r="AA125" s="23">
        <f>EXP(-LN(2)/25)*AA124+(1-EXP(-LN(2)/25))/(LN(2)/25)*Calculateur!V125*Calculateur!X125*VLOOKUP('Données projet'!$B$9,Paramètres!$A$1:$I$89,3,0)*0.475*44/12</f>
        <v>1.3760376463976109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12.650341307198849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442.01983807226742</v>
      </c>
      <c r="AO125" s="62">
        <f t="shared" si="90"/>
        <v>276.48668026732219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150.75075717263513</v>
      </c>
      <c r="AV125" s="23">
        <f>EXP(-LN(2)/25)*AV124+(1-EXP(-LN(2)/25))/(LN(2)/25)*Calculateur!AQ125*Calculateur!AS125*VLOOKUP('Données projet'!$B$10,Paramètres!$A$1:$I$89,3,0)*0.475*44/12</f>
        <v>28.595240043055863</v>
      </c>
      <c r="AW125" s="23">
        <f>EXP(-LN(2)/2)*AW124+(1-EXP(-LN(2)/2))/(LN(2)/2)*AQ125*AT125*VLOOKUP('Données projet'!$B$10,Paramètres!$A$1:$I$89,3,0)*0.475*44/12</f>
        <v>2.0666232684832156E-2</v>
      </c>
      <c r="AX125" s="23">
        <f t="shared" si="60"/>
        <v>179.36666344837585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67.782913930438085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45">
      <c r="A126" s="11">
        <f t="shared" si="85"/>
        <v>123</v>
      </c>
      <c r="B126" s="77">
        <f>'Scénario référence'!$B$16*5+'Scénario référence'!$B$17*0+'Scénario référence'!$B$18*5</f>
        <v>3.75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13.75</v>
      </c>
      <c r="H126" s="70">
        <f t="shared" si="56"/>
        <v>201.66666666666666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159.64393915572111</v>
      </c>
      <c r="T126" s="62">
        <f t="shared" si="88"/>
        <v>389.58290705889829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11.053221442659146</v>
      </c>
      <c r="AA126" s="23">
        <f>EXP(-LN(2)/25)*AA125+(1-EXP(-LN(2)/25))/(LN(2)/25)*Calculateur!V126*Calculateur!X126*VLOOKUP('Données projet'!$B$9,Paramètres!$A$1:$I$89,3,0)*0.475*44/12</f>
        <v>1.3384098245941933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12.391631267253338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442.01983807226742</v>
      </c>
      <c r="AO126" s="62">
        <f t="shared" si="90"/>
        <v>276.48668026732219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147.79462677336244</v>
      </c>
      <c r="AV126" s="23">
        <f>EXP(-LN(2)/25)*AV125+(1-EXP(-LN(2)/25))/(LN(2)/25)*Calculateur!AQ126*Calculateur!AS126*VLOOKUP('Données projet'!$B$10,Paramètres!$A$1:$I$89,3,0)*0.475*44/12</f>
        <v>27.813301700320181</v>
      </c>
      <c r="AW126" s="23">
        <f>EXP(-LN(2)/2)*AW125+(1-EXP(-LN(2)/2))/(LN(2)/2)*AQ126*AT126*VLOOKUP('Données projet'!$B$10,Paramètres!$A$1:$I$89,3,0)*0.475*44/12</f>
        <v>1.4613233273023888E-2</v>
      </c>
      <c r="AX126" s="23">
        <f t="shared" si="60"/>
        <v>175.62254170695564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67.82137541708309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45">
      <c r="A127" s="11">
        <f t="shared" si="85"/>
        <v>124</v>
      </c>
      <c r="B127" s="77">
        <f>'Scénario référence'!$B$16*5+'Scénario référence'!$B$17*0+'Scénario référence'!$B$18*5</f>
        <v>3.75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13.75</v>
      </c>
      <c r="H127" s="70">
        <f t="shared" si="56"/>
        <v>201.66666666666666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159.64393915572111</v>
      </c>
      <c r="T127" s="62">
        <f t="shared" si="88"/>
        <v>389.58290705889829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10.836474511967982</v>
      </c>
      <c r="AA127" s="23">
        <f>EXP(-LN(2)/25)*AA126+(1-EXP(-LN(2)/25))/(LN(2)/25)*Calculateur!V127*Calculateur!X127*VLOOKUP('Données projet'!$B$9,Paramètres!$A$1:$I$89,3,0)*0.475*44/12</f>
        <v>1.3018109375567515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12.138285449524734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442.01983807226742</v>
      </c>
      <c r="AO127" s="62">
        <f t="shared" si="90"/>
        <v>276.48668026732219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144.89646428815797</v>
      </c>
      <c r="AV127" s="23">
        <f>EXP(-LN(2)/25)*AV126+(1-EXP(-LN(2)/25))/(LN(2)/25)*Calculateur!AQ127*Calculateur!AS127*VLOOKUP('Données projet'!$B$10,Paramètres!$A$1:$I$89,3,0)*0.475*44/12</f>
        <v>27.052745502686957</v>
      </c>
      <c r="AW127" s="23">
        <f>EXP(-LN(2)/2)*AW126+(1-EXP(-LN(2)/2))/(LN(2)/2)*AQ127*AT127*VLOOKUP('Données projet'!$B$10,Paramètres!$A$1:$I$89,3,0)*0.475*44/12</f>
        <v>1.0333116342416078E-2</v>
      </c>
      <c r="AX127" s="23">
        <f t="shared" si="60"/>
        <v>171.95954290718734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67.859169682921817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45">
      <c r="A128" s="11">
        <f t="shared" si="85"/>
        <v>125</v>
      </c>
      <c r="B128" s="77">
        <f>'Scénario référence'!$B$16*5+'Scénario référence'!$B$17*0+'Scénario référence'!$B$18*5</f>
        <v>3.75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13.75</v>
      </c>
      <c r="H128" s="70">
        <f t="shared" si="56"/>
        <v>201.66666666666666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159.64393915572111</v>
      </c>
      <c r="T128" s="62">
        <f t="shared" si="88"/>
        <v>389.58290705889829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10.623977856385098</v>
      </c>
      <c r="AA128" s="23">
        <f>EXP(-LN(2)/25)*AA127+(1-EXP(-LN(2)/25))/(LN(2)/25)*Calculateur!V128*Calculateur!X128*VLOOKUP('Données projet'!$B$9,Paramètres!$A$1:$I$89,3,0)*0.475*44/12</f>
        <v>1.2662128490100002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11.890190705395097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442.01983807226742</v>
      </c>
      <c r="AO128" s="62">
        <f t="shared" si="90"/>
        <v>276.48668026732219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142.05513300158378</v>
      </c>
      <c r="AV128" s="23">
        <f>EXP(-LN(2)/25)*AV127+(1-EXP(-LN(2)/25))/(LN(2)/25)*Calculateur!AQ128*Calculateur!AS128*VLOOKUP('Données projet'!$B$10,Paramètres!$A$1:$I$89,3,0)*0.475*44/12</f>
        <v>26.312986754273926</v>
      </c>
      <c r="AW128" s="23">
        <f>EXP(-LN(2)/2)*AW127+(1-EXP(-LN(2)/2))/(LN(2)/2)*AQ128*AT128*VLOOKUP('Données projet'!$B$10,Paramètres!$A$1:$I$89,3,0)*0.475*44/12</f>
        <v>7.306616636511944E-3</v>
      </c>
      <c r="AX128" s="23">
        <f t="shared" si="60"/>
        <v>168.37542637249422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67.896308302743563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45">
      <c r="A129" s="11">
        <f t="shared" si="85"/>
        <v>126</v>
      </c>
      <c r="B129" s="77">
        <f>'Scénario référence'!$B$16*5+'Scénario référence'!$B$17*0+'Scénario référence'!$B$18*5</f>
        <v>3.75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13.75</v>
      </c>
      <c r="H129" s="70">
        <f t="shared" si="56"/>
        <v>201.66666666666666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159.64393915572111</v>
      </c>
      <c r="T129" s="62">
        <f t="shared" si="88"/>
        <v>389.58290705889829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10.415648130608034</v>
      </c>
      <c r="AA129" s="23">
        <f>EXP(-LN(2)/25)*AA128+(1-EXP(-LN(2)/25))/(LN(2)/25)*Calculateur!V129*Calculateur!X129*VLOOKUP('Données projet'!$B$9,Paramètres!$A$1:$I$89,3,0)*0.475*44/12</f>
        <v>1.2315881920665819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11.647236322674615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442.01983807226742</v>
      </c>
      <c r="AO129" s="62">
        <f t="shared" si="90"/>
        <v>276.48668026732219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139.26951848849836</v>
      </c>
      <c r="AV129" s="23">
        <f>EXP(-LN(2)/25)*AV128+(1-EXP(-LN(2)/25))/(LN(2)/25)*Calculateur!AQ129*Calculateur!AS129*VLOOKUP('Données projet'!$B$10,Paramètres!$A$1:$I$89,3,0)*0.475*44/12</f>
        <v>25.593456747738472</v>
      </c>
      <c r="AW129" s="23">
        <f>EXP(-LN(2)/2)*AW128+(1-EXP(-LN(2)/2))/(LN(2)/2)*AQ129*AT129*VLOOKUP('Données projet'!$B$10,Paramètres!$A$1:$I$89,3,0)*0.475*44/12</f>
        <v>5.166558171208039E-3</v>
      </c>
      <c r="AX129" s="23">
        <f t="shared" si="60"/>
        <v>164.86814179440802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67.932802650540907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45">
      <c r="A130" s="11">
        <f t="shared" si="85"/>
        <v>127</v>
      </c>
      <c r="B130" s="77">
        <f>'Scénario référence'!$B$16*5+'Scénario référence'!$B$17*0+'Scénario référence'!$B$18*5</f>
        <v>3.75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13.75</v>
      </c>
      <c r="H130" s="70">
        <f t="shared" si="56"/>
        <v>201.66666666666666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159.64393915572111</v>
      </c>
      <c r="T130" s="62">
        <f t="shared" si="88"/>
        <v>389.58290705889829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10.211403623684872</v>
      </c>
      <c r="AA130" s="23">
        <f>EXP(-LN(2)/25)*AA129+(1-EXP(-LN(2)/25))/(LN(2)/25)*Calculateur!V130*Calculateur!X130*VLOOKUP('Données projet'!$B$9,Paramètres!$A$1:$I$89,3,0)*0.475*44/12</f>
        <v>1.197910348188113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11.409313971872985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442.01983807226742</v>
      </c>
      <c r="AO130" s="62">
        <f t="shared" si="90"/>
        <v>276.48668026732219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136.53852817695747</v>
      </c>
      <c r="AV130" s="23">
        <f>EXP(-LN(2)/25)*AV129+(1-EXP(-LN(2)/25))/(LN(2)/25)*Calculateur!AQ130*Calculateur!AS130*VLOOKUP('Données projet'!$B$10,Paramètres!$A$1:$I$89,3,0)*0.475*44/12</f>
        <v>24.893602327070166</v>
      </c>
      <c r="AW130" s="23">
        <f>EXP(-LN(2)/2)*AW129+(1-EXP(-LN(2)/2))/(LN(2)/2)*AQ130*AT130*VLOOKUP('Données projet'!$B$10,Paramètres!$A$1:$I$89,3,0)*0.475*44/12</f>
        <v>3.653308318255972E-3</v>
      </c>
      <c r="AX130" s="23">
        <f t="shared" si="60"/>
        <v>161.4357838123459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67.9686639029931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45">
      <c r="A131" s="11">
        <f t="shared" si="85"/>
        <v>128</v>
      </c>
      <c r="B131" s="77">
        <f>'Scénario référence'!$B$16*5+'Scénario référence'!$B$17*0+'Scénario référence'!$B$18*5</f>
        <v>3.75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13.75</v>
      </c>
      <c r="H131" s="70">
        <f t="shared" si="56"/>
        <v>201.66666666666666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159.64393915572111</v>
      </c>
      <c r="T131" s="62">
        <f t="shared" si="88"/>
        <v>389.58290705889829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10.011164226965624</v>
      </c>
      <c r="AA131" s="23">
        <f>EXP(-LN(2)/25)*AA130+(1-EXP(-LN(2)/25))/(LN(2)/25)*Calculateur!V131*Calculateur!X131*VLOOKUP('Données projet'!$B$9,Paramètres!$A$1:$I$89,3,0)*0.475*44/12</f>
        <v>1.1651534267215418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11.176317653687166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442.01983807226742</v>
      </c>
      <c r="AO131" s="62">
        <f t="shared" si="90"/>
        <v>276.48668026732219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133.86109091968629</v>
      </c>
      <c r="AV131" s="23">
        <f>EXP(-LN(2)/25)*AV130+(1-EXP(-LN(2)/25))/(LN(2)/25)*Calculateur!AQ131*Calculateur!AS131*VLOOKUP('Données projet'!$B$10,Paramètres!$A$1:$I$89,3,0)*0.475*44/12</f>
        <v>24.212885462338782</v>
      </c>
      <c r="AW131" s="23">
        <f>EXP(-LN(2)/2)*AW130+(1-EXP(-LN(2)/2))/(LN(2)/2)*AQ131*AT131*VLOOKUP('Données projet'!$B$10,Paramètres!$A$1:$I$89,3,0)*0.475*44/12</f>
        <v>2.5832790856040195E-3</v>
      </c>
      <c r="AX131" s="23">
        <f t="shared" si="60"/>
        <v>158.07655966111068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68.003903042889007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45">
      <c r="A132" s="11">
        <f t="shared" si="85"/>
        <v>129</v>
      </c>
      <c r="B132" s="77">
        <f>'Scénario référence'!$B$16*5+'Scénario référence'!$B$17*0+'Scénario référence'!$B$18*5</f>
        <v>3.75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13.75</v>
      </c>
      <c r="H132" s="70">
        <f t="shared" ref="H132:H195" si="110">(B132+E132+F132)*44/12+(C132+D132)*0.475*44/12</f>
        <v>201.66666666666666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159.64393915572111</v>
      </c>
      <c r="T132" s="62">
        <f t="shared" si="88"/>
        <v>389.58290705889829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9.8148514026820681</v>
      </c>
      <c r="AA132" s="23">
        <f>EXP(-LN(2)/25)*AA131+(1-EXP(-LN(2)/25))/(LN(2)/25)*Calculateur!V132*Calculateur!X132*VLOOKUP('Données projet'!$B$9,Paramètres!$A$1:$I$89,3,0)*0.475*44/12</f>
        <v>1.1332922449950855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10.948143647677153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442.01983807226742</v>
      </c>
      <c r="AO132" s="62">
        <f t="shared" si="90"/>
        <v>276.48668026732219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131.2361565739547</v>
      </c>
      <c r="AV132" s="23">
        <f>EXP(-LN(2)/25)*AV131+(1-EXP(-LN(2)/25))/(LN(2)/25)*Calculateur!AQ132*Calculateur!AS132*VLOOKUP('Données projet'!$B$10,Paramètres!$A$1:$I$89,3,0)*0.475*44/12</f>
        <v>23.55078283607082</v>
      </c>
      <c r="AW132" s="23">
        <f>EXP(-LN(2)/2)*AW131+(1-EXP(-LN(2)/2))/(LN(2)/2)*AQ132*AT132*VLOOKUP('Données projet'!$B$10,Paramètres!$A$1:$I$89,3,0)*0.475*44/12</f>
        <v>1.826654159127986E-3</v>
      </c>
      <c r="AX132" s="23">
        <f t="shared" ref="AX132:AX153" si="114">SUM(AU132:AW132)</f>
        <v>154.78876606418464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68.038530862490632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45">
      <c r="A133" s="11">
        <f t="shared" ref="A133:A152" si="139">A132+1</f>
        <v>130</v>
      </c>
      <c r="B133" s="77">
        <f>'Scénario référence'!$B$16*5+'Scénario référence'!$B$17*0+'Scénario référence'!$B$18*5</f>
        <v>3.75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13.75</v>
      </c>
      <c r="H133" s="70">
        <f t="shared" si="110"/>
        <v>201.66666666666666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159.64393915572111</v>
      </c>
      <c r="T133" s="62">
        <f t="shared" ref="T133:T196" si="142">$T$3</f>
        <v>389.58290705889829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9.6223881531437137</v>
      </c>
      <c r="AA133" s="23">
        <f>EXP(-LN(2)/25)*AA132+(1-EXP(-LN(2)/25))/(LN(2)/25)*Calculateur!V133*Calculateur!X133*VLOOKUP('Données projet'!$B$9,Paramètres!$A$1:$I$89,3,0)*0.475*44/12</f>
        <v>1.1023023089584458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10.72469046210216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442.01983807226742</v>
      </c>
      <c r="AO133" s="62">
        <f t="shared" ref="AO133:AO196" si="144">$AO$3</f>
        <v>276.48668026732219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128.66269558969105</v>
      </c>
      <c r="AV133" s="23">
        <f>EXP(-LN(2)/25)*AV132+(1-EXP(-LN(2)/25))/(LN(2)/25)*Calculateur!AQ133*Calculateur!AS133*VLOOKUP('Données projet'!$B$10,Paramètres!$A$1:$I$89,3,0)*0.475*44/12</f>
        <v>22.90678544093662</v>
      </c>
      <c r="AW133" s="23">
        <f>EXP(-LN(2)/2)*AW132+(1-EXP(-LN(2)/2))/(LN(2)/2)*AQ133*AT133*VLOOKUP('Données projet'!$B$10,Paramètres!$A$1:$I$89,3,0)*0.475*44/12</f>
        <v>1.2916395428020097E-3</v>
      </c>
      <c r="AX133" s="23">
        <f t="shared" si="114"/>
        <v>151.5707726701705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68.072557966838389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45">
      <c r="A134" s="11">
        <f t="shared" si="139"/>
        <v>131</v>
      </c>
      <c r="B134" s="77">
        <f>'Scénario référence'!$B$16*5+'Scénario référence'!$B$17*0+'Scénario référence'!$B$18*5</f>
        <v>3.75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13.75</v>
      </c>
      <c r="H134" s="70">
        <f t="shared" si="110"/>
        <v>201.66666666666666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159.64393915572111</v>
      </c>
      <c r="T134" s="62">
        <f t="shared" si="142"/>
        <v>389.58290705889829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9.433698990537815</v>
      </c>
      <c r="AA134" s="23">
        <f>EXP(-LN(2)/25)*AA133+(1-EXP(-LN(2)/25))/(LN(2)/25)*Calculateur!V134*Calculateur!X134*VLOOKUP('Données projet'!$B$9,Paramètres!$A$1:$I$89,3,0)*0.475*44/12</f>
        <v>1.0721597943524181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10.505858784890233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442.01983807226742</v>
      </c>
      <c r="AO134" s="62">
        <f t="shared" si="144"/>
        <v>276.48668026732219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126.13969860567261</v>
      </c>
      <c r="AV134" s="23">
        <f>EXP(-LN(2)/25)*AV133+(1-EXP(-LN(2)/25))/(LN(2)/25)*Calculateur!AQ134*Calculateur!AS134*VLOOKUP('Données projet'!$B$10,Paramètres!$A$1:$I$89,3,0)*0.475*44/12</f>
        <v>22.280398188438717</v>
      </c>
      <c r="AW134" s="23">
        <f>EXP(-LN(2)/2)*AW133+(1-EXP(-LN(2)/2))/(LN(2)/2)*AQ134*AT134*VLOOKUP('Données projet'!$B$10,Paramètres!$A$1:$I$89,3,0)*0.475*44/12</f>
        <v>9.13327079563993E-4</v>
      </c>
      <c r="AX134" s="23">
        <f t="shared" si="114"/>
        <v>148.42101012119087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68.105994776998898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45">
      <c r="A135" s="11">
        <f t="shared" si="139"/>
        <v>132</v>
      </c>
      <c r="B135" s="77">
        <f>'Scénario référence'!$B$16*5+'Scénario référence'!$B$17*0+'Scénario référence'!$B$18*5</f>
        <v>3.75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13.75</v>
      </c>
      <c r="H135" s="70">
        <f t="shared" si="110"/>
        <v>201.66666666666666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159.64393915572111</v>
      </c>
      <c r="T135" s="62">
        <f t="shared" si="142"/>
        <v>389.58290705889829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9.2487099073215937</v>
      </c>
      <c r="AA135" s="23">
        <f>EXP(-LN(2)/25)*AA134+(1-EXP(-LN(2)/25))/(LN(2)/25)*Calculateur!V135*Calculateur!X135*VLOOKUP('Données projet'!$B$9,Paramètres!$A$1:$I$89,3,0)*0.475*44/12</f>
        <v>1.042841528393418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10.291551435715011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442.01983807226742</v>
      </c>
      <c r="AO135" s="62">
        <f t="shared" si="144"/>
        <v>276.48668026732219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123.66617605363456</v>
      </c>
      <c r="AV135" s="23">
        <f>EXP(-LN(2)/25)*AV134+(1-EXP(-LN(2)/25))/(LN(2)/25)*Calculateur!AQ135*Calculateur!AS135*VLOOKUP('Données projet'!$B$10,Paramètres!$A$1:$I$89,3,0)*0.475*44/12</f>
        <v>21.671139528300642</v>
      </c>
      <c r="AW135" s="23">
        <f>EXP(-LN(2)/2)*AW134+(1-EXP(-LN(2)/2))/(LN(2)/2)*AQ135*AT135*VLOOKUP('Données projet'!$B$10,Paramètres!$A$1:$I$89,3,0)*0.475*44/12</f>
        <v>6.4581977140100487E-4</v>
      </c>
      <c r="AX135" s="23">
        <f t="shared" si="114"/>
        <v>145.33796140170659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68.138851533256656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45">
      <c r="A136" s="11">
        <f t="shared" si="139"/>
        <v>133</v>
      </c>
      <c r="B136" s="77">
        <f>'Scénario référence'!$B$16*5+'Scénario référence'!$B$17*0+'Scénario référence'!$B$18*5</f>
        <v>3.75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13.75</v>
      </c>
      <c r="H136" s="70">
        <f t="shared" si="110"/>
        <v>201.66666666666666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159.64393915572111</v>
      </c>
      <c r="T136" s="62">
        <f t="shared" si="142"/>
        <v>389.58290705889829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9.0673483471950433</v>
      </c>
      <c r="AA136" s="23">
        <f>EXP(-LN(2)/25)*AA135+(1-EXP(-LN(2)/25))/(LN(2)/25)*Calculateur!V136*Calculateur!X136*VLOOKUP('Données projet'!$B$9,Paramètres!$A$1:$I$89,3,0)*0.475*44/12</f>
        <v>1.0143249719588474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10.081673319153891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442.01983807226742</v>
      </c>
      <c r="AO136" s="62">
        <f t="shared" si="144"/>
        <v>276.48668026732219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121.24115777014219</v>
      </c>
      <c r="AV136" s="23">
        <f>EXP(-LN(2)/25)*AV135+(1-EXP(-LN(2)/25))/(LN(2)/25)*Calculateur!AQ136*Calculateur!AS136*VLOOKUP('Données projet'!$B$10,Paramètres!$A$1:$I$89,3,0)*0.475*44/12</f>
        <v>21.078541078263562</v>
      </c>
      <c r="AW136" s="23">
        <f>EXP(-LN(2)/2)*AW135+(1-EXP(-LN(2)/2))/(LN(2)/2)*AQ136*AT136*VLOOKUP('Données projet'!$B$10,Paramètres!$A$1:$I$89,3,0)*0.475*44/12</f>
        <v>4.566635397819965E-4</v>
      </c>
      <c r="AX136" s="23">
        <f t="shared" si="114"/>
        <v>142.32015551194553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68.171138298250014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45">
      <c r="A137" s="11">
        <f t="shared" si="139"/>
        <v>134</v>
      </c>
      <c r="B137" s="77">
        <f>'Scénario référence'!$B$16*5+'Scénario référence'!$B$17*0+'Scénario référence'!$B$18*5</f>
        <v>3.75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13.75</v>
      </c>
      <c r="H137" s="70">
        <f t="shared" si="110"/>
        <v>201.66666666666666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159.64393915572111</v>
      </c>
      <c r="T137" s="62">
        <f t="shared" si="142"/>
        <v>389.58290705889829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8.8895431766429454</v>
      </c>
      <c r="AA137" s="23">
        <f>EXP(-LN(2)/25)*AA136+(1-EXP(-LN(2)/25))/(LN(2)/25)*Calculateur!V137*Calculateur!X137*VLOOKUP('Données projet'!$B$9,Paramètres!$A$1:$I$89,3,0)*0.475*44/12</f>
        <v>0.98658820225960076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9.8761313789025458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442.01983807226742</v>
      </c>
      <c r="AO137" s="62">
        <f t="shared" si="144"/>
        <v>276.48668026732219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118.863692616074</v>
      </c>
      <c r="AV137" s="23">
        <f>EXP(-LN(2)/25)*AV136+(1-EXP(-LN(2)/25))/(LN(2)/25)*Calculateur!AQ137*Calculateur!AS137*VLOOKUP('Données projet'!$B$10,Paramètres!$A$1:$I$89,3,0)*0.475*44/12</f>
        <v>20.502147264006144</v>
      </c>
      <c r="AW137" s="23">
        <f>EXP(-LN(2)/2)*AW136+(1-EXP(-LN(2)/2))/(LN(2)/2)*AQ137*AT137*VLOOKUP('Données projet'!$B$10,Paramètres!$A$1:$I$89,3,0)*0.475*44/12</f>
        <v>3.2290988570050244E-4</v>
      </c>
      <c r="AX137" s="23">
        <f t="shared" si="114"/>
        <v>139.36616278996587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68.202864960053148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45">
      <c r="A138" s="11">
        <f t="shared" si="139"/>
        <v>135</v>
      </c>
      <c r="B138" s="77">
        <f>'Scénario référence'!$B$16*5+'Scénario référence'!$B$17*0+'Scénario référence'!$B$18*5</f>
        <v>3.75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13.75</v>
      </c>
      <c r="H138" s="70">
        <f t="shared" si="110"/>
        <v>201.66666666666666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159.64393915572111</v>
      </c>
      <c r="T138" s="62">
        <f t="shared" si="142"/>
        <v>389.58290705889829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8.7152246570349288</v>
      </c>
      <c r="AA138" s="23">
        <f>EXP(-LN(2)/25)*AA137+(1-EXP(-LN(2)/25))/(LN(2)/25)*Calculateur!V138*Calculateur!X138*VLOOKUP('Données projet'!$B$9,Paramètres!$A$1:$I$89,3,0)*0.475*44/12</f>
        <v>0.95960989598639335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9.6748345530213218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442.01983807226742</v>
      </c>
      <c r="AO138" s="62">
        <f t="shared" si="144"/>
        <v>276.48668026732219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116.53284810356654</v>
      </c>
      <c r="AV138" s="23">
        <f>EXP(-LN(2)/25)*AV137+(1-EXP(-LN(2)/25))/(LN(2)/25)*Calculateur!AQ138*Calculateur!AS138*VLOOKUP('Données projet'!$B$10,Paramètres!$A$1:$I$89,3,0)*0.475*44/12</f>
        <v>19.94151496891083</v>
      </c>
      <c r="AW138" s="23">
        <f>EXP(-LN(2)/2)*AW137+(1-EXP(-LN(2)/2))/(LN(2)/2)*AQ138*AT138*VLOOKUP('Données projet'!$B$10,Paramètres!$A$1:$I$89,3,0)*0.475*44/12</f>
        <v>2.2833176989099825E-4</v>
      </c>
      <c r="AX138" s="23">
        <f t="shared" si="114"/>
        <v>136.47459140424726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68.234041235204188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45">
      <c r="A139" s="11">
        <f t="shared" si="139"/>
        <v>136</v>
      </c>
      <c r="B139" s="77">
        <f>'Scénario référence'!$B$16*5+'Scénario référence'!$B$17*0+'Scénario référence'!$B$18*5</f>
        <v>3.75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13.75</v>
      </c>
      <c r="H139" s="70">
        <f t="shared" si="110"/>
        <v>201.66666666666666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159.64393915572111</v>
      </c>
      <c r="T139" s="62">
        <f t="shared" si="142"/>
        <v>389.58290705889829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8.5443244172726267</v>
      </c>
      <c r="AA139" s="23">
        <f>EXP(-LN(2)/25)*AA138+(1-EXP(-LN(2)/25))/(LN(2)/25)*Calculateur!V139*Calculateur!X139*VLOOKUP('Données projet'!$B$9,Paramètres!$A$1:$I$89,3,0)*0.475*44/12</f>
        <v>0.93336931291695424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9.4776937301895803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442.01983807226742</v>
      </c>
      <c r="AO139" s="62">
        <f t="shared" si="144"/>
        <v>276.48668026732219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114.24771003027456</v>
      </c>
      <c r="AV139" s="23">
        <f>EXP(-LN(2)/25)*AV138+(1-EXP(-LN(2)/25))/(LN(2)/25)*Calculateur!AQ139*Calculateur!AS139*VLOOKUP('Données projet'!$B$10,Paramètres!$A$1:$I$89,3,0)*0.475*44/12</f>
        <v>19.39621319340727</v>
      </c>
      <c r="AW139" s="23">
        <f>EXP(-LN(2)/2)*AW138+(1-EXP(-LN(2)/2))/(LN(2)/2)*AQ139*AT139*VLOOKUP('Données projet'!$B$10,Paramètres!$A$1:$I$89,3,0)*0.475*44/12</f>
        <v>1.6145494285025122E-4</v>
      </c>
      <c r="AX139" s="23">
        <f t="shared" si="114"/>
        <v>133.64408467862469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68.264676671681059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45">
      <c r="A140" s="11">
        <f t="shared" si="139"/>
        <v>137</v>
      </c>
      <c r="B140" s="77">
        <f>'Scénario référence'!$B$16*5+'Scénario référence'!$B$17*0+'Scénario référence'!$B$18*5</f>
        <v>3.75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13.75</v>
      </c>
      <c r="H140" s="70">
        <f t="shared" si="110"/>
        <v>201.66666666666666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159.64393915572111</v>
      </c>
      <c r="T140" s="62">
        <f t="shared" si="142"/>
        <v>389.58290705889829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8.3767754269732091</v>
      </c>
      <c r="AA140" s="23">
        <f>EXP(-LN(2)/25)*AA139+(1-EXP(-LN(2)/25))/(LN(2)/25)*Calculateur!V140*Calculateur!X140*VLOOKUP('Données projet'!$B$9,Paramètres!$A$1:$I$89,3,0)*0.475*44/12</f>
        <v>0.90784627997148115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9.2846217069446908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442.01983807226742</v>
      </c>
      <c r="AO140" s="62">
        <f t="shared" si="144"/>
        <v>276.48668026732219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112.00738212080326</v>
      </c>
      <c r="AV140" s="23">
        <f>EXP(-LN(2)/25)*AV139+(1-EXP(-LN(2)/25))/(LN(2)/25)*Calculateur!AQ140*Calculateur!AS140*VLOOKUP('Données projet'!$B$10,Paramètres!$A$1:$I$89,3,0)*0.475*44/12</f>
        <v>18.865822723631027</v>
      </c>
      <c r="AW140" s="23">
        <f>EXP(-LN(2)/2)*AW139+(1-EXP(-LN(2)/2))/(LN(2)/2)*AQ140*AT140*VLOOKUP('Données projet'!$B$10,Paramètres!$A$1:$I$89,3,0)*0.475*44/12</f>
        <v>1.1416588494549912E-4</v>
      </c>
      <c r="AX140" s="23">
        <f t="shared" si="114"/>
        <v>130.87331901031922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68.294780651825647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45">
      <c r="A141" s="11">
        <f t="shared" si="139"/>
        <v>138</v>
      </c>
      <c r="B141" s="77">
        <f>'Scénario référence'!$B$16*5+'Scénario référence'!$B$17*0+'Scénario référence'!$B$18*5</f>
        <v>3.75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13.75</v>
      </c>
      <c r="H141" s="70">
        <f t="shared" si="110"/>
        <v>201.66666666666666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159.64393915572111</v>
      </c>
      <c r="T141" s="62">
        <f t="shared" si="142"/>
        <v>389.58290705889829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8.2125119701787703</v>
      </c>
      <c r="AA141" s="23">
        <f>EXP(-LN(2)/25)*AA140+(1-EXP(-LN(2)/25))/(LN(2)/25)*Calculateur!V141*Calculateur!X141*VLOOKUP('Données projet'!$B$9,Paramètres!$A$1:$I$89,3,0)*0.475*44/12</f>
        <v>0.88302117570409999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9.0955331458828699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442.01983807226742</v>
      </c>
      <c r="AO141" s="62">
        <f t="shared" si="144"/>
        <v>276.48668026732219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109.81098567517158</v>
      </c>
      <c r="AV141" s="23">
        <f>EXP(-LN(2)/25)*AV140+(1-EXP(-LN(2)/25))/(LN(2)/25)*Calculateur!AQ141*Calculateur!AS141*VLOOKUP('Données projet'!$B$10,Paramètres!$A$1:$I$89,3,0)*0.475*44/12</f>
        <v>18.349935809142838</v>
      </c>
      <c r="AW141" s="23">
        <f>EXP(-LN(2)/2)*AW140+(1-EXP(-LN(2)/2))/(LN(2)/2)*AQ141*AT141*VLOOKUP('Données projet'!$B$10,Paramètres!$A$1:$I$89,3,0)*0.475*44/12</f>
        <v>8.0727471425125609E-5</v>
      </c>
      <c r="AX141" s="23">
        <f t="shared" si="114"/>
        <v>128.16100221178584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68.324362395217122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45">
      <c r="A142" s="11">
        <f t="shared" si="139"/>
        <v>139</v>
      </c>
      <c r="B142" s="77">
        <f>'Scénario référence'!$B$16*5+'Scénario référence'!$B$17*0+'Scénario référence'!$B$18*5</f>
        <v>3.75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13.75</v>
      </c>
      <c r="H142" s="70">
        <f t="shared" si="110"/>
        <v>201.66666666666666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159.64393915572111</v>
      </c>
      <c r="T142" s="62">
        <f t="shared" si="142"/>
        <v>389.58290705889829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8.0514696195812547</v>
      </c>
      <c r="AA142" s="23">
        <f>EXP(-LN(2)/25)*AA141+(1-EXP(-LN(2)/25))/(LN(2)/25)*Calculateur!V142*Calculateur!X142*VLOOKUP('Données projet'!$B$9,Paramètres!$A$1:$I$89,3,0)*0.475*44/12</f>
        <v>0.85887491521840587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8.9103445347996608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442.01983807226742</v>
      </c>
      <c r="AO142" s="62">
        <f t="shared" si="144"/>
        <v>276.48668026732219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107.65765922416919</v>
      </c>
      <c r="AV142" s="23">
        <f>EXP(-LN(2)/25)*AV141+(1-EXP(-LN(2)/25))/(LN(2)/25)*Calculateur!AQ142*Calculateur!AS142*VLOOKUP('Données projet'!$B$10,Paramètres!$A$1:$I$89,3,0)*0.475*44/12</f>
        <v>17.848155849460642</v>
      </c>
      <c r="AW142" s="23">
        <f>EXP(-LN(2)/2)*AW141+(1-EXP(-LN(2)/2))/(LN(2)/2)*AQ142*AT142*VLOOKUP('Données projet'!$B$10,Paramètres!$A$1:$I$89,3,0)*0.475*44/12</f>
        <v>5.7082942472749562E-5</v>
      </c>
      <c r="AX142" s="23">
        <f t="shared" si="114"/>
        <v>125.50587215657231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68.353430961495647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45">
      <c r="A143" s="11">
        <f t="shared" si="139"/>
        <v>140</v>
      </c>
      <c r="B143" s="77">
        <f>'Scénario référence'!$B$16*5+'Scénario référence'!$B$17*0+'Scénario référence'!$B$18*5</f>
        <v>3.75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13.75</v>
      </c>
      <c r="H143" s="70">
        <f t="shared" si="110"/>
        <v>201.66666666666666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159.64393915572111</v>
      </c>
      <c r="T143" s="62">
        <f t="shared" si="142"/>
        <v>389.58290705889829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7.8935852112528222</v>
      </c>
      <c r="AA143" s="23">
        <f>EXP(-LN(2)/25)*AA142+(1-EXP(-LN(2)/25))/(LN(2)/25)*Calculateur!V143*Calculateur!X143*VLOOKUP('Données projet'!$B$9,Paramètres!$A$1:$I$89,3,0)*0.475*44/12</f>
        <v>0.83538893549548976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8.7289741467483122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442.01983807226742</v>
      </c>
      <c r="AO143" s="62">
        <f t="shared" si="144"/>
        <v>276.48668026732219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105.54655819147152</v>
      </c>
      <c r="AV143" s="23">
        <f>EXP(-LN(2)/25)*AV142+(1-EXP(-LN(2)/25))/(LN(2)/25)*Calculateur!AQ143*Calculateur!AS143*VLOOKUP('Données projet'!$B$10,Paramètres!$A$1:$I$89,3,0)*0.475*44/12</f>
        <v>17.360097089163418</v>
      </c>
      <c r="AW143" s="23">
        <f>EXP(-LN(2)/2)*AW142+(1-EXP(-LN(2)/2))/(LN(2)/2)*AQ143*AT143*VLOOKUP('Données projet'!$B$10,Paramètres!$A$1:$I$89,3,0)*0.475*44/12</f>
        <v>4.0363735712562805E-5</v>
      </c>
      <c r="AX143" s="23">
        <f t="shared" si="114"/>
        <v>122.90669564437064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68.381995253136807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45">
      <c r="A144" s="11">
        <f t="shared" si="139"/>
        <v>141</v>
      </c>
      <c r="B144" s="77">
        <f>'Scénario référence'!$B$16*5+'Scénario référence'!$B$17*0+'Scénario référence'!$B$18*5</f>
        <v>3.75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13.75</v>
      </c>
      <c r="H144" s="70">
        <f t="shared" si="110"/>
        <v>201.66666666666666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159.64393915572111</v>
      </c>
      <c r="T144" s="62">
        <f t="shared" si="142"/>
        <v>389.58290705889829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7.7387968198717294</v>
      </c>
      <c r="AA144" s="23">
        <f>EXP(-LN(2)/25)*AA143+(1-EXP(-LN(2)/25))/(LN(2)/25)*Calculateur!V144*Calculateur!X144*VLOOKUP('Données projet'!$B$9,Paramètres!$A$1:$I$89,3,0)*0.475*44/12</f>
        <v>0.81254518112317076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8.5513420009949002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442.01983807226742</v>
      </c>
      <c r="AO144" s="62">
        <f t="shared" si="144"/>
        <v>276.48668026732219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103.47685456238055</v>
      </c>
      <c r="AV144" s="23">
        <f>EXP(-LN(2)/25)*AV143+(1-EXP(-LN(2)/25))/(LN(2)/25)*Calculateur!AQ144*Calculateur!AS144*VLOOKUP('Données projet'!$B$10,Paramètres!$A$1:$I$89,3,0)*0.475*44/12</f>
        <v>16.885384321332417</v>
      </c>
      <c r="AW144" s="23">
        <f>EXP(-LN(2)/2)*AW143+(1-EXP(-LN(2)/2))/(LN(2)/2)*AQ144*AT144*VLOOKUP('Données projet'!$B$10,Paramètres!$A$1:$I$89,3,0)*0.475*44/12</f>
        <v>2.8541471236374781E-5</v>
      </c>
      <c r="AX144" s="23">
        <f t="shared" si="114"/>
        <v>120.3622674251842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68.410064018178176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45">
      <c r="A145" s="11">
        <f t="shared" si="139"/>
        <v>142</v>
      </c>
      <c r="B145" s="77">
        <f>'Scénario référence'!$B$16*5+'Scénario référence'!$B$17*0+'Scénario référence'!$B$18*5</f>
        <v>3.75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13.75</v>
      </c>
      <c r="H145" s="70">
        <f t="shared" si="110"/>
        <v>201.66666666666666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159.64393915572111</v>
      </c>
      <c r="T145" s="62">
        <f t="shared" si="142"/>
        <v>389.58290705889829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7.5870437344340242</v>
      </c>
      <c r="AA145" s="23">
        <f>EXP(-LN(2)/25)*AA144+(1-EXP(-LN(2)/25))/(LN(2)/25)*Calculateur!V145*Calculateur!X145*VLOOKUP('Données projet'!$B$9,Paramètres!$A$1:$I$89,3,0)*0.475*44/12</f>
        <v>0.79032609041546364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8.3773698248494881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442.01983807226742</v>
      </c>
      <c r="AO145" s="62">
        <f t="shared" si="144"/>
        <v>276.48668026732219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101.4477365590615</v>
      </c>
      <c r="AV145" s="23">
        <f>EXP(-LN(2)/25)*AV144+(1-EXP(-LN(2)/25))/(LN(2)/25)*Calculateur!AQ145*Calculateur!AS145*VLOOKUP('Données projet'!$B$10,Paramètres!$A$1:$I$89,3,0)*0.475*44/12</f>
        <v>16.423652599101814</v>
      </c>
      <c r="AW145" s="23">
        <f>EXP(-LN(2)/2)*AW144+(1-EXP(-LN(2)/2))/(LN(2)/2)*AQ145*AT145*VLOOKUP('Données projet'!$B$10,Paramètres!$A$1:$I$89,3,0)*0.475*44/12</f>
        <v>2.0181867856281402E-5</v>
      </c>
      <c r="AX145" s="23">
        <f t="shared" si="114"/>
        <v>117.87140934003116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68.437645852898441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45">
      <c r="A146" s="11">
        <f t="shared" si="139"/>
        <v>143</v>
      </c>
      <c r="B146" s="77">
        <f>'Scénario référence'!$B$16*5+'Scénario référence'!$B$17*0+'Scénario référence'!$B$18*5</f>
        <v>3.75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13.75</v>
      </c>
      <c r="H146" s="70">
        <f t="shared" si="110"/>
        <v>201.66666666666666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159.64393915572111</v>
      </c>
      <c r="T146" s="62">
        <f t="shared" si="142"/>
        <v>389.58290705889829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7.4382664344415099</v>
      </c>
      <c r="AA146" s="23">
        <f>EXP(-LN(2)/25)*AA145+(1-EXP(-LN(2)/25))/(LN(2)/25)*Calculateur!V146*Calculateur!X146*VLOOKUP('Données projet'!$B$9,Paramètres!$A$1:$I$89,3,0)*0.475*44/12</f>
        <v>0.76871458191161002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8.2069810163531205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442.01983807226742</v>
      </c>
      <c r="AO146" s="62">
        <f t="shared" si="144"/>
        <v>276.48668026732219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99.458408322147761</v>
      </c>
      <c r="AV146" s="23">
        <f>EXP(-LN(2)/25)*AV145+(1-EXP(-LN(2)/25))/(LN(2)/25)*Calculateur!AQ146*Calculateur!AS146*VLOOKUP('Données projet'!$B$10,Paramètres!$A$1:$I$89,3,0)*0.475*44/12</f>
        <v>15.974546955097022</v>
      </c>
      <c r="AW146" s="23">
        <f>EXP(-LN(2)/2)*AW145+(1-EXP(-LN(2)/2))/(LN(2)/2)*AQ146*AT146*VLOOKUP('Données projet'!$B$10,Paramètres!$A$1:$I$89,3,0)*0.475*44/12</f>
        <v>1.4270735618187391E-5</v>
      </c>
      <c r="AX146" s="23">
        <f t="shared" si="114"/>
        <v>115.43296954798041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68.464749204450058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45">
      <c r="A147" s="11">
        <f t="shared" si="139"/>
        <v>144</v>
      </c>
      <c r="B147" s="77">
        <f>'Scénario référence'!$B$16*5+'Scénario référence'!$B$17*0+'Scénario référence'!$B$18*5</f>
        <v>3.75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13.75</v>
      </c>
      <c r="H147" s="70">
        <f t="shared" si="110"/>
        <v>201.66666666666666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159.64393915572111</v>
      </c>
      <c r="T147" s="62">
        <f t="shared" si="142"/>
        <v>389.58290705889829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7.2924065665566555</v>
      </c>
      <c r="AA147" s="23">
        <f>EXP(-LN(2)/25)*AA146+(1-EXP(-LN(2)/25))/(LN(2)/25)*Calculateur!V147*Calculateur!X147*VLOOKUP('Données projet'!$B$9,Paramètres!$A$1:$I$89,3,0)*0.475*44/12</f>
        <v>0.74769404124429406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8.0401006078009498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442.01983807226742</v>
      </c>
      <c r="AO147" s="62">
        <f t="shared" si="144"/>
        <v>276.48668026732219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97.508089598589478</v>
      </c>
      <c r="AV147" s="23">
        <f>EXP(-LN(2)/25)*AV146+(1-EXP(-LN(2)/25))/(LN(2)/25)*Calculateur!AQ147*Calculateur!AS147*VLOOKUP('Données projet'!$B$10,Paramètres!$A$1:$I$89,3,0)*0.475*44/12</f>
        <v>15.53772212854498</v>
      </c>
      <c r="AW147" s="23">
        <f>EXP(-LN(2)/2)*AW146+(1-EXP(-LN(2)/2))/(LN(2)/2)*AQ147*AT147*VLOOKUP('Données projet'!$B$10,Paramètres!$A$1:$I$89,3,0)*0.475*44/12</f>
        <v>1.0090933928140701E-5</v>
      </c>
      <c r="AX147" s="23">
        <f t="shared" si="114"/>
        <v>113.04582181806839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68.491382373446271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45">
      <c r="A148" s="11">
        <f t="shared" si="139"/>
        <v>145</v>
      </c>
      <c r="B148" s="77">
        <f>'Scénario référence'!$B$16*5+'Scénario référence'!$B$17*0+'Scénario référence'!$B$18*5</f>
        <v>3.75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13.75</v>
      </c>
      <c r="H148" s="70">
        <f t="shared" si="110"/>
        <v>201.66666666666666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159.64393915572111</v>
      </c>
      <c r="T148" s="62">
        <f t="shared" si="142"/>
        <v>389.58290705889829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7.1494069217152889</v>
      </c>
      <c r="AA148" s="23">
        <f>EXP(-LN(2)/25)*AA147+(1-EXP(-LN(2)/25))/(LN(2)/25)*Calculateur!V148*Calculateur!X148*VLOOKUP('Données projet'!$B$9,Paramètres!$A$1:$I$89,3,0)*0.475*44/12</f>
        <v>0.72724830836694809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7.8766552300822372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442.01983807226742</v>
      </c>
      <c r="AO148" s="62">
        <f t="shared" si="144"/>
        <v>276.48668026732219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95.596015435623215</v>
      </c>
      <c r="AV148" s="23">
        <f>EXP(-LN(2)/25)*AV147+(1-EXP(-LN(2)/25))/(LN(2)/25)*Calculateur!AQ148*Calculateur!AS148*VLOOKUP('Données projet'!$B$10,Paramètres!$A$1:$I$89,3,0)*0.475*44/12</f>
        <v>15.112842299846623</v>
      </c>
      <c r="AW148" s="23">
        <f>EXP(-LN(2)/2)*AW147+(1-EXP(-LN(2)/2))/(LN(2)/2)*AQ148*AT148*VLOOKUP('Données projet'!$B$10,Paramètres!$A$1:$I$89,3,0)*0.475*44/12</f>
        <v>7.1353678090936953E-6</v>
      </c>
      <c r="AX148" s="23">
        <f t="shared" si="114"/>
        <v>110.70886487083764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68.517553516503227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45">
      <c r="A149" s="11">
        <f t="shared" si="139"/>
        <v>146</v>
      </c>
      <c r="B149" s="77">
        <f>'Scénario référence'!$B$16*5+'Scénario référence'!$B$17*0+'Scénario référence'!$B$18*5</f>
        <v>3.75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13.75</v>
      </c>
      <c r="H149" s="70">
        <f t="shared" si="110"/>
        <v>201.66666666666666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159.64393915572111</v>
      </c>
      <c r="T149" s="62">
        <f t="shared" si="142"/>
        <v>389.58290705889829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7.0092114126880904</v>
      </c>
      <c r="AA149" s="23">
        <f>EXP(-LN(2)/25)*AA148+(1-EXP(-LN(2)/25))/(LN(2)/25)*Calculateur!V149*Calculateur!X149*VLOOKUP('Données projet'!$B$9,Paramètres!$A$1:$I$89,3,0)*0.475*44/12</f>
        <v>0.7073616651303275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7.7165730778184178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442.01983807226742</v>
      </c>
      <c r="AO149" s="62">
        <f t="shared" si="144"/>
        <v>276.48668026732219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93.721435880742646</v>
      </c>
      <c r="AV149" s="23">
        <f>EXP(-LN(2)/25)*AV148+(1-EXP(-LN(2)/25))/(LN(2)/25)*Calculateur!AQ149*Calculateur!AS149*VLOOKUP('Données projet'!$B$10,Paramètres!$A$1:$I$89,3,0)*0.475*44/12</f>
        <v>14.699580832407481</v>
      </c>
      <c r="AW149" s="23">
        <f>EXP(-LN(2)/2)*AW148+(1-EXP(-LN(2)/2))/(LN(2)/2)*AQ149*AT149*VLOOKUP('Données projet'!$B$10,Paramètres!$A$1:$I$89,3,0)*0.475*44/12</f>
        <v>5.0454669640703506E-6</v>
      </c>
      <c r="AX149" s="23">
        <f t="shared" si="114"/>
        <v>108.42102175861709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68.543270648738087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45">
      <c r="A150" s="11">
        <f t="shared" si="139"/>
        <v>147</v>
      </c>
      <c r="B150" s="77">
        <f>'Scénario référence'!$B$16*5+'Scénario référence'!$B$17*0+'Scénario référence'!$B$18*5</f>
        <v>3.75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13.75</v>
      </c>
      <c r="H150" s="70">
        <f t="shared" si="110"/>
        <v>201.66666666666666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159.64393915572111</v>
      </c>
      <c r="T150" s="62">
        <f t="shared" si="142"/>
        <v>389.58290705889829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6.8717650520820985</v>
      </c>
      <c r="AA150" s="23">
        <f>EXP(-LN(2)/25)*AA149+(1-EXP(-LN(2)/25))/(LN(2)/25)*Calculateur!V150*Calculateur!X150*VLOOKUP('Données projet'!$B$9,Paramètres!$A$1:$I$89,3,0)*0.475*44/12</f>
        <v>0.68801882319880547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7.5597838752809041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442.01983807226742</v>
      </c>
      <c r="AO150" s="62">
        <f t="shared" si="144"/>
        <v>276.48668026732219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91.883615687552648</v>
      </c>
      <c r="AV150" s="23">
        <f>EXP(-LN(2)/25)*AV149+(1-EXP(-LN(2)/25))/(LN(2)/25)*Calculateur!AQ150*Calculateur!AS150*VLOOKUP('Données projet'!$B$10,Paramètres!$A$1:$I$89,3,0)*0.475*44/12</f>
        <v>14.297620021527939</v>
      </c>
      <c r="AW150" s="23">
        <f>EXP(-LN(2)/2)*AW149+(1-EXP(-LN(2)/2))/(LN(2)/2)*AQ150*AT150*VLOOKUP('Données projet'!$B$10,Paramètres!$A$1:$I$89,3,0)*0.475*44/12</f>
        <v>3.5676839045468477E-6</v>
      </c>
      <c r="AX150" s="23">
        <f t="shared" si="114"/>
        <v>106.18123927676449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68.568541646223537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45">
      <c r="A151" s="11">
        <f t="shared" si="139"/>
        <v>148</v>
      </c>
      <c r="B151" s="77">
        <f>'Scénario référence'!$B$16*5+'Scénario référence'!$B$17*0+'Scénario référence'!$B$18*5</f>
        <v>3.75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13.75</v>
      </c>
      <c r="H151" s="70">
        <f t="shared" si="110"/>
        <v>201.66666666666666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159.64393915572111</v>
      </c>
      <c r="T151" s="62">
        <f t="shared" si="142"/>
        <v>389.58290705889829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6.7370139307735872</v>
      </c>
      <c r="AA151" s="23">
        <f>EXP(-LN(2)/25)*AA150+(1-EXP(-LN(2)/25))/(LN(2)/25)*Calculateur!V151*Calculateur!X151*VLOOKUP('Données projet'!$B$9,Paramètres!$A$1:$I$89,3,0)*0.475*44/12</f>
        <v>0.66920491229709667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7.4062188430706843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442.01983807226742</v>
      </c>
      <c r="AO151" s="62">
        <f t="shared" si="144"/>
        <v>276.48668026732219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90.08183402739148</v>
      </c>
      <c r="AV151" s="23">
        <f>EXP(-LN(2)/25)*AV150+(1-EXP(-LN(2)/25))/(LN(2)/25)*Calculateur!AQ151*Calculateur!AS151*VLOOKUP('Données projet'!$B$10,Paramètres!$A$1:$I$89,3,0)*0.475*44/12</f>
        <v>13.906650850160098</v>
      </c>
      <c r="AW151" s="23">
        <f>EXP(-LN(2)/2)*AW150+(1-EXP(-LN(2)/2))/(LN(2)/2)*AQ151*AT151*VLOOKUP('Données projet'!$B$10,Paramètres!$A$1:$I$89,3,0)*0.475*44/12</f>
        <v>2.5227334820351753E-6</v>
      </c>
      <c r="AX151" s="23">
        <f t="shared" si="114"/>
        <v>103.98848740028505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68.593374248400124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45">
      <c r="A152" s="11">
        <f t="shared" si="139"/>
        <v>149</v>
      </c>
      <c r="B152" s="77">
        <f>'Scénario référence'!$B$16*5+'Scénario référence'!$B$17*0+'Scénario référence'!$B$18*5</f>
        <v>3.75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13.75</v>
      </c>
      <c r="H152" s="70">
        <f t="shared" si="110"/>
        <v>201.66666666666666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159.64393915572111</v>
      </c>
      <c r="T152" s="62">
        <f t="shared" si="142"/>
        <v>389.58290705889829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6.6049051967638679</v>
      </c>
      <c r="AA152" s="23">
        <f>EXP(-LN(2)/25)*AA151+(1-EXP(-LN(2)/25))/(LN(2)/25)*Calculateur!V152*Calculateur!X152*VLOOKUP('Données projet'!$B$9,Paramètres!$A$1:$I$89,3,0)*0.475*44/12</f>
        <v>0.65090546877837574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7.2558106655422439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442.01983807226742</v>
      </c>
      <c r="AO152" s="62">
        <f t="shared" si="144"/>
        <v>276.48668026732219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88.315384206607774</v>
      </c>
      <c r="AV152" s="23">
        <f>EXP(-LN(2)/25)*AV151+(1-EXP(-LN(2)/25))/(LN(2)/25)*Calculateur!AQ152*Calculateur!AS152*VLOOKUP('Données projet'!$B$10,Paramètres!$A$1:$I$89,3,0)*0.475*44/12</f>
        <v>13.526372751343485</v>
      </c>
      <c r="AW152" s="23">
        <f>EXP(-LN(2)/2)*AW151+(1-EXP(-LN(2)/2))/(LN(2)/2)*AQ152*AT152*VLOOKUP('Données projet'!$B$10,Paramètres!$A$1:$I$89,3,0)*0.475*44/12</f>
        <v>1.7838419522734238E-6</v>
      </c>
      <c r="AX152" s="23">
        <f t="shared" si="114"/>
        <v>101.84175874179321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68.617776060446317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45">
      <c r="A153" s="11">
        <f>A152+1</f>
        <v>150</v>
      </c>
      <c r="B153" s="77">
        <f>'Scénario référence'!$B$16*5+'Scénario référence'!$B$17*0+'Scénario référence'!$B$18*5</f>
        <v>3.75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13.75</v>
      </c>
      <c r="H153" s="70">
        <f t="shared" si="110"/>
        <v>201.66666666666666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159.64393915572111</v>
      </c>
      <c r="T153" s="62">
        <f t="shared" si="142"/>
        <v>389.58290705889829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6.4753870344497075</v>
      </c>
      <c r="AA153" s="23">
        <f>EXP(-LN(2)/25)*AA152+(1-EXP(-LN(2)/25))/(LN(2)/25)*Calculateur!V153*Calculateur!X153*VLOOKUP('Données projet'!$B$9,Paramètres!$A$1:$I$89,3,0)*0.475*44/12</f>
        <v>0.6331064245050001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7.1084934589547073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442.01983807226742</v>
      </c>
      <c r="AO153" s="62">
        <f t="shared" si="144"/>
        <v>276.48668026732219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86.583573389381627</v>
      </c>
      <c r="AV153" s="23">
        <f>EXP(-LN(2)/25)*AV152+(1-EXP(-LN(2)/25))/(LN(2)/25)*Calculateur!AQ153*Calculateur!AS153*VLOOKUP('Données projet'!$B$10,Paramètres!$A$1:$I$89,3,0)*0.475*44/12</f>
        <v>13.15649337713697</v>
      </c>
      <c r="AW153" s="23">
        <f>EXP(-LN(2)/2)*AW152+(1-EXP(-LN(2)/2))/(LN(2)/2)*AQ153*AT153*VLOOKUP('Données projet'!$B$10,Paramètres!$A$1:$I$89,3,0)*0.475*44/12</f>
        <v>1.2613667410175876E-6</v>
      </c>
      <c r="AX153" s="23">
        <f t="shared" si="114"/>
        <v>99.740068027885343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68.64175455560779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45">
      <c r="A154" s="11">
        <f t="shared" ref="A154:A202" si="161">A153+1</f>
        <v>151</v>
      </c>
      <c r="B154" s="77">
        <f>'Scénario référence'!$B$16*5+'Scénario référence'!$B$17*0+'Scénario référence'!$B$18*5</f>
        <v>3.75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13.75</v>
      </c>
      <c r="H154" s="70">
        <f t="shared" si="110"/>
        <v>201.66666666666666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159.64393915572111</v>
      </c>
      <c r="T154" s="62">
        <f t="shared" si="142"/>
        <v>389.58290705889829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6.3484086443002496</v>
      </c>
      <c r="AA154" s="23">
        <f>EXP(-LN(2)/25)*AA153+(1-EXP(-LN(2)/25))/(LN(2)/25)*Calculateur!V154*Calculateur!X154*VLOOKUP('Données projet'!$B$9,Paramètres!$A$1:$I$89,3,0)*0.475*44/12</f>
        <v>0.61579409603329094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6.9642027403335405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442.01983807226742</v>
      </c>
      <c r="AO154" s="62">
        <f t="shared" si="144"/>
        <v>276.48668026732219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84.885722325980993</v>
      </c>
      <c r="AV154" s="23">
        <f>EXP(-LN(2)/25)*AV153+(1-EXP(-LN(2)/25))/(LN(2)/25)*Calculateur!AQ154*Calculateur!AS154*VLOOKUP('Données projet'!$B$10,Paramètres!$A$1:$I$89,3,0)*0.475*44/12</f>
        <v>12.796728373869243</v>
      </c>
      <c r="AW154" s="23">
        <f>EXP(-LN(2)/2)*AW153+(1-EXP(-LN(2)/2))/(LN(2)/2)*AQ154*AT154*VLOOKUP('Données projet'!$B$10,Paramètres!$A$1:$I$89,3,0)*0.475*44/12</f>
        <v>8.9192097613671191E-7</v>
      </c>
      <c r="AX154" s="23">
        <f t="shared" ref="AX154:AX203" si="166">SUM(AU154:AW154)</f>
        <v>97.682451591771212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68.665317077486094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45">
      <c r="A155" s="11">
        <f t="shared" si="161"/>
        <v>152</v>
      </c>
      <c r="B155" s="77">
        <f>'Scénario référence'!$B$16*5+'Scénario référence'!$B$17*0+'Scénario référence'!$B$18*5</f>
        <v>3.75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13.75</v>
      </c>
      <c r="H155" s="70">
        <f t="shared" si="110"/>
        <v>201.66666666666666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159.64393915572111</v>
      </c>
      <c r="T155" s="62">
        <f t="shared" si="142"/>
        <v>389.58290705889829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6.2239202229324517</v>
      </c>
      <c r="AA155" s="23">
        <f>EXP(-LN(2)/25)*AA154+(1-EXP(-LN(2)/25))/(LN(2)/25)*Calculateur!V155*Calculateur!X155*VLOOKUP('Données projet'!$B$9,Paramètres!$A$1:$I$89,3,0)*0.475*44/12</f>
        <v>0.59895517409405652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6.8228753970265084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442.01983807226742</v>
      </c>
      <c r="AO155" s="62">
        <f t="shared" si="144"/>
        <v>276.48668026732219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83.221165086346744</v>
      </c>
      <c r="AV155" s="23">
        <f>EXP(-LN(2)/25)*AV154+(1-EXP(-LN(2)/25))/(LN(2)/25)*Calculateur!AQ155*Calculateur!AS155*VLOOKUP('Données projet'!$B$10,Paramètres!$A$1:$I$89,3,0)*0.475*44/12</f>
        <v>12.44680116353509</v>
      </c>
      <c r="AW155" s="23">
        <f>EXP(-LN(2)/2)*AW154+(1-EXP(-LN(2)/2))/(LN(2)/2)*AQ155*AT155*VLOOKUP('Données projet'!$B$10,Paramètres!$A$1:$I$89,3,0)*0.475*44/12</f>
        <v>6.3068337050879382E-7</v>
      </c>
      <c r="AX155" s="23">
        <f t="shared" si="166"/>
        <v>95.667966880565203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68.688470842287714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45">
      <c r="A156" s="11">
        <f t="shared" si="161"/>
        <v>153</v>
      </c>
      <c r="B156" s="77">
        <f>'Scénario référence'!$B$16*5+'Scénario référence'!$B$17*0+'Scénario référence'!$B$18*5</f>
        <v>3.75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13.75</v>
      </c>
      <c r="H156" s="70">
        <f t="shared" si="110"/>
        <v>201.66666666666666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159.64393915572111</v>
      </c>
      <c r="T156" s="62">
        <f t="shared" si="142"/>
        <v>389.58290705889829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6.101872943577237</v>
      </c>
      <c r="AA156" s="23">
        <f>EXP(-LN(2)/25)*AA155+(1-EXP(-LN(2)/25))/(LN(2)/25)*Calculateur!V156*Calculateur!X156*VLOOKUP('Données projet'!$B$9,Paramètres!$A$1:$I$89,3,0)*0.475*44/12</f>
        <v>0.58257671336077088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6.6844496569380079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442.01983807226742</v>
      </c>
      <c r="AO156" s="62">
        <f t="shared" si="144"/>
        <v>276.48668026732219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81.589248798902062</v>
      </c>
      <c r="AV156" s="23">
        <f>EXP(-LN(2)/25)*AV155+(1-EXP(-LN(2)/25))/(LN(2)/25)*Calculateur!AQ156*Calculateur!AS156*VLOOKUP('Données projet'!$B$10,Paramètres!$A$1:$I$89,3,0)*0.475*44/12</f>
        <v>12.106442731169398</v>
      </c>
      <c r="AW156" s="23">
        <f>EXP(-LN(2)/2)*AW155+(1-EXP(-LN(2)/2))/(LN(2)/2)*AQ156*AT156*VLOOKUP('Données projet'!$B$10,Paramètres!$A$1:$I$89,3,0)*0.475*44/12</f>
        <v>4.4596048806835596E-7</v>
      </c>
      <c r="AX156" s="23">
        <f t="shared" si="166"/>
        <v>93.695691976031938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68.711222941034094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45">
      <c r="A157" s="11">
        <f t="shared" si="161"/>
        <v>154</v>
      </c>
      <c r="B157" s="77">
        <f>'Scénario référence'!$B$16*5+'Scénario référence'!$B$17*0+'Scénario référence'!$B$18*5</f>
        <v>3.75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13.75</v>
      </c>
      <c r="H157" s="70">
        <f t="shared" si="110"/>
        <v>201.66666666666666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159.64393915572111</v>
      </c>
      <c r="T157" s="62">
        <f t="shared" si="142"/>
        <v>389.58290705889829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5.982218936928688</v>
      </c>
      <c r="AA157" s="23">
        <f>EXP(-LN(2)/25)*AA156+(1-EXP(-LN(2)/25))/(LN(2)/25)*Calculateur!V157*Calculateur!X157*VLOOKUP('Données projet'!$B$9,Paramètres!$A$1:$I$89,3,0)*0.475*44/12</f>
        <v>0.56664612249754276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6.5488650594262303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442.01983807226742</v>
      </c>
      <c r="AO157" s="62">
        <f t="shared" si="144"/>
        <v>276.48668026732219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79.989333394483523</v>
      </c>
      <c r="AV157" s="23">
        <f>EXP(-LN(2)/25)*AV156+(1-EXP(-LN(2)/25))/(LN(2)/25)*Calculateur!AQ157*Calculateur!AS157*VLOOKUP('Données projet'!$B$10,Paramètres!$A$1:$I$89,3,0)*0.475*44/12</f>
        <v>11.775391418035417</v>
      </c>
      <c r="AW157" s="23">
        <f>EXP(-LN(2)/2)*AW156+(1-EXP(-LN(2)/2))/(LN(2)/2)*AQ157*AT157*VLOOKUP('Données projet'!$B$10,Paramètres!$A$1:$I$89,3,0)*0.475*44/12</f>
        <v>3.1534168525439691E-7</v>
      </c>
      <c r="AX157" s="23">
        <f t="shared" si="166"/>
        <v>91.764725127860615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68.733580341733287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45">
      <c r="A158" s="11">
        <f t="shared" si="161"/>
        <v>155</v>
      </c>
      <c r="B158" s="77">
        <f>'Scénario référence'!$B$16*5+'Scénario référence'!$B$17*0+'Scénario référence'!$B$18*5</f>
        <v>3.75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13.75</v>
      </c>
      <c r="H158" s="70">
        <f t="shared" si="110"/>
        <v>201.66666666666666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159.64393915572111</v>
      </c>
      <c r="T158" s="62">
        <f t="shared" si="142"/>
        <v>389.58290705889829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5.8649112723687793</v>
      </c>
      <c r="AA158" s="23">
        <f>EXP(-LN(2)/25)*AA157+(1-EXP(-LN(2)/25))/(LN(2)/25)*Calculateur!V158*Calculateur!X158*VLOOKUP('Données projet'!$B$9,Paramètres!$A$1:$I$89,3,0)*0.475*44/12</f>
        <v>0.55115115447922292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6.4160624268480024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442.01983807226742</v>
      </c>
      <c r="AO158" s="62">
        <f t="shared" si="144"/>
        <v>276.48668026732219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78.420791355293588</v>
      </c>
      <c r="AV158" s="23">
        <f>EXP(-LN(2)/25)*AV157+(1-EXP(-LN(2)/25))/(LN(2)/25)*Calculateur!AQ158*Calculateur!AS158*VLOOKUP('Données projet'!$B$10,Paramètres!$A$1:$I$89,3,0)*0.475*44/12</f>
        <v>11.453392720468317</v>
      </c>
      <c r="AW158" s="23">
        <f>EXP(-LN(2)/2)*AW157+(1-EXP(-LN(2)/2))/(LN(2)/2)*AQ158*AT158*VLOOKUP('Données projet'!$B$10,Paramètres!$A$1:$I$89,3,0)*0.475*44/12</f>
        <v>2.2298024403417798E-7</v>
      </c>
      <c r="AX158" s="23">
        <f t="shared" si="166"/>
        <v>89.874184298742151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68.755549891514022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45">
      <c r="A159" s="11">
        <f t="shared" si="161"/>
        <v>156</v>
      </c>
      <c r="B159" s="77">
        <f>'Scénario référence'!$B$16*5+'Scénario référence'!$B$17*0+'Scénario référence'!$B$18*5</f>
        <v>3.75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13.75</v>
      </c>
      <c r="H159" s="70">
        <f t="shared" si="110"/>
        <v>201.66666666666666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159.64393915572111</v>
      </c>
      <c r="T159" s="62">
        <f t="shared" si="142"/>
        <v>389.58290705889829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5.74990393956028</v>
      </c>
      <c r="AA159" s="23">
        <f>EXP(-LN(2)/25)*AA158+(1-EXP(-LN(2)/25))/(LN(2)/25)*Calculateur!V159*Calculateur!X159*VLOOKUP('Données projet'!$B$9,Paramètres!$A$1:$I$89,3,0)*0.475*44/12</f>
        <v>0.53607989717620907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6.2859838367364889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442.01983807226742</v>
      </c>
      <c r="AO159" s="62">
        <f t="shared" si="144"/>
        <v>276.48668026732219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76.883007468776</v>
      </c>
      <c r="AV159" s="23">
        <f>EXP(-LN(2)/25)*AV158+(1-EXP(-LN(2)/25))/(LN(2)/25)*Calculateur!AQ159*Calculateur!AS159*VLOOKUP('Données projet'!$B$10,Paramètres!$A$1:$I$89,3,0)*0.475*44/12</f>
        <v>11.140199094219366</v>
      </c>
      <c r="AW159" s="23">
        <f>EXP(-LN(2)/2)*AW158+(1-EXP(-LN(2)/2))/(LN(2)/2)*AQ159*AT159*VLOOKUP('Données projet'!$B$10,Paramètres!$A$1:$I$89,3,0)*0.475*44/12</f>
        <v>1.5767084262719846E-7</v>
      </c>
      <c r="AX159" s="23">
        <f t="shared" si="166"/>
        <v>88.023206720666209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68.777138318722606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45">
      <c r="A160" s="11">
        <f t="shared" si="161"/>
        <v>157</v>
      </c>
      <c r="B160" s="77">
        <f>'Scénario référence'!$B$16*5+'Scénario référence'!$B$17*0+'Scénario référence'!$B$18*5</f>
        <v>3.75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13.75</v>
      </c>
      <c r="H160" s="70">
        <f t="shared" si="110"/>
        <v>201.66666666666666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159.64393915572111</v>
      </c>
      <c r="T160" s="62">
        <f t="shared" si="142"/>
        <v>389.58290705889829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5.637151830400609</v>
      </c>
      <c r="AA160" s="23">
        <f>EXP(-LN(2)/25)*AA159+(1-EXP(-LN(2)/25))/(LN(2)/25)*Calculateur!V160*Calculateur!X160*VLOOKUP('Données projet'!$B$9,Paramètres!$A$1:$I$89,3,0)*0.475*44/12</f>
        <v>0.52142076419670902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6.1585725945973184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442.01983807226742</v>
      </c>
      <c r="AO160" s="62">
        <f t="shared" si="144"/>
        <v>276.48668026732219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75.375378586317467</v>
      </c>
      <c r="AV160" s="23">
        <f>EXP(-LN(2)/25)*AV159+(1-EXP(-LN(2)/25))/(LN(2)/25)*Calculateur!AQ160*Calculateur!AS160*VLOOKUP('Données projet'!$B$10,Paramètres!$A$1:$I$89,3,0)*0.475*44/12</f>
        <v>10.835569764150328</v>
      </c>
      <c r="AW160" s="23">
        <f>EXP(-LN(2)/2)*AW159+(1-EXP(-LN(2)/2))/(LN(2)/2)*AQ160*AT160*VLOOKUP('Données projet'!$B$10,Paramètres!$A$1:$I$89,3,0)*0.475*44/12</f>
        <v>1.1149012201708899E-7</v>
      </c>
      <c r="AX160" s="23">
        <f t="shared" si="166"/>
        <v>86.210948461957912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68.798352234983625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45">
      <c r="A161" s="11">
        <f t="shared" si="161"/>
        <v>158</v>
      </c>
      <c r="B161" s="77">
        <f>'Scénario référence'!$B$16*5+'Scénario référence'!$B$17*0+'Scénario référence'!$B$18*5</f>
        <v>3.75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13.75</v>
      </c>
      <c r="H161" s="70">
        <f t="shared" si="110"/>
        <v>201.66666666666666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159.64393915572111</v>
      </c>
      <c r="T161" s="62">
        <f t="shared" si="142"/>
        <v>389.58290705889829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5.526610721329563</v>
      </c>
      <c r="AA161" s="23">
        <f>EXP(-LN(2)/25)*AA160+(1-EXP(-LN(2)/25))/(LN(2)/25)*Calculateur!V161*Calculateur!X161*VLOOKUP('Données projet'!$B$9,Paramètres!$A$1:$I$89,3,0)*0.475*44/12</f>
        <v>0.50716248597942371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6.0337732073089869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442.01983807226742</v>
      </c>
      <c r="AO161" s="62">
        <f t="shared" si="144"/>
        <v>276.48668026732219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73.89731338668112</v>
      </c>
      <c r="AV161" s="23">
        <f>EXP(-LN(2)/25)*AV160+(1-EXP(-LN(2)/25))/(LN(2)/25)*Calculateur!AQ161*Calculateur!AS161*VLOOKUP('Données projet'!$B$10,Paramètres!$A$1:$I$89,3,0)*0.475*44/12</f>
        <v>10.539270539131788</v>
      </c>
      <c r="AW161" s="23">
        <f>EXP(-LN(2)/2)*AW160+(1-EXP(-LN(2)/2))/(LN(2)/2)*AQ161*AT161*VLOOKUP('Données projet'!$B$10,Paramètres!$A$1:$I$89,3,0)*0.475*44/12</f>
        <v>7.8835421313599228E-8</v>
      </c>
      <c r="AX161" s="23">
        <f t="shared" si="166"/>
        <v>84.436584004648338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68.819198137224731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45">
      <c r="A162" s="11">
        <f t="shared" si="161"/>
        <v>159</v>
      </c>
      <c r="B162" s="77">
        <f>'Scénario référence'!$B$16*5+'Scénario référence'!$B$17*0+'Scénario référence'!$B$18*5</f>
        <v>3.75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13.75</v>
      </c>
      <c r="H162" s="70">
        <f t="shared" si="110"/>
        <v>201.66666666666666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159.64393915572111</v>
      </c>
      <c r="T162" s="62">
        <f t="shared" si="142"/>
        <v>389.58290705889829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5.418237255983982</v>
      </c>
      <c r="AA162" s="23">
        <f>EXP(-LN(2)/25)*AA161+(1-EXP(-LN(2)/25))/(LN(2)/25)*Calculateur!V162*Calculateur!X162*VLOOKUP('Données projet'!$B$9,Paramètres!$A$1:$I$89,3,0)*0.475*44/12</f>
        <v>0.49329410112980038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5.9115313571137822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442.01983807226742</v>
      </c>
      <c r="AO162" s="62">
        <f t="shared" si="144"/>
        <v>276.48668026732219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72.448232144078887</v>
      </c>
      <c r="AV162" s="23">
        <f>EXP(-LN(2)/25)*AV161+(1-EXP(-LN(2)/25))/(LN(2)/25)*Calculateur!AQ162*Calculateur!AS162*VLOOKUP('Données projet'!$B$10,Paramètres!$A$1:$I$89,3,0)*0.475*44/12</f>
        <v>10.251073632003079</v>
      </c>
      <c r="AW162" s="23">
        <f>EXP(-LN(2)/2)*AW161+(1-EXP(-LN(2)/2))/(LN(2)/2)*AQ162*AT162*VLOOKUP('Données projet'!$B$10,Paramètres!$A$1:$I$89,3,0)*0.475*44/12</f>
        <v>5.5745061008544495E-8</v>
      </c>
      <c r="AX162" s="23">
        <f t="shared" si="166"/>
        <v>82.699305831827033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68.839682409666381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45">
      <c r="A163" s="11">
        <f t="shared" si="161"/>
        <v>160</v>
      </c>
      <c r="B163" s="77">
        <f>'Scénario référence'!$B$16*5+'Scénario référence'!$B$17*0+'Scénario référence'!$B$18*5</f>
        <v>3.75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13.75</v>
      </c>
      <c r="H163" s="70">
        <f t="shared" si="110"/>
        <v>201.66666666666666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159.64393915572111</v>
      </c>
      <c r="T163" s="62">
        <f t="shared" si="142"/>
        <v>389.58290705889829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5.3119889281925401</v>
      </c>
      <c r="AA163" s="23">
        <f>EXP(-LN(2)/25)*AA162+(1-EXP(-LN(2)/25))/(LN(2)/25)*Calculateur!V163*Calculateur!X163*VLOOKUP('Données projet'!$B$9,Paramètres!$A$1:$I$89,3,0)*0.475*44/12</f>
        <v>0.47980494799319667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5.7917938761857366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442.01983807226742</v>
      </c>
      <c r="AO163" s="62">
        <f t="shared" si="144"/>
        <v>276.48668026732219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71.027566500791806</v>
      </c>
      <c r="AV163" s="23">
        <f>EXP(-LN(2)/25)*AV162+(1-EXP(-LN(2)/25))/(LN(2)/25)*Calculateur!AQ163*Calculateur!AS163*VLOOKUP('Données projet'!$B$10,Paramètres!$A$1:$I$89,3,0)*0.475*44/12</f>
        <v>9.9707574844554223</v>
      </c>
      <c r="AW163" s="23">
        <f>EXP(-LN(2)/2)*AW162+(1-EXP(-LN(2)/2))/(LN(2)/2)*AQ163*AT163*VLOOKUP('Données projet'!$B$10,Paramètres!$A$1:$I$89,3,0)*0.475*44/12</f>
        <v>3.9417710656799614E-8</v>
      </c>
      <c r="AX163" s="23">
        <f t="shared" si="166"/>
        <v>80.998324024664939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68.859811325777173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45">
      <c r="A164" s="11">
        <f t="shared" si="161"/>
        <v>161</v>
      </c>
      <c r="B164" s="77">
        <f>'Scénario référence'!$B$16*5+'Scénario référence'!$B$17*0+'Scénario référence'!$B$18*5</f>
        <v>3.75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13.75</v>
      </c>
      <c r="H164" s="70">
        <f t="shared" si="110"/>
        <v>201.66666666666666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159.64393915572111</v>
      </c>
      <c r="T164" s="62">
        <f t="shared" si="142"/>
        <v>389.58290705889829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5.207824065304008</v>
      </c>
      <c r="AA164" s="23">
        <f>EXP(-LN(2)/25)*AA163+(1-EXP(-LN(2)/25))/(LN(2)/25)*Calculateur!V164*Calculateur!X164*VLOOKUP('Données projet'!$B$9,Paramètres!$A$1:$I$89,3,0)*0.475*44/12</f>
        <v>0.46668465645847712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5.6745087217624848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442.01983807226742</v>
      </c>
      <c r="AO164" s="62">
        <f t="shared" si="144"/>
        <v>276.48668026732219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69.634759244249096</v>
      </c>
      <c r="AV164" s="23">
        <f>EXP(-LN(2)/25)*AV163+(1-EXP(-LN(2)/25))/(LN(2)/25)*Calculateur!AQ164*Calculateur!AS164*VLOOKUP('Données projet'!$B$10,Paramètres!$A$1:$I$89,3,0)*0.475*44/12</f>
        <v>9.6981065967036404</v>
      </c>
      <c r="AW164" s="23">
        <f>EXP(-LN(2)/2)*AW163+(1-EXP(-LN(2)/2))/(LN(2)/2)*AQ164*AT164*VLOOKUP('Données projet'!$B$10,Paramètres!$A$1:$I$89,3,0)*0.475*44/12</f>
        <v>2.7872530504272247E-8</v>
      </c>
      <c r="AX164" s="23">
        <f t="shared" si="166"/>
        <v>79.332865868825266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68.879591050194932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45">
      <c r="A165" s="11">
        <f t="shared" si="161"/>
        <v>162</v>
      </c>
      <c r="B165" s="77">
        <f>'Scénario référence'!$B$16*5+'Scénario référence'!$B$17*0+'Scénario référence'!$B$18*5</f>
        <v>3.75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13.75</v>
      </c>
      <c r="H165" s="70">
        <f t="shared" si="110"/>
        <v>201.66666666666666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159.64393915572111</v>
      </c>
      <c r="T165" s="62">
        <f t="shared" si="142"/>
        <v>389.58290705889829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5.1057018118424269</v>
      </c>
      <c r="AA165" s="23">
        <f>EXP(-LN(2)/25)*AA164+(1-EXP(-LN(2)/25))/(LN(2)/25)*Calculateur!V165*Calculateur!X165*VLOOKUP('Données projet'!$B$9,Paramètres!$A$1:$I$89,3,0)*0.475*44/12</f>
        <v>0.45392313998574058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5.5596249518281677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442.01983807226742</v>
      </c>
      <c r="AO165" s="62">
        <f t="shared" si="144"/>
        <v>276.48668026732219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68.26926408847865</v>
      </c>
      <c r="AV165" s="23">
        <f>EXP(-LN(2)/25)*AV164+(1-EXP(-LN(2)/25))/(LN(2)/25)*Calculateur!AQ165*Calculateur!AS165*VLOOKUP('Données projet'!$B$10,Paramètres!$A$1:$I$89,3,0)*0.475*44/12</f>
        <v>9.4329113618155187</v>
      </c>
      <c r="AW165" s="23">
        <f>EXP(-LN(2)/2)*AW164+(1-EXP(-LN(2)/2))/(LN(2)/2)*AQ165*AT165*VLOOKUP('Données projet'!$B$10,Paramètres!$A$1:$I$89,3,0)*0.475*44/12</f>
        <v>1.9708855328399807E-8</v>
      </c>
      <c r="AX165" s="23">
        <f t="shared" si="166"/>
        <v>77.702175470003013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68.899027640614889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45">
      <c r="A166" s="11">
        <f t="shared" si="161"/>
        <v>163</v>
      </c>
      <c r="B166" s="77">
        <f>'Scénario référence'!$B$16*5+'Scénario référence'!$B$17*0+'Scénario référence'!$B$18*5</f>
        <v>3.75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13.75</v>
      </c>
      <c r="H166" s="70">
        <f t="shared" si="110"/>
        <v>201.66666666666666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159.64393915572111</v>
      </c>
      <c r="T166" s="62">
        <f t="shared" si="142"/>
        <v>389.58290705889829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5.0055821134828031</v>
      </c>
      <c r="AA166" s="23">
        <f>EXP(-LN(2)/25)*AA165+(1-EXP(-LN(2)/25))/(LN(2)/25)*Calculateur!V166*Calculateur!X166*VLOOKUP('Données projet'!$B$9,Paramètres!$A$1:$I$89,3,0)*0.475*44/12</f>
        <v>0.44151058785205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5.4470927013348529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442.01983807226742</v>
      </c>
      <c r="AO166" s="62">
        <f t="shared" si="144"/>
        <v>276.48668026732219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66.93054545984306</v>
      </c>
      <c r="AV166" s="23">
        <f>EXP(-LN(2)/25)*AV165+(1-EXP(-LN(2)/25))/(LN(2)/25)*Calculateur!AQ166*Calculateur!AS166*VLOOKUP('Données projet'!$B$10,Paramètres!$A$1:$I$89,3,0)*0.475*44/12</f>
        <v>9.1749679045714245</v>
      </c>
      <c r="AW166" s="23">
        <f>EXP(-LN(2)/2)*AW165+(1-EXP(-LN(2)/2))/(LN(2)/2)*AQ166*AT166*VLOOKUP('Données projet'!$B$10,Paramètres!$A$1:$I$89,3,0)*0.475*44/12</f>
        <v>1.3936265252136124E-8</v>
      </c>
      <c r="AX166" s="23">
        <f t="shared" si="166"/>
        <v>76.10551337835075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68.918127049644781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45">
      <c r="A167" s="11">
        <f t="shared" si="161"/>
        <v>164</v>
      </c>
      <c r="B167" s="77">
        <f>'Scénario référence'!$B$16*5+'Scénario référence'!$B$17*0+'Scénario référence'!$B$18*5</f>
        <v>3.75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13.75</v>
      </c>
      <c r="H167" s="70">
        <f t="shared" si="110"/>
        <v>201.66666666666666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159.64393915572111</v>
      </c>
      <c r="T167" s="62">
        <f t="shared" si="142"/>
        <v>389.58290705889829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4.9074257013410261</v>
      </c>
      <c r="AA167" s="23">
        <f>EXP(-LN(2)/25)*AA166+(1-EXP(-LN(2)/25))/(LN(2)/25)*Calculateur!V167*Calculateur!X167*VLOOKUP('Données projet'!$B$9,Paramètres!$A$1:$I$89,3,0)*0.475*44/12</f>
        <v>0.42943745760920293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5.3368631589502291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442.01983807226742</v>
      </c>
      <c r="AO167" s="62">
        <f t="shared" si="144"/>
        <v>276.48668026732219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65.618078286977266</v>
      </c>
      <c r="AV167" s="23">
        <f>EXP(-LN(2)/25)*AV166+(1-EXP(-LN(2)/25))/(LN(2)/25)*Calculateur!AQ167*Calculateur!AS167*VLOOKUP('Données projet'!$B$10,Paramètres!$A$1:$I$89,3,0)*0.475*44/12</f>
        <v>8.9240779247303266</v>
      </c>
      <c r="AW167" s="23">
        <f>EXP(-LN(2)/2)*AW166+(1-EXP(-LN(2)/2))/(LN(2)/2)*AQ167*AT167*VLOOKUP('Données projet'!$B$10,Paramètres!$A$1:$I$89,3,0)*0.475*44/12</f>
        <v>9.8544276641999034E-9</v>
      </c>
      <c r="AX167" s="23">
        <f t="shared" si="166"/>
        <v>74.542156221562024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68.936895126627874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45">
      <c r="A168" s="11">
        <f t="shared" si="161"/>
        <v>165</v>
      </c>
      <c r="B168" s="77">
        <f>'Scénario référence'!$B$16*5+'Scénario référence'!$B$17*0+'Scénario référence'!$B$18*5</f>
        <v>3.75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13.75</v>
      </c>
      <c r="H168" s="70">
        <f t="shared" si="110"/>
        <v>201.66666666666666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159.64393915572111</v>
      </c>
      <c r="T168" s="62">
        <f t="shared" si="142"/>
        <v>389.58290705889829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4.8111940765718488</v>
      </c>
      <c r="AA168" s="23">
        <f>EXP(-LN(2)/25)*AA167+(1-EXP(-LN(2)/25))/(LN(2)/25)*Calculateur!V168*Calculateur!X168*VLOOKUP('Données projet'!$B$9,Paramètres!$A$1:$I$89,3,0)*0.475*44/12</f>
        <v>0.41769446774774488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5.2288885443195934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442.01983807226742</v>
      </c>
      <c r="AO168" s="62">
        <f t="shared" si="144"/>
        <v>276.48668026732219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64.331347794845442</v>
      </c>
      <c r="AV168" s="23">
        <f>EXP(-LN(2)/25)*AV167+(1-EXP(-LN(2)/25))/(LN(2)/25)*Calculateur!AQ168*Calculateur!AS168*VLOOKUP('Données projet'!$B$10,Paramètres!$A$1:$I$89,3,0)*0.475*44/12</f>
        <v>8.6800485445817142</v>
      </c>
      <c r="AW168" s="23">
        <f>EXP(-LN(2)/2)*AW167+(1-EXP(-LN(2)/2))/(LN(2)/2)*AQ168*AT168*VLOOKUP('Données projet'!$B$10,Paramètres!$A$1:$I$89,3,0)*0.475*44/12</f>
        <v>6.9681326260680618E-9</v>
      </c>
      <c r="AX168" s="23">
        <f t="shared" si="166"/>
        <v>73.011396346395287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68.955337619434431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45">
      <c r="A169" s="11">
        <f t="shared" si="161"/>
        <v>166</v>
      </c>
      <c r="B169" s="77">
        <f>'Scénario référence'!$B$16*5+'Scénario référence'!$B$17*0+'Scénario référence'!$B$18*5</f>
        <v>3.75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13.75</v>
      </c>
      <c r="H169" s="70">
        <f t="shared" si="110"/>
        <v>201.66666666666666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159.64393915572111</v>
      </c>
      <c r="T169" s="62">
        <f t="shared" si="142"/>
        <v>389.58290705889829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4.7168494952689004</v>
      </c>
      <c r="AA169" s="23">
        <f>EXP(-LN(2)/25)*AA168+(1-EXP(-LN(2)/25))/(LN(2)/25)*Calculateur!V169*Calculateur!X169*VLOOKUP('Données projet'!$B$9,Paramètres!$A$1:$I$89,3,0)*0.475*44/12</f>
        <v>0.40627259056158538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5.1231220858304862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442.01983807226742</v>
      </c>
      <c r="AO169" s="62">
        <f t="shared" si="144"/>
        <v>276.48668026732219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63.069849302836225</v>
      </c>
      <c r="AV169" s="23">
        <f>EXP(-LN(2)/25)*AV168+(1-EXP(-LN(2)/25))/(LN(2)/25)*Calculateur!AQ169*Calculateur!AS169*VLOOKUP('Données projet'!$B$10,Paramètres!$A$1:$I$89,3,0)*0.475*44/12</f>
        <v>8.442692160666212</v>
      </c>
      <c r="AW169" s="23">
        <f>EXP(-LN(2)/2)*AW168+(1-EXP(-LN(2)/2))/(LN(2)/2)*AQ169*AT169*VLOOKUP('Données projet'!$B$10,Paramètres!$A$1:$I$89,3,0)*0.475*44/12</f>
        <v>4.9272138320999517E-9</v>
      </c>
      <c r="AX169" s="23">
        <f t="shared" si="166"/>
        <v>71.512541468429646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68.973460176222062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45">
      <c r="A170" s="11">
        <f t="shared" si="161"/>
        <v>167</v>
      </c>
      <c r="B170" s="77">
        <f>'Scénario référence'!$B$16*5+'Scénario référence'!$B$17*0+'Scénario référence'!$B$18*5</f>
        <v>3.75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13.75</v>
      </c>
      <c r="H170" s="70">
        <f t="shared" si="110"/>
        <v>201.66666666666666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159.64393915572111</v>
      </c>
      <c r="T170" s="62">
        <f t="shared" si="142"/>
        <v>389.58290705889829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4.6243549536607897</v>
      </c>
      <c r="AA170" s="23">
        <f>EXP(-LN(2)/25)*AA169+(1-EXP(-LN(2)/25))/(LN(2)/25)*Calculateur!V170*Calculateur!X170*VLOOKUP('Données projet'!$B$9,Paramètres!$A$1:$I$89,3,0)*0.475*44/12</f>
        <v>0.39516304520773182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5.0195179988685217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442.01983807226742</v>
      </c>
      <c r="AO170" s="62">
        <f t="shared" si="144"/>
        <v>276.48668026732219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61.833088026817201</v>
      </c>
      <c r="AV170" s="23">
        <f>EXP(-LN(2)/25)*AV169+(1-EXP(-LN(2)/25))/(LN(2)/25)*Calculateur!AQ170*Calculateur!AS170*VLOOKUP('Données projet'!$B$10,Paramètres!$A$1:$I$89,3,0)*0.475*44/12</f>
        <v>8.2118262995509106</v>
      </c>
      <c r="AW170" s="23">
        <f>EXP(-LN(2)/2)*AW169+(1-EXP(-LN(2)/2))/(LN(2)/2)*AQ170*AT170*VLOOKUP('Données projet'!$B$10,Paramètres!$A$1:$I$89,3,0)*0.475*44/12</f>
        <v>3.4840663130340309E-9</v>
      </c>
      <c r="AX170" s="23">
        <f t="shared" si="166"/>
        <v>70.044914329852176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68.991268347165374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45">
      <c r="A171" s="11">
        <f t="shared" si="161"/>
        <v>168</v>
      </c>
      <c r="B171" s="77">
        <f>'Scénario référence'!$B$16*5+'Scénario référence'!$B$17*0+'Scénario référence'!$B$18*5</f>
        <v>3.75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13.75</v>
      </c>
      <c r="H171" s="70">
        <f t="shared" si="110"/>
        <v>201.66666666666666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159.64393915572111</v>
      </c>
      <c r="T171" s="62">
        <f t="shared" si="142"/>
        <v>389.58290705889829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4.5336741735975146</v>
      </c>
      <c r="AA171" s="23">
        <f>EXP(-LN(2)/25)*AA170+(1-EXP(-LN(2)/25))/(LN(2)/25)*Calculateur!V171*Calculateur!X171*VLOOKUP('Données projet'!$B$9,Paramètres!$A$1:$I$89,3,0)*0.475*44/12</f>
        <v>0.38435729095580501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4.9180314645533194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442.01983807226742</v>
      </c>
      <c r="AO171" s="62">
        <f t="shared" si="144"/>
        <v>276.48668026732219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60.620578885071019</v>
      </c>
      <c r="AV171" s="23">
        <f>EXP(-LN(2)/25)*AV170+(1-EXP(-LN(2)/25))/(LN(2)/25)*Calculateur!AQ171*Calculateur!AS171*VLOOKUP('Données projet'!$B$10,Paramètres!$A$1:$I$89,3,0)*0.475*44/12</f>
        <v>7.9872734775485146</v>
      </c>
      <c r="AW171" s="23">
        <f>EXP(-LN(2)/2)*AW170+(1-EXP(-LN(2)/2))/(LN(2)/2)*AQ171*AT171*VLOOKUP('Données projet'!$B$10,Paramètres!$A$1:$I$89,3,0)*0.475*44/12</f>
        <v>2.4636069160499759E-9</v>
      </c>
      <c r="AX171" s="23">
        <f t="shared" si="166"/>
        <v>68.607852365083147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69.008767586155926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45">
      <c r="A172" s="11">
        <f t="shared" si="161"/>
        <v>169</v>
      </c>
      <c r="B172" s="77">
        <f>'Scénario référence'!$B$16*5+'Scénario référence'!$B$17*0+'Scénario référence'!$B$18*5</f>
        <v>3.75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13.75</v>
      </c>
      <c r="H172" s="70">
        <f t="shared" si="110"/>
        <v>201.66666666666666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159.64393915572111</v>
      </c>
      <c r="T172" s="62">
        <f t="shared" si="142"/>
        <v>389.58290705889829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4.4447715883214656</v>
      </c>
      <c r="AA172" s="23">
        <f>EXP(-LN(2)/25)*AA171+(1-EXP(-LN(2)/25))/(LN(2)/25)*Calculateur!V172*Calculateur!X172*VLOOKUP('Données projet'!$B$9,Paramètres!$A$1:$I$89,3,0)*0.475*44/12</f>
        <v>0.37384702062214703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4.8186186089436127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442.01983807226742</v>
      </c>
      <c r="AO172" s="62">
        <f t="shared" si="144"/>
        <v>276.48668026732219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59.431846308036931</v>
      </c>
      <c r="AV172" s="23">
        <f>EXP(-LN(2)/25)*AV171+(1-EXP(-LN(2)/25))/(LN(2)/25)*Calculateur!AQ172*Calculateur!AS172*VLOOKUP('Données projet'!$B$10,Paramètres!$A$1:$I$89,3,0)*0.475*44/12</f>
        <v>7.7688610642724933</v>
      </c>
      <c r="AW172" s="23">
        <f>EXP(-LN(2)/2)*AW171+(1-EXP(-LN(2)/2))/(LN(2)/2)*AQ172*AT172*VLOOKUP('Données projet'!$B$10,Paramètres!$A$1:$I$89,3,0)*0.475*44/12</f>
        <v>1.7420331565170155E-9</v>
      </c>
      <c r="AX172" s="23">
        <f t="shared" si="166"/>
        <v>67.200707374051461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69.025963252472451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45">
      <c r="A173" s="11">
        <f t="shared" si="161"/>
        <v>170</v>
      </c>
      <c r="B173" s="77">
        <f>'Scénario référence'!$B$16*5+'Scénario référence'!$B$17*0+'Scénario référence'!$B$18*5</f>
        <v>3.75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13.75</v>
      </c>
      <c r="H173" s="70">
        <f t="shared" si="110"/>
        <v>201.66666666666666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159.64393915572111</v>
      </c>
      <c r="T173" s="62">
        <f t="shared" si="142"/>
        <v>389.58290705889829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4.3576123285174573</v>
      </c>
      <c r="AA173" s="23">
        <f>EXP(-LN(2)/25)*AA172+(1-EXP(-LN(2)/25))/(LN(2)/25)*Calculateur!V173*Calculateur!X173*VLOOKUP('Données projet'!$B$9,Paramètres!$A$1:$I$89,3,0)*0.475*44/12</f>
        <v>0.36362415418347405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4.721236482700931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442.01983807226742</v>
      </c>
      <c r="AO173" s="62">
        <f t="shared" si="144"/>
        <v>276.48668026732219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58.266424051783197</v>
      </c>
      <c r="AV173" s="23">
        <f>EXP(-LN(2)/25)*AV172+(1-EXP(-LN(2)/25))/(LN(2)/25)*Calculateur!AQ173*Calculateur!AS173*VLOOKUP('Données projet'!$B$10,Paramètres!$A$1:$I$89,3,0)*0.475*44/12</f>
        <v>7.5564211499233149</v>
      </c>
      <c r="AW173" s="23">
        <f>EXP(-LN(2)/2)*AW172+(1-EXP(-LN(2)/2))/(LN(2)/2)*AQ173*AT173*VLOOKUP('Données projet'!$B$10,Paramètres!$A$1:$I$89,3,0)*0.475*44/12</f>
        <v>1.2318034580249879E-9</v>
      </c>
      <c r="AX173" s="23">
        <f t="shared" si="166"/>
        <v>65.822845202938311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69.042860612422103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45">
      <c r="A174" s="11">
        <f t="shared" si="161"/>
        <v>171</v>
      </c>
      <c r="B174" s="77">
        <f>'Scénario référence'!$B$16*5+'Scénario référence'!$B$17*0+'Scénario référence'!$B$18*5</f>
        <v>3.75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13.75</v>
      </c>
      <c r="H174" s="70">
        <f t="shared" si="110"/>
        <v>201.66666666666666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159.64393915572111</v>
      </c>
      <c r="T174" s="62">
        <f t="shared" si="142"/>
        <v>389.58290705889829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4.2721622086363062</v>
      </c>
      <c r="AA174" s="23">
        <f>EXP(-LN(2)/25)*AA173+(1-EXP(-LN(2)/25))/(LN(2)/25)*Calculateur!V174*Calculateur!X174*VLOOKUP('Données projet'!$B$9,Paramètres!$A$1:$I$89,3,0)*0.475*44/12</f>
        <v>0.35368083256516375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4.6258430412014704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442.01983807226742</v>
      </c>
      <c r="AO174" s="62">
        <f t="shared" si="144"/>
        <v>276.48668026732219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57.123855015137217</v>
      </c>
      <c r="AV174" s="23">
        <f>EXP(-LN(2)/25)*AV173+(1-EXP(-LN(2)/25))/(LN(2)/25)*Calculateur!AQ174*Calculateur!AS174*VLOOKUP('Données projet'!$B$10,Paramètres!$A$1:$I$89,3,0)*0.475*44/12</f>
        <v>7.349790416203744</v>
      </c>
      <c r="AW174" s="23">
        <f>EXP(-LN(2)/2)*AW173+(1-EXP(-LN(2)/2))/(LN(2)/2)*AQ174*AT174*VLOOKUP('Données projet'!$B$10,Paramètres!$A$1:$I$89,3,0)*0.475*44/12</f>
        <v>8.7101657825850773E-10</v>
      </c>
      <c r="AX174" s="23">
        <f t="shared" si="166"/>
        <v>64.473645432211967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69.059464840953481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45">
      <c r="A175" s="11">
        <f t="shared" si="161"/>
        <v>172</v>
      </c>
      <c r="B175" s="77">
        <f>'Scénario référence'!$B$16*5+'Scénario référence'!$B$17*0+'Scénario référence'!$B$18*5</f>
        <v>3.75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13.75</v>
      </c>
      <c r="H175" s="70">
        <f t="shared" si="110"/>
        <v>201.66666666666666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159.64393915572111</v>
      </c>
      <c r="T175" s="62">
        <f t="shared" si="142"/>
        <v>389.58290705889829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4.1883877134865983</v>
      </c>
      <c r="AA175" s="23">
        <f>EXP(-LN(2)/25)*AA174+(1-EXP(-LN(2)/25))/(LN(2)/25)*Calculateur!V175*Calculateur!X175*VLOOKUP('Données projet'!$B$9,Paramètres!$A$1:$I$89,3,0)*0.475*44/12</f>
        <v>0.34400941159940274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4.5323971250860007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442.01983807226742</v>
      </c>
      <c r="AO175" s="62">
        <f t="shared" si="144"/>
        <v>276.48668026732219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56.003691060401565</v>
      </c>
      <c r="AV175" s="23">
        <f>EXP(-LN(2)/25)*AV174+(1-EXP(-LN(2)/25))/(LN(2)/25)*Calculateur!AQ175*Calculateur!AS175*VLOOKUP('Données projet'!$B$10,Paramètres!$A$1:$I$89,3,0)*0.475*44/12</f>
        <v>7.1488100107639729</v>
      </c>
      <c r="AW175" s="23">
        <f>EXP(-LN(2)/2)*AW174+(1-EXP(-LN(2)/2))/(LN(2)/2)*AQ175*AT175*VLOOKUP('Données projet'!$B$10,Paramètres!$A$1:$I$89,3,0)*0.475*44/12</f>
        <v>6.1590172901249397E-10</v>
      </c>
      <c r="AX175" s="23">
        <f t="shared" si="166"/>
        <v>63.152501071781437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69.075781023241333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45">
      <c r="A176" s="11">
        <f t="shared" si="161"/>
        <v>173</v>
      </c>
      <c r="B176" s="77">
        <f>'Scénario référence'!$B$16*5+'Scénario référence'!$B$17*0+'Scénario référence'!$B$18*5</f>
        <v>3.75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13.75</v>
      </c>
      <c r="H176" s="70">
        <f t="shared" si="110"/>
        <v>201.66666666666666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159.64393915572111</v>
      </c>
      <c r="T176" s="62">
        <f t="shared" si="142"/>
        <v>389.58290705889829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4.1062559850893789</v>
      </c>
      <c r="AA176" s="23">
        <f>EXP(-LN(2)/25)*AA175+(1-EXP(-LN(2)/25))/(LN(2)/25)*Calculateur!V176*Calculateur!X176*VLOOKUP('Données projet'!$B$9,Paramètres!$A$1:$I$89,3,0)*0.475*44/12</f>
        <v>0.33460245614854833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4.4408584412379275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442.01983807226742</v>
      </c>
      <c r="AO176" s="62">
        <f t="shared" si="144"/>
        <v>276.48668026732219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54.905492837585726</v>
      </c>
      <c r="AV176" s="23">
        <f>EXP(-LN(2)/25)*AV175+(1-EXP(-LN(2)/25))/(LN(2)/25)*Calculateur!AQ176*Calculateur!AS176*VLOOKUP('Données projet'!$B$10,Paramètres!$A$1:$I$89,3,0)*0.475*44/12</f>
        <v>6.9533254250800525</v>
      </c>
      <c r="AW176" s="23">
        <f>EXP(-LN(2)/2)*AW175+(1-EXP(-LN(2)/2))/(LN(2)/2)*AQ176*AT176*VLOOKUP('Données projet'!$B$10,Paramètres!$A$1:$I$89,3,0)*0.475*44/12</f>
        <v>4.3550828912925386E-10</v>
      </c>
      <c r="AX176" s="23">
        <f t="shared" si="166"/>
        <v>61.858818263101284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69.091814156244013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45">
      <c r="A177" s="11">
        <f t="shared" si="161"/>
        <v>174</v>
      </c>
      <c r="B177" s="77">
        <f>'Scénario référence'!$B$16*5+'Scénario référence'!$B$17*0+'Scénario référence'!$B$18*5</f>
        <v>3.75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13.75</v>
      </c>
      <c r="H177" s="70">
        <f t="shared" si="110"/>
        <v>201.66666666666666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159.64393915572111</v>
      </c>
      <c r="T177" s="62">
        <f t="shared" si="142"/>
        <v>389.58290705889829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4.0257348097906211</v>
      </c>
      <c r="AA177" s="23">
        <f>EXP(-LN(2)/25)*AA176+(1-EXP(-LN(2)/25))/(LN(2)/25)*Calculateur!V177*Calculateur!X177*VLOOKUP('Données projet'!$B$9,Paramètres!$A$1:$I$89,3,0)*0.475*44/12</f>
        <v>0.32545273438918787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4.3511875441798091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442.01983807226742</v>
      </c>
      <c r="AO177" s="62">
        <f t="shared" si="144"/>
        <v>276.48668026732219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53.828829612084533</v>
      </c>
      <c r="AV177" s="23">
        <f>EXP(-LN(2)/25)*AV176+(1-EXP(-LN(2)/25))/(LN(2)/25)*Calculateur!AQ177*Calculateur!AS177*VLOOKUP('Données projet'!$B$10,Paramètres!$A$1:$I$89,3,0)*0.475*44/12</f>
        <v>6.7631863756717463</v>
      </c>
      <c r="AW177" s="23">
        <f>EXP(-LN(2)/2)*AW176+(1-EXP(-LN(2)/2))/(LN(2)/2)*AQ177*AT177*VLOOKUP('Données projet'!$B$10,Paramètres!$A$1:$I$89,3,0)*0.475*44/12</f>
        <v>3.0795086450624698E-10</v>
      </c>
      <c r="AX177" s="23">
        <f t="shared" si="166"/>
        <v>60.592015988064226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69.107569150233815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45">
      <c r="A178" s="11">
        <f t="shared" si="161"/>
        <v>175</v>
      </c>
      <c r="B178" s="77">
        <f>'Scénario référence'!$B$16*5+'Scénario référence'!$B$17*0+'Scénario référence'!$B$18*5</f>
        <v>3.75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13.75</v>
      </c>
      <c r="H178" s="70">
        <f t="shared" si="110"/>
        <v>201.66666666666666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159.64393915572111</v>
      </c>
      <c r="T178" s="62">
        <f t="shared" si="142"/>
        <v>389.58290705889829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3.9467926056264049</v>
      </c>
      <c r="AA178" s="23">
        <f>EXP(-LN(2)/25)*AA177+(1-EXP(-LN(2)/25))/(LN(2)/25)*Calculateur!V178*Calculateur!X178*VLOOKUP('Données projet'!$B$9,Paramètres!$A$1:$I$89,3,0)*0.475*44/12</f>
        <v>0.31655321225250005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4.2633458178789052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442.01983807226742</v>
      </c>
      <c r="AO178" s="62">
        <f t="shared" si="144"/>
        <v>276.48668026732219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52.773279095735695</v>
      </c>
      <c r="AV178" s="23">
        <f>EXP(-LN(2)/25)*AV177+(1-EXP(-LN(2)/25))/(LN(2)/25)*Calculateur!AQ178*Calculateur!AS178*VLOOKUP('Données projet'!$B$10,Paramètres!$A$1:$I$89,3,0)*0.475*44/12</f>
        <v>6.5782466885684885</v>
      </c>
      <c r="AW178" s="23">
        <f>EXP(-LN(2)/2)*AW177+(1-EXP(-LN(2)/2))/(LN(2)/2)*AQ178*AT178*VLOOKUP('Données projet'!$B$10,Paramètres!$A$1:$I$89,3,0)*0.475*44/12</f>
        <v>2.1775414456462693E-10</v>
      </c>
      <c r="AX178" s="23">
        <f t="shared" si="166"/>
        <v>59.351525784521939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69.12305083030077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45">
      <c r="A179" s="11">
        <f t="shared" si="161"/>
        <v>176</v>
      </c>
      <c r="B179" s="77">
        <f>'Scénario référence'!$B$16*5+'Scénario référence'!$B$17*0+'Scénario référence'!$B$18*5</f>
        <v>3.75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13.75</v>
      </c>
      <c r="H179" s="70">
        <f t="shared" si="110"/>
        <v>201.66666666666666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159.64393915572111</v>
      </c>
      <c r="T179" s="62">
        <f t="shared" si="142"/>
        <v>389.58290705889829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3.8693984099358589</v>
      </c>
      <c r="AA179" s="23">
        <f>EXP(-LN(2)/25)*AA178+(1-EXP(-LN(2)/25))/(LN(2)/25)*Calculateur!V179*Calculateur!X179*VLOOKUP('Données projet'!$B$9,Paramètres!$A$1:$I$89,3,0)*0.475*44/12</f>
        <v>0.30789704801664547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4.1772954579525043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442.01983807226742</v>
      </c>
      <c r="AO179" s="62">
        <f t="shared" si="144"/>
        <v>276.48668026732219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51.738427281190212</v>
      </c>
      <c r="AV179" s="23">
        <f>EXP(-LN(2)/25)*AV178+(1-EXP(-LN(2)/25))/(LN(2)/25)*Calculateur!AQ179*Calculateur!AS179*VLOOKUP('Données projet'!$B$10,Paramètres!$A$1:$I$89,3,0)*0.475*44/12</f>
        <v>6.3983641869346242</v>
      </c>
      <c r="AW179" s="23">
        <f>EXP(-LN(2)/2)*AW178+(1-EXP(-LN(2)/2))/(LN(2)/2)*AQ179*AT179*VLOOKUP('Données projet'!$B$10,Paramètres!$A$1:$I$89,3,0)*0.475*44/12</f>
        <v>1.5397543225312349E-10</v>
      </c>
      <c r="AX179" s="23">
        <f t="shared" si="166"/>
        <v>58.136791468278808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69.138263937830416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45">
      <c r="A180" s="11">
        <f t="shared" si="161"/>
        <v>177</v>
      </c>
      <c r="B180" s="77">
        <f>'Scénario référence'!$B$16*5+'Scénario référence'!$B$17*0+'Scénario référence'!$B$18*5</f>
        <v>3.75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13.75</v>
      </c>
      <c r="H180" s="70">
        <f t="shared" si="110"/>
        <v>201.66666666666666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159.64393915572111</v>
      </c>
      <c r="T180" s="62">
        <f t="shared" si="142"/>
        <v>389.58290705889829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3.7935218672170063</v>
      </c>
      <c r="AA180" s="23">
        <f>EXP(-LN(2)/25)*AA179+(1-EXP(-LN(2)/25))/(LN(2)/25)*Calculateur!V180*Calculateur!X180*VLOOKUP('Données projet'!$B$9,Paramètres!$A$1:$I$89,3,0)*0.475*44/12</f>
        <v>0.29947758704702826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4.0929994542640342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442.01983807226742</v>
      </c>
      <c r="AO180" s="62">
        <f t="shared" si="144"/>
        <v>276.48668026732219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50.723868279530684</v>
      </c>
      <c r="AV180" s="23">
        <f>EXP(-LN(2)/25)*AV179+(1-EXP(-LN(2)/25))/(LN(2)/25)*Calculateur!AQ180*Calculateur!AS180*VLOOKUP('Données projet'!$B$10,Paramètres!$A$1:$I$89,3,0)*0.475*44/12</f>
        <v>6.2234005817675477</v>
      </c>
      <c r="AW180" s="23">
        <f>EXP(-LN(2)/2)*AW179+(1-EXP(-LN(2)/2))/(LN(2)/2)*AQ180*AT180*VLOOKUP('Données projet'!$B$10,Paramètres!$A$1:$I$89,3,0)*0.475*44/12</f>
        <v>1.0887707228231347E-10</v>
      </c>
      <c r="AX180" s="23">
        <f t="shared" si="166"/>
        <v>56.94726886140711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69.153213131955852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45">
      <c r="A181" s="11">
        <f t="shared" si="161"/>
        <v>178</v>
      </c>
      <c r="B181" s="77">
        <f>'Scénario référence'!$B$16*5+'Scénario référence'!$B$17*0+'Scénario référence'!$B$18*5</f>
        <v>3.75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13.75</v>
      </c>
      <c r="H181" s="70">
        <f t="shared" si="110"/>
        <v>201.66666666666666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159.64393915572111</v>
      </c>
      <c r="T181" s="62">
        <f t="shared" si="142"/>
        <v>389.58290705889829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3.7191332172207492</v>
      </c>
      <c r="AA181" s="23">
        <f>EXP(-LN(2)/25)*AA180+(1-EXP(-LN(2)/25))/(LN(2)/25)*Calculateur!V181*Calculateur!X181*VLOOKUP('Données projet'!$B$9,Paramètres!$A$1:$I$89,3,0)*0.475*44/12</f>
        <v>0.29128835668038544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4.0104215739011346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442.01983807226742</v>
      </c>
      <c r="AO181" s="62">
        <f t="shared" si="144"/>
        <v>276.48668026732219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49.729204161073817</v>
      </c>
      <c r="AV181" s="23">
        <f>EXP(-LN(2)/25)*AV180+(1-EXP(-LN(2)/25))/(LN(2)/25)*Calculateur!AQ181*Calculateur!AS181*VLOOKUP('Données projet'!$B$10,Paramètres!$A$1:$I$89,3,0)*0.475*44/12</f>
        <v>6.0532213655847009</v>
      </c>
      <c r="AW181" s="23">
        <f>EXP(-LN(2)/2)*AW180+(1-EXP(-LN(2)/2))/(LN(2)/2)*AQ181*AT181*VLOOKUP('Données projet'!$B$10,Paramètres!$A$1:$I$89,3,0)*0.475*44/12</f>
        <v>7.6987716126561746E-11</v>
      </c>
      <c r="AX181" s="23">
        <f t="shared" si="166"/>
        <v>55.782425526735501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69.167902990984587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45">
      <c r="A182" s="11">
        <f t="shared" si="161"/>
        <v>179</v>
      </c>
      <c r="B182" s="77">
        <f>'Scénario référence'!$B$16*5+'Scénario référence'!$B$17*0+'Scénario référence'!$B$18*5</f>
        <v>3.75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13.75</v>
      </c>
      <c r="H182" s="70">
        <f t="shared" si="110"/>
        <v>201.66666666666666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159.64393915572111</v>
      </c>
      <c r="T182" s="62">
        <f t="shared" si="142"/>
        <v>389.58290705889829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3.6462032832783224</v>
      </c>
      <c r="AA182" s="23">
        <f>EXP(-LN(2)/25)*AA181+(1-EXP(-LN(2)/25))/(LN(2)/25)*Calculateur!V182*Calculateur!X182*VLOOKUP('Données projet'!$B$9,Paramètres!$A$1:$I$89,3,0)*0.475*44/12</f>
        <v>0.28332306124877138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3.929526344527094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442.01983807226742</v>
      </c>
      <c r="AO182" s="62">
        <f t="shared" si="144"/>
        <v>276.48668026732219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48.754044799294682</v>
      </c>
      <c r="AV182" s="23">
        <f>EXP(-LN(2)/25)*AV181+(1-EXP(-LN(2)/25))/(LN(2)/25)*Calculateur!AQ182*Calculateur!AS182*VLOOKUP('Données projet'!$B$10,Paramètres!$A$1:$I$89,3,0)*0.475*44/12</f>
        <v>5.8876957090177102</v>
      </c>
      <c r="AW182" s="23">
        <f>EXP(-LN(2)/2)*AW181+(1-EXP(-LN(2)/2))/(LN(2)/2)*AQ182*AT182*VLOOKUP('Données projet'!$B$10,Paramètres!$A$1:$I$89,3,0)*0.475*44/12</f>
        <v>5.4438536141156733E-11</v>
      </c>
      <c r="AX182" s="23">
        <f t="shared" si="166"/>
        <v>54.641740508366837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69.182338013800774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45">
      <c r="A183" s="11">
        <f t="shared" si="161"/>
        <v>180</v>
      </c>
      <c r="B183" s="77">
        <f>'Scénario référence'!$B$16*5+'Scénario référence'!$B$17*0+'Scénario référence'!$B$18*5</f>
        <v>3.75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13.75</v>
      </c>
      <c r="H183" s="70">
        <f t="shared" si="110"/>
        <v>201.66666666666666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159.64393915572111</v>
      </c>
      <c r="T183" s="62">
        <f t="shared" si="142"/>
        <v>389.58290705889829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3.5747034608576391</v>
      </c>
      <c r="AA183" s="23">
        <f>EXP(-LN(2)/25)*AA182+(1-EXP(-LN(2)/25))/(LN(2)/25)*Calculateur!V183*Calculateur!X183*VLOOKUP('Données projet'!$B$9,Paramètres!$A$1:$I$89,3,0)*0.475*44/12</f>
        <v>0.27557557723961146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3.8502790380972507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442.01983807226742</v>
      </c>
      <c r="AO183" s="62">
        <f t="shared" si="144"/>
        <v>276.48668026732219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47.798007717811551</v>
      </c>
      <c r="AV183" s="23">
        <f>EXP(-LN(2)/25)*AV182+(1-EXP(-LN(2)/25))/(LN(2)/25)*Calculateur!AQ183*Calculateur!AS183*VLOOKUP('Données projet'!$B$10,Paramètres!$A$1:$I$89,3,0)*0.475*44/12</f>
        <v>5.7266963602341603</v>
      </c>
      <c r="AW183" s="23">
        <f>EXP(-LN(2)/2)*AW182+(1-EXP(-LN(2)/2))/(LN(2)/2)*AQ183*AT183*VLOOKUP('Données projet'!$B$10,Paramètres!$A$1:$I$89,3,0)*0.475*44/12</f>
        <v>3.8493858063280873E-11</v>
      </c>
      <c r="AX183" s="23">
        <f t="shared" si="166"/>
        <v>53.524704078084206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69.196522621242991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45">
      <c r="A184" s="11">
        <f t="shared" si="161"/>
        <v>181</v>
      </c>
      <c r="B184" s="77">
        <f>'Scénario référence'!$B$16*5+'Scénario référence'!$B$17*0+'Scénario référence'!$B$18*5</f>
        <v>3.75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13.75</v>
      </c>
      <c r="H184" s="70">
        <f t="shared" si="110"/>
        <v>201.66666666666666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159.64393915572111</v>
      </c>
      <c r="T184" s="62">
        <f t="shared" si="142"/>
        <v>389.58290705889829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3.5046057063440399</v>
      </c>
      <c r="AA184" s="23">
        <f>EXP(-LN(2)/25)*AA183+(1-EXP(-LN(2)/25))/(LN(2)/25)*Calculateur!V184*Calculateur!X184*VLOOKUP('Données projet'!$B$9,Paramètres!$A$1:$I$89,3,0)*0.475*44/12</f>
        <v>0.26803994858810454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3.7726456549321443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442.01983807226742</v>
      </c>
      <c r="AO184" s="62">
        <f t="shared" si="144"/>
        <v>276.48668026732219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46.860717940371266</v>
      </c>
      <c r="AV184" s="23">
        <f>EXP(-LN(2)/25)*AV183+(1-EXP(-LN(2)/25))/(LN(2)/25)*Calculateur!AQ184*Calculateur!AS184*VLOOKUP('Données projet'!$B$10,Paramètres!$A$1:$I$89,3,0)*0.475*44/12</f>
        <v>5.5700995471096837</v>
      </c>
      <c r="AW184" s="23">
        <f>EXP(-LN(2)/2)*AW183+(1-EXP(-LN(2)/2))/(LN(2)/2)*AQ184*AT184*VLOOKUP('Données projet'!$B$10,Paramètres!$A$1:$I$89,3,0)*0.475*44/12</f>
        <v>2.7219268070578367E-11</v>
      </c>
      <c r="AX184" s="23">
        <f t="shared" si="166"/>
        <v>52.430817487508172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69.210461157458113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45">
      <c r="A185" s="11">
        <f t="shared" si="161"/>
        <v>182</v>
      </c>
      <c r="B185" s="77">
        <f>'Scénario référence'!$B$16*5+'Scénario référence'!$B$17*0+'Scénario référence'!$B$18*5</f>
        <v>3.75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13.75</v>
      </c>
      <c r="H185" s="70">
        <f t="shared" si="110"/>
        <v>201.66666666666666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159.64393915572111</v>
      </c>
      <c r="T185" s="62">
        <f t="shared" si="142"/>
        <v>389.58290705889829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3.4358825260410439</v>
      </c>
      <c r="AA185" s="23">
        <f>EXP(-LN(2)/25)*AA184+(1-EXP(-LN(2)/25))/(LN(2)/25)*Calculateur!V185*Calculateur!X185*VLOOKUP('Données projet'!$B$9,Paramètres!$A$1:$I$89,3,0)*0.475*44/12</f>
        <v>0.26071038209835451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3.6965929081393982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442.01983807226742</v>
      </c>
      <c r="AO185" s="62">
        <f t="shared" si="144"/>
        <v>276.48668026732219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45.941807843776267</v>
      </c>
      <c r="AV185" s="23">
        <f>EXP(-LN(2)/25)*AV184+(1-EXP(-LN(2)/25))/(LN(2)/25)*Calculateur!AQ185*Calculateur!AS185*VLOOKUP('Données projet'!$B$10,Paramètres!$A$1:$I$89,3,0)*0.475*44/12</f>
        <v>5.4177848820751651</v>
      </c>
      <c r="AW185" s="23">
        <f>EXP(-LN(2)/2)*AW184+(1-EXP(-LN(2)/2))/(LN(2)/2)*AQ185*AT185*VLOOKUP('Données projet'!$B$10,Paramètres!$A$1:$I$89,3,0)*0.475*44/12</f>
        <v>1.9246929031640436E-11</v>
      </c>
      <c r="AX185" s="23">
        <f t="shared" si="166"/>
        <v>51.359592725870684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69.224157891231812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45">
      <c r="A186" s="11">
        <f t="shared" si="161"/>
        <v>183</v>
      </c>
      <c r="B186" s="77">
        <f>'Scénario référence'!$B$16*5+'Scénario référence'!$B$17*0+'Scénario référence'!$B$18*5</f>
        <v>3.75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13.75</v>
      </c>
      <c r="H186" s="70">
        <f t="shared" si="110"/>
        <v>201.66666666666666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159.64393915572111</v>
      </c>
      <c r="T186" s="62">
        <f t="shared" si="142"/>
        <v>389.58290705889829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3.3685069653867887</v>
      </c>
      <c r="AA186" s="23">
        <f>EXP(-LN(2)/25)*AA185+(1-EXP(-LN(2)/25))/(LN(2)/25)*Calculateur!V186*Calculateur!X186*VLOOKUP('Données projet'!$B$9,Paramètres!$A$1:$I$89,3,0)*0.475*44/12</f>
        <v>0.25358124298971185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3.6220882083765007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442.01983807226742</v>
      </c>
      <c r="AO186" s="62">
        <f t="shared" si="144"/>
        <v>276.48668026732219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45.040917013695683</v>
      </c>
      <c r="AV186" s="23">
        <f>EXP(-LN(2)/25)*AV185+(1-EXP(-LN(2)/25))/(LN(2)/25)*Calculateur!AQ186*Calculateur!AS186*VLOOKUP('Données projet'!$B$10,Paramètres!$A$1:$I$89,3,0)*0.475*44/12</f>
        <v>5.269635269565895</v>
      </c>
      <c r="AW186" s="23">
        <f>EXP(-LN(2)/2)*AW185+(1-EXP(-LN(2)/2))/(LN(2)/2)*AQ186*AT186*VLOOKUP('Données projet'!$B$10,Paramètres!$A$1:$I$89,3,0)*0.475*44/12</f>
        <v>1.3609634035289183E-11</v>
      </c>
      <c r="AX186" s="23">
        <f t="shared" si="166"/>
        <v>50.310552283275186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69.237617017295833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45">
      <c r="A187" s="11">
        <f t="shared" si="161"/>
        <v>184</v>
      </c>
      <c r="B187" s="77">
        <f>'Scénario référence'!$B$16*5+'Scénario référence'!$B$17*0+'Scénario référence'!$B$18*5</f>
        <v>3.75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13.75</v>
      </c>
      <c r="H187" s="70">
        <f t="shared" si="110"/>
        <v>201.66666666666666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159.64393915572111</v>
      </c>
      <c r="T187" s="62">
        <f t="shared" si="142"/>
        <v>389.58290705889829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3.3024525983819291</v>
      </c>
      <c r="AA187" s="23">
        <f>EXP(-LN(2)/25)*AA186+(1-EXP(-LN(2)/25))/(LN(2)/25)*Calculateur!V187*Calculateur!X187*VLOOKUP('Données projet'!$B$9,Paramètres!$A$1:$I$89,3,0)*0.475*44/12</f>
        <v>0.24664705056490019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3.5490996489468292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442.01983807226742</v>
      </c>
      <c r="AO187" s="62">
        <f t="shared" si="144"/>
        <v>276.48668026732219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44.15769210330383</v>
      </c>
      <c r="AV187" s="23">
        <f>EXP(-LN(2)/25)*AV186+(1-EXP(-LN(2)/25))/(LN(2)/25)*Calculateur!AQ187*Calculateur!AS187*VLOOKUP('Données projet'!$B$10,Paramètres!$A$1:$I$89,3,0)*0.475*44/12</f>
        <v>5.1255368160015404</v>
      </c>
      <c r="AW187" s="23">
        <f>EXP(-LN(2)/2)*AW186+(1-EXP(-LN(2)/2))/(LN(2)/2)*AQ187*AT187*VLOOKUP('Données projet'!$B$10,Paramètres!$A$1:$I$89,3,0)*0.475*44/12</f>
        <v>9.6234645158202182E-12</v>
      </c>
      <c r="AX187" s="23">
        <f t="shared" si="166"/>
        <v>49.283228919314993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69.250842657612736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45">
      <c r="A188" s="11">
        <f t="shared" si="161"/>
        <v>185</v>
      </c>
      <c r="B188" s="77">
        <f>'Scénario référence'!$B$16*5+'Scénario référence'!$B$17*0+'Scénario référence'!$B$18*5</f>
        <v>3.75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13.75</v>
      </c>
      <c r="H188" s="70">
        <f t="shared" si="110"/>
        <v>201.66666666666666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159.64393915572111</v>
      </c>
      <c r="T188" s="62">
        <f t="shared" si="142"/>
        <v>389.58290705889829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3.2376935172248493</v>
      </c>
      <c r="AA188" s="23">
        <f>EXP(-LN(2)/25)*AA187+(1-EXP(-LN(2)/25))/(LN(2)/25)*Calculateur!V188*Calculateur!X188*VLOOKUP('Données projet'!$B$9,Paramètres!$A$1:$I$89,3,0)*0.475*44/12</f>
        <v>0.23990247399659834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3.4775959912214476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442.01983807226742</v>
      </c>
      <c r="AO188" s="62">
        <f t="shared" si="144"/>
        <v>276.48668026732219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43.291786694690757</v>
      </c>
      <c r="AV188" s="23">
        <f>EXP(-LN(2)/25)*AV187+(1-EXP(-LN(2)/25))/(LN(2)/25)*Calculateur!AQ188*Calculateur!AS188*VLOOKUP('Données projet'!$B$10,Paramètres!$A$1:$I$89,3,0)*0.475*44/12</f>
        <v>4.985378742227712</v>
      </c>
      <c r="AW188" s="23">
        <f>EXP(-LN(2)/2)*AW187+(1-EXP(-LN(2)/2))/(LN(2)/2)*AQ188*AT188*VLOOKUP('Données projet'!$B$10,Paramètres!$A$1:$I$89,3,0)*0.475*44/12</f>
        <v>6.8048170176445916E-12</v>
      </c>
      <c r="AX188" s="23">
        <f t="shared" si="166"/>
        <v>48.277165436925273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69.263838862638266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45">
      <c r="A189" s="11">
        <f t="shared" si="161"/>
        <v>186</v>
      </c>
      <c r="B189" s="77">
        <f>'Scénario référence'!$B$16*5+'Scénario référence'!$B$17*0+'Scénario référence'!$B$18*5</f>
        <v>3.75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13.75</v>
      </c>
      <c r="H189" s="70">
        <f t="shared" si="110"/>
        <v>201.66666666666666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159.64393915572111</v>
      </c>
      <c r="T189" s="62">
        <f t="shared" si="142"/>
        <v>389.58290705889829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3.1742043221501204</v>
      </c>
      <c r="AA189" s="23">
        <f>EXP(-LN(2)/25)*AA188+(1-EXP(-LN(2)/25))/(LN(2)/25)*Calculateur!V189*Calculateur!X189*VLOOKUP('Données projet'!$B$9,Paramètres!$A$1:$I$89,3,0)*0.475*44/12</f>
        <v>0.23334232822923856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3.4075466503793588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442.01983807226742</v>
      </c>
      <c r="AO189" s="62">
        <f t="shared" si="144"/>
        <v>276.48668026732219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42.44286116299044</v>
      </c>
      <c r="AV189" s="23">
        <f>EXP(-LN(2)/25)*AV188+(1-EXP(-LN(2)/25))/(LN(2)/25)*Calculateur!AQ189*Calculateur!AS189*VLOOKUP('Données projet'!$B$10,Paramètres!$A$1:$I$89,3,0)*0.475*44/12</f>
        <v>4.8490532983518211</v>
      </c>
      <c r="AW189" s="23">
        <f>EXP(-LN(2)/2)*AW188+(1-EXP(-LN(2)/2))/(LN(2)/2)*AQ189*AT189*VLOOKUP('Données projet'!$B$10,Paramètres!$A$1:$I$89,3,0)*0.475*44/12</f>
        <v>4.8117322579101091E-12</v>
      </c>
      <c r="AX189" s="23">
        <f t="shared" si="166"/>
        <v>47.291914461347069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69.276609612561742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45">
      <c r="A190" s="11">
        <f t="shared" si="161"/>
        <v>187</v>
      </c>
      <c r="B190" s="77">
        <f>'Scénario référence'!$B$16*5+'Scénario référence'!$B$17*0+'Scénario référence'!$B$18*5</f>
        <v>3.75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13.75</v>
      </c>
      <c r="H190" s="70">
        <f t="shared" si="110"/>
        <v>201.66666666666666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159.64393915572111</v>
      </c>
      <c r="T190" s="62">
        <f t="shared" si="142"/>
        <v>389.58290705889829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3.1119601114662219</v>
      </c>
      <c r="AA190" s="23">
        <f>EXP(-LN(2)/25)*AA189+(1-EXP(-LN(2)/25))/(LN(2)/25)*Calculateur!V190*Calculateur!X190*VLOOKUP('Données projet'!$B$9,Paramètres!$A$1:$I$89,3,0)*0.475*44/12</f>
        <v>0.22696156999287029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3.3389216814590923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442.01983807226742</v>
      </c>
      <c r="AO190" s="62">
        <f t="shared" si="144"/>
        <v>276.48668026732219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41.610582543173322</v>
      </c>
      <c r="AV190" s="23">
        <f>EXP(-LN(2)/25)*AV189+(1-EXP(-LN(2)/25))/(LN(2)/25)*Calculateur!AQ190*Calculateur!AS190*VLOOKUP('Données projet'!$B$10,Paramètres!$A$1:$I$89,3,0)*0.475*44/12</f>
        <v>4.7164556809077602</v>
      </c>
      <c r="AW190" s="23">
        <f>EXP(-LN(2)/2)*AW189+(1-EXP(-LN(2)/2))/(LN(2)/2)*AQ190*AT190*VLOOKUP('Données projet'!$B$10,Paramètres!$A$1:$I$89,3,0)*0.475*44/12</f>
        <v>3.4024085088222958E-12</v>
      </c>
      <c r="AX190" s="23">
        <f t="shared" si="166"/>
        <v>46.327038224084482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69.289158818525181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45">
      <c r="A191" s="11">
        <f t="shared" si="161"/>
        <v>188</v>
      </c>
      <c r="B191" s="77">
        <f>'Scénario référence'!$B$16*5+'Scénario référence'!$B$17*0+'Scénario référence'!$B$18*5</f>
        <v>3.75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13.75</v>
      </c>
      <c r="H191" s="70">
        <f t="shared" si="110"/>
        <v>201.66666666666666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159.64393915572111</v>
      </c>
      <c r="T191" s="62">
        <f t="shared" si="142"/>
        <v>389.58290705889829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3.0509364717886145</v>
      </c>
      <c r="AA191" s="23">
        <f>EXP(-LN(2)/25)*AA190+(1-EXP(-LN(2)/25))/(LN(2)/25)*Calculateur!V191*Calculateur!X191*VLOOKUP('Données projet'!$B$9,Paramètres!$A$1:$I$89,3,0)*0.475*44/12</f>
        <v>0.220755293926025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3.2716917657146394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442.01983807226742</v>
      </c>
      <c r="AO191" s="62">
        <f t="shared" si="144"/>
        <v>276.48668026732219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40.794624399450981</v>
      </c>
      <c r="AV191" s="23">
        <f>EXP(-LN(2)/25)*AV190+(1-EXP(-LN(2)/25))/(LN(2)/25)*Calculateur!AQ191*Calculateur!AS191*VLOOKUP('Données projet'!$B$10,Paramètres!$A$1:$I$89,3,0)*0.475*44/12</f>
        <v>4.5874839522857132</v>
      </c>
      <c r="AW191" s="23">
        <f>EXP(-LN(2)/2)*AW190+(1-EXP(-LN(2)/2))/(LN(2)/2)*AQ191*AT191*VLOOKUP('Données projet'!$B$10,Paramètres!$A$1:$I$89,3,0)*0.475*44/12</f>
        <v>2.4058661289550546E-12</v>
      </c>
      <c r="AX191" s="23">
        <f t="shared" si="166"/>
        <v>45.382108351739106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69.301490323820957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45">
      <c r="A192" s="11">
        <f t="shared" si="161"/>
        <v>189</v>
      </c>
      <c r="B192" s="77">
        <f>'Scénario référence'!$B$16*5+'Scénario référence'!$B$17*0+'Scénario référence'!$B$18*5</f>
        <v>3.75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13.75</v>
      </c>
      <c r="H192" s="70">
        <f t="shared" si="110"/>
        <v>201.66666666666666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159.64393915572111</v>
      </c>
      <c r="T192" s="62">
        <f t="shared" si="142"/>
        <v>389.58290705889829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2.99110946846434</v>
      </c>
      <c r="AA192" s="23">
        <f>EXP(-LN(2)/25)*AA191+(1-EXP(-LN(2)/25))/(LN(2)/25)*Calculateur!V192*Calculateur!X192*VLOOKUP('Données projet'!$B$9,Paramètres!$A$1:$I$89,3,0)*0.475*44/12</f>
        <v>0.21471872880460147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3.2058281972689415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442.01983807226742</v>
      </c>
      <c r="AO192" s="62">
        <f t="shared" si="144"/>
        <v>276.48668026732219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39.994666697241712</v>
      </c>
      <c r="AV192" s="23">
        <f>EXP(-LN(2)/25)*AV191+(1-EXP(-LN(2)/25))/(LN(2)/25)*Calculateur!AQ192*Calculateur!AS192*VLOOKUP('Données projet'!$B$10,Paramètres!$A$1:$I$89,3,0)*0.475*44/12</f>
        <v>4.4620389623651642</v>
      </c>
      <c r="AW192" s="23">
        <f>EXP(-LN(2)/2)*AW191+(1-EXP(-LN(2)/2))/(LN(2)/2)*AQ192*AT192*VLOOKUP('Données projet'!$B$10,Paramètres!$A$1:$I$89,3,0)*0.475*44/12</f>
        <v>1.7012042544111479E-12</v>
      </c>
      <c r="AX192" s="23">
        <f t="shared" si="166"/>
        <v>44.456705659608573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69.313607905068977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45">
      <c r="A193" s="11">
        <f t="shared" si="161"/>
        <v>190</v>
      </c>
      <c r="B193" s="77">
        <f>'Scénario référence'!$B$16*5+'Scénario référence'!$B$17*0+'Scénario référence'!$B$18*5</f>
        <v>3.75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13.75</v>
      </c>
      <c r="H193" s="70">
        <f t="shared" si="110"/>
        <v>201.66666666666666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159.64393915572111</v>
      </c>
      <c r="T193" s="62">
        <f t="shared" si="142"/>
        <v>389.58290705889829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2.9324556361843857</v>
      </c>
      <c r="AA193" s="23">
        <f>EXP(-LN(2)/25)*AA192+(1-EXP(-LN(2)/25))/(LN(2)/25)*Calculateur!V193*Calculateur!X193*VLOOKUP('Données projet'!$B$9,Paramètres!$A$1:$I$89,3,0)*0.475*44/12</f>
        <v>0.20884723387387244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3.1413028700582579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442.01983807226742</v>
      </c>
      <c r="AO193" s="62">
        <f t="shared" si="144"/>
        <v>276.48668026732219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39.210395677646744</v>
      </c>
      <c r="AV193" s="23">
        <f>EXP(-LN(2)/25)*AV192+(1-EXP(-LN(2)/25))/(LN(2)/25)*Calculateur!AQ193*Calculateur!AS193*VLOOKUP('Données projet'!$B$10,Paramètres!$A$1:$I$89,3,0)*0.475*44/12</f>
        <v>4.340024272290858</v>
      </c>
      <c r="AW193" s="23">
        <f>EXP(-LN(2)/2)*AW192+(1-EXP(-LN(2)/2))/(LN(2)/2)*AQ193*AT193*VLOOKUP('Données projet'!$B$10,Paramètres!$A$1:$I$89,3,0)*0.475*44/12</f>
        <v>1.2029330644775273E-12</v>
      </c>
      <c r="AX193" s="23">
        <f t="shared" si="166"/>
        <v>43.550419949938806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69.325515273373185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45">
      <c r="A194" s="11">
        <f t="shared" si="161"/>
        <v>191</v>
      </c>
      <c r="B194" s="77">
        <f>'Scénario référence'!$B$16*5+'Scénario référence'!$B$17*0+'Scénario référence'!$B$18*5</f>
        <v>3.75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13.75</v>
      </c>
      <c r="H194" s="70">
        <f t="shared" si="110"/>
        <v>201.66666666666666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159.64393915572111</v>
      </c>
      <c r="T194" s="62">
        <f t="shared" si="142"/>
        <v>389.58290705889829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2.8749519697801365</v>
      </c>
      <c r="AA194" s="23">
        <f>EXP(-LN(2)/25)*AA193+(1-EXP(-LN(2)/25))/(LN(2)/25)*Calculateur!V194*Calculateur!X194*VLOOKUP('Données projet'!$B$9,Paramètres!$A$1:$I$89,3,0)*0.475*44/12</f>
        <v>0.20313629528079269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3.0780882650609289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442.01983807226742</v>
      </c>
      <c r="AO194" s="62">
        <f t="shared" si="144"/>
        <v>276.48668026732219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38.44150373438795</v>
      </c>
      <c r="AV194" s="23">
        <f>EXP(-LN(2)/25)*AV193+(1-EXP(-LN(2)/25))/(LN(2)/25)*Calculateur!AQ194*Calculateur!AS194*VLOOKUP('Données projet'!$B$10,Paramètres!$A$1:$I$89,3,0)*0.475*44/12</f>
        <v>4.2213460803331069</v>
      </c>
      <c r="AW194" s="23">
        <f>EXP(-LN(2)/2)*AW193+(1-EXP(-LN(2)/2))/(LN(2)/2)*AQ194*AT194*VLOOKUP('Données projet'!$B$10,Paramètres!$A$1:$I$89,3,0)*0.475*44/12</f>
        <v>8.5060212720557395E-13</v>
      </c>
      <c r="AX194" s="23">
        <f t="shared" si="166"/>
        <v>42.662849814721909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69.337216075458215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45">
      <c r="A195" s="11">
        <f t="shared" si="161"/>
        <v>192</v>
      </c>
      <c r="B195" s="77">
        <f>'Scénario référence'!$B$16*5+'Scénario référence'!$B$17*0+'Scénario référence'!$B$18*5</f>
        <v>3.75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13.75</v>
      </c>
      <c r="H195" s="70">
        <f t="shared" si="110"/>
        <v>201.66666666666666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159.64393915572111</v>
      </c>
      <c r="T195" s="62">
        <f t="shared" si="142"/>
        <v>389.58290705889829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2.8185759152003009</v>
      </c>
      <c r="AA195" s="23">
        <f>EXP(-LN(2)/25)*AA194+(1-EXP(-LN(2)/25))/(LN(2)/25)*Calculateur!V195*Calculateur!X195*VLOOKUP('Données projet'!$B$9,Paramètres!$A$1:$I$89,3,0)*0.475*44/12</f>
        <v>0.19758152260386591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3.0161574378041669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442.01983807226742</v>
      </c>
      <c r="AO195" s="62">
        <f t="shared" si="144"/>
        <v>276.48668026732219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37.687689293158684</v>
      </c>
      <c r="AV195" s="23">
        <f>EXP(-LN(2)/25)*AV194+(1-EXP(-LN(2)/25))/(LN(2)/25)*Calculateur!AQ195*Calculateur!AS195*VLOOKUP('Données projet'!$B$10,Paramètres!$A$1:$I$89,3,0)*0.475*44/12</f>
        <v>4.1059131497754553</v>
      </c>
      <c r="AW195" s="23">
        <f>EXP(-LN(2)/2)*AW194+(1-EXP(-LN(2)/2))/(LN(2)/2)*AQ195*AT195*VLOOKUP('Données projet'!$B$10,Paramètres!$A$1:$I$89,3,0)*0.475*44/12</f>
        <v>6.0146653223876364E-13</v>
      </c>
      <c r="AX195" s="23">
        <f t="shared" si="166"/>
        <v>41.793602442934741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69.348713894786158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45">
      <c r="A196" s="11">
        <f t="shared" si="161"/>
        <v>193</v>
      </c>
      <c r="B196" s="77">
        <f>'Scénario référence'!$B$16*5+'Scénario référence'!$B$17*0+'Scénario référence'!$B$18*5</f>
        <v>3.75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13.75</v>
      </c>
      <c r="H196" s="70">
        <f t="shared" ref="H196:H203" si="192">(B196+E196+F196)*44/12+(C196+D196)*0.475*44/12</f>
        <v>201.66666666666666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159.64393915572111</v>
      </c>
      <c r="T196" s="62">
        <f t="shared" si="142"/>
        <v>389.58290705889829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2.7633053606647784</v>
      </c>
      <c r="AA196" s="23">
        <f>EXP(-LN(2)/25)*AA195+(1-EXP(-LN(2)/25))/(LN(2)/25)*Calculateur!V196*Calculateur!X196*VLOOKUP('Données projet'!$B$9,Paramètres!$A$1:$I$89,3,0)*0.475*44/12</f>
        <v>0.1921786454779025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2.9554840061426808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442.01983807226742</v>
      </c>
      <c r="AO196" s="62">
        <f t="shared" si="144"/>
        <v>276.48668026732219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36.94865669334051</v>
      </c>
      <c r="AV196" s="23">
        <f>EXP(-LN(2)/25)*AV195+(1-EXP(-LN(2)/25))/(LN(2)/25)*Calculateur!AQ196*Calculateur!AS196*VLOOKUP('Données projet'!$B$10,Paramètres!$A$1:$I$89,3,0)*0.475*44/12</f>
        <v>3.9936367387742573</v>
      </c>
      <c r="AW196" s="23">
        <f>EXP(-LN(2)/2)*AW195+(1-EXP(-LN(2)/2))/(LN(2)/2)*AQ196*AT196*VLOOKUP('Données projet'!$B$10,Paramètres!$A$1:$I$89,3,0)*0.475*44/12</f>
        <v>4.2530106360278698E-13</v>
      </c>
      <c r="AX196" s="23">
        <f t="shared" si="166"/>
        <v>40.942293432115193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69.360012252654016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45">
      <c r="A197" s="11">
        <f t="shared" si="161"/>
        <v>194</v>
      </c>
      <c r="B197" s="77">
        <f>'Scénario référence'!$B$16*5+'Scénario référence'!$B$17*0+'Scénario référence'!$B$18*5</f>
        <v>3.75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13.75</v>
      </c>
      <c r="H197" s="70">
        <f t="shared" si="192"/>
        <v>201.66666666666666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159.64393915572111</v>
      </c>
      <c r="T197" s="62">
        <f t="shared" ref="T197:T203" si="204">$T$3</f>
        <v>389.58290705889829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2.7091186279919879</v>
      </c>
      <c r="AA197" s="23">
        <f>EXP(-LN(2)/25)*AA196+(1-EXP(-LN(2)/25))/(LN(2)/25)*Calculateur!V197*Calculateur!X197*VLOOKUP('Données projet'!$B$9,Paramètres!$A$1:$I$89,3,0)*0.475*44/12</f>
        <v>0.18692351031107352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2.8960421383030615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442.01983807226742</v>
      </c>
      <c r="AO197" s="62">
        <f t="shared" ref="AO197:AO203" si="205">$AO$3</f>
        <v>276.48668026732219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36.224116072039394</v>
      </c>
      <c r="AV197" s="23">
        <f>EXP(-LN(2)/25)*AV196+(1-EXP(-LN(2)/25))/(LN(2)/25)*Calculateur!AQ197*Calculateur!AS197*VLOOKUP('Données projet'!$B$10,Paramètres!$A$1:$I$89,3,0)*0.475*44/12</f>
        <v>3.8844305321362467</v>
      </c>
      <c r="AW197" s="23">
        <f>EXP(-LN(2)/2)*AW196+(1-EXP(-LN(2)/2))/(LN(2)/2)*AQ197*AT197*VLOOKUP('Données projet'!$B$10,Paramètres!$A$1:$I$89,3,0)*0.475*44/12</f>
        <v>3.0073326611938182E-13</v>
      </c>
      <c r="AX197" s="23">
        <f t="shared" si="166"/>
        <v>40.108546604175942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69.371114609272212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45">
      <c r="A198" s="11">
        <f t="shared" si="161"/>
        <v>195</v>
      </c>
      <c r="B198" s="77">
        <f>'Scénario référence'!$B$16*5+'Scénario référence'!$B$17*0+'Scénario référence'!$B$18*5</f>
        <v>3.75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13.75</v>
      </c>
      <c r="H198" s="70">
        <f t="shared" si="192"/>
        <v>201.66666666666666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159.64393915572111</v>
      </c>
      <c r="T198" s="62">
        <f t="shared" si="204"/>
        <v>389.58290705889829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2.6559944640962674</v>
      </c>
      <c r="AA198" s="23">
        <f>EXP(-LN(2)/25)*AA197+(1-EXP(-LN(2)/25))/(LN(2)/25)*Calculateur!V198*Calculateur!X198*VLOOKUP('Données projet'!$B$9,Paramètres!$A$1:$I$89,3,0)*0.475*44/12</f>
        <v>0.18181207709173702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2.8378065411880042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442.01983807226742</v>
      </c>
      <c r="AO198" s="62">
        <f t="shared" si="205"/>
        <v>276.48668026732219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35.513783250395853</v>
      </c>
      <c r="AV198" s="23">
        <f>EXP(-LN(2)/25)*AV197+(1-EXP(-LN(2)/25))/(LN(2)/25)*Calculateur!AQ198*Calculateur!AS198*VLOOKUP('Données projet'!$B$10,Paramètres!$A$1:$I$89,3,0)*0.475*44/12</f>
        <v>3.7782105749616575</v>
      </c>
      <c r="AW198" s="23">
        <f>EXP(-LN(2)/2)*AW197+(1-EXP(-LN(2)/2))/(LN(2)/2)*AQ198*AT198*VLOOKUP('Données projet'!$B$10,Paramètres!$A$1:$I$89,3,0)*0.475*44/12</f>
        <v>2.1265053180139349E-13</v>
      </c>
      <c r="AX198" s="23">
        <f t="shared" si="166"/>
        <v>39.291993825357721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69.382024364824247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45">
      <c r="A199" s="11">
        <f t="shared" si="161"/>
        <v>196</v>
      </c>
      <c r="B199" s="77">
        <f>'Scénario référence'!$B$16*5+'Scénario référence'!$B$17*0+'Scénario référence'!$B$18*5</f>
        <v>3.75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13.75</v>
      </c>
      <c r="H199" s="70">
        <f t="shared" si="192"/>
        <v>201.66666666666666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159.64393915572111</v>
      </c>
      <c r="T199" s="62">
        <f t="shared" si="204"/>
        <v>389.58290705889829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2.6039120326520013</v>
      </c>
      <c r="AA199" s="23">
        <f>EXP(-LN(2)/25)*AA198+(1-EXP(-LN(2)/25))/(LN(2)/25)*Calculateur!V199*Calculateur!X199*VLOOKUP('Données projet'!$B$9,Paramètres!$A$1:$I$89,3,0)*0.475*44/12</f>
        <v>0.17684041628258187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2.7807524489345834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442.01983807226742</v>
      </c>
      <c r="AO199" s="62">
        <f t="shared" si="205"/>
        <v>276.48668026732219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34.817379622124498</v>
      </c>
      <c r="AV199" s="23">
        <f>EXP(-LN(2)/25)*AV198+(1-EXP(-LN(2)/25))/(LN(2)/25)*Calculateur!AQ199*Calculateur!AS199*VLOOKUP('Données projet'!$B$10,Paramètres!$A$1:$I$89,3,0)*0.475*44/12</f>
        <v>3.674895208101872</v>
      </c>
      <c r="AW199" s="23">
        <f>EXP(-LN(2)/2)*AW198+(1-EXP(-LN(2)/2))/(LN(2)/2)*AQ199*AT199*VLOOKUP('Données projet'!$B$10,Paramètres!$A$1:$I$89,3,0)*0.475*44/12</f>
        <v>1.5036663305969091E-13</v>
      </c>
      <c r="AX199" s="23">
        <f t="shared" si="166"/>
        <v>38.492274830226521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69.392744860508003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45">
      <c r="A200" s="11">
        <f t="shared" si="161"/>
        <v>197</v>
      </c>
      <c r="B200" s="77">
        <f>'Scénario référence'!$B$16*5+'Scénario référence'!$B$17*0+'Scénario référence'!$B$18*5</f>
        <v>3.75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13.75</v>
      </c>
      <c r="H200" s="70">
        <f t="shared" si="192"/>
        <v>201.66666666666666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159.64393915572111</v>
      </c>
      <c r="T200" s="62">
        <f t="shared" si="204"/>
        <v>389.58290705889829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2.5528509059212108</v>
      </c>
      <c r="AA200" s="23">
        <f>EXP(-LN(2)/25)*AA199+(1-EXP(-LN(2)/25))/(LN(2)/25)*Calculateur!V200*Calculateur!X200*VLOOKUP('Données projet'!$B$9,Paramètres!$A$1:$I$89,3,0)*0.475*44/12</f>
        <v>0.17200470579970137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2.724855611720912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442.01983807226742</v>
      </c>
      <c r="AO200" s="62">
        <f t="shared" si="205"/>
        <v>276.48668026732219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34.134632044239275</v>
      </c>
      <c r="AV200" s="23">
        <f>EXP(-LN(2)/25)*AV199+(1-EXP(-LN(2)/25))/(LN(2)/25)*Calculateur!AQ200*Calculateur!AS200*VLOOKUP('Données projet'!$B$10,Paramètres!$A$1:$I$89,3,0)*0.475*44/12</f>
        <v>3.5744050053819865</v>
      </c>
      <c r="AW200" s="23">
        <f>EXP(-LN(2)/2)*AW199+(1-EXP(-LN(2)/2))/(LN(2)/2)*AQ200*AT200*VLOOKUP('Données projet'!$B$10,Paramètres!$A$1:$I$89,3,0)*0.475*44/12</f>
        <v>1.0632526590069674E-13</v>
      </c>
      <c r="AX200" s="23">
        <f t="shared" si="166"/>
        <v>37.709037049621365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69.403279379559066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45">
      <c r="A201" s="11">
        <f>A200+1</f>
        <v>198</v>
      </c>
      <c r="B201" s="77">
        <f>'Scénario référence'!$B$16*5+'Scénario référence'!$B$17*0+'Scénario référence'!$B$18*5</f>
        <v>3.75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13.75</v>
      </c>
      <c r="H201" s="70">
        <f t="shared" si="192"/>
        <v>201.66666666666666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159.64393915572111</v>
      </c>
      <c r="T201" s="62">
        <f t="shared" si="204"/>
        <v>389.58290705889829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2.5027910567413989</v>
      </c>
      <c r="AA201" s="23">
        <f>EXP(-LN(2)/25)*AA200+(1-EXP(-LN(2)/25))/(LN(2)/25)*Calculateur!V201*Calculateur!X201*VLOOKUP('Données projet'!$B$9,Paramètres!$A$1:$I$89,3,0)*0.475*44/12</f>
        <v>0.16730122807427417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2.6700922848156732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442.01983807226742</v>
      </c>
      <c r="AO201" s="62">
        <f t="shared" si="205"/>
        <v>276.48668026732219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33.46527272992148</v>
      </c>
      <c r="AV201" s="23">
        <f>EXP(-LN(2)/25)*AV200+(1-EXP(-LN(2)/25))/(LN(2)/25)*Calculateur!AQ201*Calculateur!AS201*VLOOKUP('Données projet'!$B$10,Paramètres!$A$1:$I$89,3,0)*0.475*44/12</f>
        <v>3.4766627125400262</v>
      </c>
      <c r="AW201" s="23">
        <f>EXP(-LN(2)/2)*AW200+(1-EXP(-LN(2)/2))/(LN(2)/2)*AQ201*AT201*VLOOKUP('Données projet'!$B$10,Paramètres!$A$1:$I$89,3,0)*0.475*44/12</f>
        <v>7.5183316529845455E-14</v>
      </c>
      <c r="AX201" s="23">
        <f t="shared" si="166"/>
        <v>36.941935442461585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69.413631148256286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45">
      <c r="A202" s="11">
        <f t="shared" si="161"/>
        <v>199</v>
      </c>
      <c r="B202" s="77">
        <f>'Scénario référence'!$B$16*5+'Scénario référence'!$B$17*0+'Scénario référence'!$B$18*5</f>
        <v>3.75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13.75</v>
      </c>
      <c r="H202" s="70">
        <f t="shared" si="192"/>
        <v>201.66666666666666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159.64393915572111</v>
      </c>
      <c r="T202" s="62">
        <f t="shared" si="204"/>
        <v>389.58290705889829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2.4537128506705104</v>
      </c>
      <c r="AA202" s="23">
        <f>EXP(-LN(2)/25)*AA201+(1-EXP(-LN(2)/25))/(LN(2)/25)*Calculateur!V202*Calculateur!X202*VLOOKUP('Données projet'!$B$9,Paramètres!$A$1:$I$89,3,0)*0.475*44/12</f>
        <v>0.16272636719459393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2.6164392178651044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442.01983807226742</v>
      </c>
      <c r="AO202" s="62">
        <f t="shared" si="205"/>
        <v>276.48668026732219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32.80903914348859</v>
      </c>
      <c r="AV202" s="23">
        <f>EXP(-LN(2)/25)*AV201+(1-EXP(-LN(2)/25))/(LN(2)/25)*Calculateur!AQ202*Calculateur!AS202*VLOOKUP('Données projet'!$B$10,Paramètres!$A$1:$I$89,3,0)*0.475*44/12</f>
        <v>3.3815931878358731</v>
      </c>
      <c r="AW202" s="23">
        <f>EXP(-LN(2)/2)*AW201+(1-EXP(-LN(2)/2))/(LN(2)/2)*AQ202*AT202*VLOOKUP('Données projet'!$B$10,Paramètres!$A$1:$I$89,3,0)*0.475*44/12</f>
        <v>5.3162632950348372E-14</v>
      </c>
      <c r="AX202" s="23">
        <f t="shared" si="166"/>
        <v>36.190632331324515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69.423803336909657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4.65" thickBot="1" x14ac:dyDescent="0.5">
      <c r="A203" s="11">
        <f>A202+1</f>
        <v>200</v>
      </c>
      <c r="B203" s="77">
        <f>'Scénario référence'!$B$16*5+'Scénario référence'!$B$17*0+'Scénario référence'!$B$18*5</f>
        <v>3.75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51.25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13.75</v>
      </c>
      <c r="H203" s="70">
        <f t="shared" si="192"/>
        <v>201.66666666666666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159.64393915572111</v>
      </c>
      <c r="T203" s="62">
        <f t="shared" si="204"/>
        <v>389.58290705889829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2.4055970382859218</v>
      </c>
      <c r="AA203" s="23">
        <f>EXP(-LN(2)/25)*AA202+(1-EXP(-LN(2)/25))/(LN(2)/25)*Calculateur!V203*Calculateur!X203*VLOOKUP('Données projet'!$B$9,Paramètres!$A$1:$I$89,3,0)*0.475*44/12</f>
        <v>0.15827660612625002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2.5638736444121717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442.01983807226742</v>
      </c>
      <c r="AO203" s="62">
        <f t="shared" si="205"/>
        <v>276.48668026732219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32.165673897422678</v>
      </c>
      <c r="AV203" s="23">
        <f>EXP(-LN(2)/25)*AV202+(1-EXP(-LN(2)/25))/(LN(2)/25)*Calculateur!AQ203*Calculateur!AS203*VLOOKUP('Données projet'!$B$10,Paramètres!$A$1:$I$89,3,0)*0.475*44/12</f>
        <v>3.2891233442842442</v>
      </c>
      <c r="AW203" s="23">
        <f>EXP(-LN(2)/2)*AW202+(1-EXP(-LN(2)/2))/(LN(2)/2)*AQ203*AT203*VLOOKUP('Données projet'!$B$10,Paramètres!$A$1:$I$89,3,0)*0.475*44/12</f>
        <v>3.7591658264922727E-14</v>
      </c>
      <c r="AX203" s="23">
        <f t="shared" si="166"/>
        <v>35.454797241706956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69.433799060831532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4.65" thickBot="1" x14ac:dyDescent="0.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4.65" thickBot="1" x14ac:dyDescent="0.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1.8165784662726498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5" bestFit="1" customWidth="1"/>
    <col min="2" max="2" width="27.73046875" style="5" bestFit="1" customWidth="1"/>
    <col min="3" max="3" width="11.86328125" style="5" bestFit="1" customWidth="1"/>
    <col min="4" max="4" width="40" style="5" bestFit="1" customWidth="1"/>
    <col min="5" max="5" width="11.86328125" style="5" bestFit="1" customWidth="1"/>
    <col min="6" max="6" width="13.73046875" style="5" bestFit="1" customWidth="1"/>
    <col min="7" max="7" width="11.3984375" style="5" bestFit="1" customWidth="1"/>
    <col min="8" max="8" width="39" style="5" bestFit="1" customWidth="1"/>
    <col min="9" max="9" width="16.73046875" style="5" customWidth="1"/>
    <col min="10" max="14" width="11.3984375" style="5"/>
    <col min="15" max="15" width="23.3984375" style="5" bestFit="1" customWidth="1"/>
    <col min="16" max="16384" width="11.3984375" style="5"/>
  </cols>
  <sheetData>
    <row r="1" spans="1:16" ht="43.15" thickBot="1" x14ac:dyDescent="0.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4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4.65" thickBot="1" x14ac:dyDescent="0.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4.65" thickBot="1" x14ac:dyDescent="0.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4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4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4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4.65" thickBot="1" x14ac:dyDescent="0.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4.65" thickBot="1" x14ac:dyDescent="0.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4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4.65" thickBot="1" x14ac:dyDescent="0.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4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4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4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4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4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4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4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4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4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4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4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4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4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4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4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4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4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4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4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4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4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4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4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4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4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4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4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4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4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4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4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4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4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4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4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4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4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4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4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4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4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4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4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4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4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4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4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4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4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4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4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4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4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4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4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4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4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4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4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4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4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4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4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4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4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4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4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4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4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4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4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4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4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4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4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4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4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4.65" thickBot="1" x14ac:dyDescent="0.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45">
      <c r="A93" s="131" t="s">
        <v>208</v>
      </c>
    </row>
    <row r="94" spans="1:14" x14ac:dyDescent="0.45">
      <c r="A94" s="131" t="s">
        <v>209</v>
      </c>
    </row>
    <row r="95" spans="1:14" x14ac:dyDescent="0.4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7" workbookViewId="0">
      <selection activeCell="I20" sqref="I20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5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5.9" thickBot="1" x14ac:dyDescent="0.8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4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4.65" thickBot="1" x14ac:dyDescent="0.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7.4" thickBot="1" x14ac:dyDescent="0.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45">
      <c r="A6" s="154" t="str">
        <f>IF('Données projet'!$B$9="","",'Données projet'!$B$9)</f>
        <v>Peuplier Koster</v>
      </c>
      <c r="B6" s="155">
        <f>'Données projet'!D9</f>
        <v>5.6627999999999998</v>
      </c>
      <c r="C6" s="156">
        <f ca="1">IF(OR('Données projet'!B9="",'Données projet'!C9="",'Données projet'!C9=0%),0,Calculateur!S3)</f>
        <v>159.64393915572111</v>
      </c>
      <c r="D6" s="156">
        <f>IF(OR('Données projet'!B9="",'Données projet'!C9="",'Données projet'!C9=0%),0,Calculateur!T3)</f>
        <v>389.58290705889829</v>
      </c>
      <c r="E6" s="156">
        <f ca="1">MIN(C6,D6)</f>
        <v>159.64393915572111</v>
      </c>
      <c r="F6" s="156">
        <f ca="1">E6*B6</f>
        <v>904.03169865101745</v>
      </c>
      <c r="G6" s="156">
        <f ca="1">F6*(100%-'Données projet'!$C$24)*(100%-'Données projet'!$C$25)*(100%-'Données projet'!$C$26)*(100%-'Données projet'!$C$27)</f>
        <v>813.62852878591571</v>
      </c>
      <c r="H6" s="157">
        <f>IF(OR('Données projet'!B9="",'Données projet'!C9="",'Données projet'!C9=0%),0,AVERAGE(Calculateur!$AC$3:$AC$33)*B6)</f>
        <v>176.07269193612785</v>
      </c>
      <c r="I6" s="158">
        <f>H6*(100%-'Données projet'!$C$24)*(100%-'Données projet'!$C$25)*(100%-'Données projet'!$C$26)*(100%-'Données projet'!$C$27)</f>
        <v>158.46542274251507</v>
      </c>
      <c r="J6" s="159">
        <f>IF(OR('Données projet'!B9="",'Données projet'!C9="",'Données projet'!C9=0%),0,SUM(Calculateur!$V$3:$V$33)*VLOOKUP('Données projet'!$B$9,Paramètres!$A$1:$I$89,9,0)*B6)</f>
        <v>1871.1708815257202</v>
      </c>
      <c r="K6" s="160">
        <f>J6*(100%-'Données projet'!$C$24)*(100%-'Données projet'!$C$25)*(100%-'Données projet'!$C$26)*(100%-'Données projet'!$C$27)</f>
        <v>1684.0537933731482</v>
      </c>
      <c r="L6" s="161">
        <f ca="1">G6+I6+K6</f>
        <v>2656.1477449015792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45">
      <c r="A7" s="162" t="str">
        <f>IF('Données projet'!$B$10="","",'Données projet'!$B$10)</f>
        <v>Cèdre de l'Atlas</v>
      </c>
      <c r="B7" s="163">
        <f>'Données projet'!D10</f>
        <v>1.5972</v>
      </c>
      <c r="C7" s="156">
        <f ca="1">IF(OR('Données projet'!B10="",'Données projet'!C10="",'Données projet'!C10=0%),0,Calculateur!AN3)</f>
        <v>442.01983807226742</v>
      </c>
      <c r="D7" s="156">
        <f>IF(OR('Données projet'!B10="",'Données projet'!C10="",'Données projet'!C10=0%),0,Calculateur!AO3)</f>
        <v>276.48668026732219</v>
      </c>
      <c r="E7" s="156">
        <f t="shared" ref="E7:E15" ca="1" si="0">MIN(C7,D7)</f>
        <v>276.48668026732219</v>
      </c>
      <c r="F7" s="156">
        <f t="shared" ref="F7:F15" ca="1" si="1">E7*B7</f>
        <v>441.60452572296697</v>
      </c>
      <c r="G7" s="156">
        <f ca="1">F7*(100%-'Données projet'!$C$24)*(100%-'Données projet'!$C$25)*(100%-'Données projet'!$C$26)*(100%-'Données projet'!$C$27)</f>
        <v>397.44407315067031</v>
      </c>
      <c r="H7" s="164">
        <f>IF(OR('Données projet'!B10="",'Données projet'!C10="",'Données projet'!C10=0%),0,AVERAGE(Calculateur!$AX$3:$AX$33)*B7)</f>
        <v>4.9348989821647926</v>
      </c>
      <c r="I7" s="158">
        <f>H7*(100%-'Données projet'!$C$24)*(100%-'Données projet'!$C$25)*(100%-'Données projet'!$C$26)*(100%-'Données projet'!$C$27)</f>
        <v>4.4414090839483134</v>
      </c>
      <c r="J7" s="159">
        <f>IF(OR('Données projet'!B10="",'Données projet'!C10="",'Données projet'!C10=0%),0,SUM(Calculateur!$AQ$3:$AQ$33)*VLOOKUP('Données projet'!$B$10,Paramètres!$A$1:$I$89,9,0)*B7)</f>
        <v>46.702127999999995</v>
      </c>
      <c r="K7" s="160">
        <f>J7*(100%-'Données projet'!$C$24)*(100%-'Données projet'!$C$25)*(100%-'Données projet'!$C$26)*(100%-'Données projet'!$C$27)</f>
        <v>42.031915199999993</v>
      </c>
      <c r="L7" s="161">
        <f t="shared" ref="L7:L15" ca="1" si="2">G7+I7+K7</f>
        <v>443.91739743461864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4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4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4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4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4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4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.65" thickBot="1" x14ac:dyDescent="0.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4.65" thickBot="1" x14ac:dyDescent="0.5">
      <c r="A16" s="226"/>
      <c r="B16" s="233"/>
      <c r="C16" s="234"/>
      <c r="D16" s="25"/>
      <c r="E16" s="25"/>
      <c r="F16" s="174">
        <f t="shared" ref="F16:L16" ca="1" si="3">SUM(F6:F15)</f>
        <v>1345.6362243739845</v>
      </c>
      <c r="G16" s="175">
        <f t="shared" ca="1" si="3"/>
        <v>1211.0726019365861</v>
      </c>
      <c r="H16" s="176">
        <f t="shared" si="3"/>
        <v>181.00759091829264</v>
      </c>
      <c r="I16" s="176">
        <f t="shared" si="3"/>
        <v>162.90683182646339</v>
      </c>
      <c r="J16" s="177">
        <f t="shared" si="3"/>
        <v>1917.8730095257201</v>
      </c>
      <c r="K16" s="177">
        <f t="shared" si="3"/>
        <v>1726.0857085731482</v>
      </c>
      <c r="L16" s="178">
        <f t="shared" ca="1" si="3"/>
        <v>3100.0651423361978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4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4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4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65" thickBot="1" x14ac:dyDescent="0.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.65" thickBot="1" x14ac:dyDescent="0.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4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4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4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4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4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4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4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4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4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4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4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4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4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4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4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4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4.65" thickBot="1" x14ac:dyDescent="0.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4.65" thickBot="1" x14ac:dyDescent="0.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4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4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4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4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4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4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4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4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4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4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4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4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4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4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4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4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4.65" thickBot="1" x14ac:dyDescent="0.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4.65" thickBot="1" x14ac:dyDescent="0.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4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4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4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4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4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4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4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4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4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4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4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4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4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4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4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4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4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4.65" thickBot="1" x14ac:dyDescent="0.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4.65" thickBot="1" x14ac:dyDescent="0.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4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4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4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4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4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4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4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4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4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4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4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4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4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4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4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4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4.65" thickBot="1" x14ac:dyDescent="0.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4.65" thickBot="1" x14ac:dyDescent="0.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4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4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4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4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4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4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4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4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4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4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4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4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4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4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4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4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4.65" thickBot="1" x14ac:dyDescent="0.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4.65" thickBot="1" x14ac:dyDescent="0.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4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4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4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4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4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4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4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4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4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4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4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4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4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4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4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4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4.65" thickBot="1" x14ac:dyDescent="0.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4.65" thickBot="1" x14ac:dyDescent="0.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4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4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4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4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4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4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4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4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4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4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4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4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4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4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4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4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4.65" thickBot="1" x14ac:dyDescent="0.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4.65" thickBot="1" x14ac:dyDescent="0.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4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4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4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4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4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4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4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4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4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4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4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4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4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4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4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4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4.65" thickBot="1" x14ac:dyDescent="0.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4.65" thickBot="1" x14ac:dyDescent="0.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4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4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4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4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4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4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4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4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4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4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4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4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4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4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4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4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4.65" thickBot="1" x14ac:dyDescent="0.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4.65" thickBot="1" x14ac:dyDescent="0.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4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4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4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4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4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4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4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4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4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4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4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4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4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4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4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4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4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4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4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4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4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4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4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4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4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4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4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4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4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4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4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4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4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4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4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4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4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4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4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4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4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4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4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4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4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4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4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4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4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4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4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4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4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4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4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4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4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4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4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4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4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4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4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4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4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4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4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4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4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4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4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4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4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4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4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4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4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4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4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4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4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4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4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4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4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4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4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4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4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4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4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4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4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4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4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4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4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4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4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4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4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4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4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4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4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4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4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4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4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4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4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4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4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4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4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4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4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4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4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4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4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4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4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4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4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4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4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4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4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4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4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4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4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4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4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4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4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4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4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4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4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4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4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4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4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4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4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4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4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4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4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4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4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4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4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4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4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4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17" zoomScale="85" zoomScaleNormal="85" workbookViewId="0">
      <selection activeCell="T24" sqref="T24:V24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3" customWidth="1"/>
    <col min="7" max="7" width="17.59765625" style="3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5.9" thickBot="1" x14ac:dyDescent="0.8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4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4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4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4.65" thickBot="1" x14ac:dyDescent="0.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8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4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4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4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3896.0369275303201</v>
      </c>
      <c r="U10" s="190">
        <f>'Données projet'!D9</f>
        <v>5.6627999999999998</v>
      </c>
      <c r="V10" s="189">
        <f>U10*T10</f>
        <v>22062.477913218696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4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1136.8755308141338</v>
      </c>
      <c r="U11" s="190">
        <f>'Données projet'!D10</f>
        <v>1.5972</v>
      </c>
      <c r="V11" s="189">
        <f t="shared" ref="V11" si="0">U11*T11</f>
        <v>1815.8175978163345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4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4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4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45">
      <c r="A15" s="5"/>
      <c r="B15" s="5"/>
      <c r="C15" s="5"/>
      <c r="D15" s="5"/>
      <c r="E15" s="5"/>
      <c r="F15" s="261"/>
      <c r="G15" s="342" t="s">
        <v>318</v>
      </c>
      <c r="H15" s="203"/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4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4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4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4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4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1</v>
      </c>
      <c r="I20" s="204">
        <v>2058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4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190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4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4</v>
      </c>
      <c r="I22" s="204">
        <v>190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45">
      <c r="A23" s="192">
        <f>'Données projet'!A36</f>
        <v>6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7160.7418884193903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45">
      <c r="A24" s="192">
        <f>'Données projet'!A37</f>
        <v>7</v>
      </c>
      <c r="B24" s="193">
        <f>'Données projet'!D37</f>
        <v>0</v>
      </c>
      <c r="C24" s="206"/>
      <c r="D24" s="194">
        <f t="shared" ref="D24:D42" si="2">B24*C24</f>
        <v>0</v>
      </c>
      <c r="E24" s="206">
        <v>680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31373.488604082471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45">
      <c r="A25" s="192">
        <f>'Données projet'!A38</f>
        <v>8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37">
        <f ca="1">T23-T24</f>
        <v>-24212.746715663081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45">
      <c r="A26" s="192">
        <f>'Données projet'!A39</f>
        <v>9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45">
      <c r="A27" s="192">
        <f>'Données projet'!A40</f>
        <v>10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45">
      <c r="A28" s="192">
        <f>'Données projet'!A41</f>
        <v>11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45">
      <c r="A29" s="192">
        <f>'Données projet'!A42</f>
        <v>12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45">
      <c r="A30" s="192">
        <f>'Données projet'!A43</f>
        <v>13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4321.4171630967594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45">
      <c r="A31" s="192">
        <f>'Données projet'!A44</f>
        <v>14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45">
      <c r="A32" s="192">
        <f>'Données projet'!A45</f>
        <v>15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45">
      <c r="A33" s="192">
        <f>'Données projet'!A46</f>
        <v>16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45">
      <c r="A34" s="192">
        <f>'Données projet'!A47</f>
        <v>17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45">
      <c r="A35" s="192">
        <f>'Données projet'!A48</f>
        <v>18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45">
      <c r="A36" s="192">
        <f>'Données projet'!A49</f>
        <v>19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45">
      <c r="A37" s="192">
        <f>'Données projet'!A50</f>
        <v>20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45">
      <c r="A38" s="192">
        <f>'Données projet'!A51</f>
        <v>21</v>
      </c>
      <c r="B38" s="193">
        <f>'Données projet'!D51</f>
        <v>320.80786161666225</v>
      </c>
      <c r="C38" s="206">
        <v>35</v>
      </c>
      <c r="D38" s="194">
        <f t="shared" si="2"/>
        <v>11228.275156583179</v>
      </c>
      <c r="E38" s="206">
        <v>150</v>
      </c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4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4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4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4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4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4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4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4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4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4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4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4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4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4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4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45">
      <c r="A54" s="192">
        <f>'Données projet'!A62</f>
        <v>20</v>
      </c>
      <c r="B54" s="193">
        <f>'Données projet'!D62</f>
        <v>31.6</v>
      </c>
      <c r="C54" s="204">
        <v>10</v>
      </c>
      <c r="D54" s="191">
        <f>B54*C54</f>
        <v>316</v>
      </c>
      <c r="E54" s="206">
        <v>150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45">
      <c r="A55" s="192">
        <f>'Données projet'!A63</f>
        <v>30</v>
      </c>
      <c r="B55" s="193">
        <f>'Données projet'!D63</f>
        <v>36.4</v>
      </c>
      <c r="C55" s="204">
        <v>20</v>
      </c>
      <c r="D55" s="191">
        <f t="shared" ref="D55:D73" si="4">B55*C55</f>
        <v>728</v>
      </c>
      <c r="E55" s="206">
        <v>150</v>
      </c>
      <c r="F55" s="263"/>
      <c r="G55" s="222"/>
      <c r="H55" s="203"/>
      <c r="I55" s="204"/>
      <c r="J55" s="25"/>
      <c r="K55" s="183"/>
      <c r="L55" s="5"/>
      <c r="M55" s="5"/>
      <c r="N55" s="5"/>
      <c r="O55" s="207" t="str">
        <f>IF(O54+1&lt;=MIN('Données projet'!$E$9:$E$18),O54+1,"STOP")</f>
        <v>STOP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45">
      <c r="A56" s="192">
        <f>'Données projet'!A64</f>
        <v>40</v>
      </c>
      <c r="B56" s="193">
        <f>'Données projet'!D64</f>
        <v>52.26666666666668</v>
      </c>
      <c r="C56" s="204">
        <v>20</v>
      </c>
      <c r="D56" s="191">
        <f t="shared" si="4"/>
        <v>1045.3333333333335</v>
      </c>
      <c r="E56" s="206">
        <v>150</v>
      </c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45">
      <c r="A57" s="192">
        <f>'Données projet'!A65</f>
        <v>50</v>
      </c>
      <c r="B57" s="193">
        <f>'Données projet'!D65</f>
        <v>68.788888888888891</v>
      </c>
      <c r="C57" s="204">
        <v>20</v>
      </c>
      <c r="D57" s="191">
        <f t="shared" si="4"/>
        <v>1375.7777777777778</v>
      </c>
      <c r="E57" s="206">
        <v>150</v>
      </c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45">
      <c r="A58" s="192">
        <f>'Données projet'!A66</f>
        <v>60</v>
      </c>
      <c r="B58" s="193">
        <f>'Données projet'!D66</f>
        <v>88.535185185185185</v>
      </c>
      <c r="C58" s="204">
        <v>20</v>
      </c>
      <c r="D58" s="191">
        <f t="shared" si="4"/>
        <v>1770.7037037037037</v>
      </c>
      <c r="E58" s="206">
        <v>150</v>
      </c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45">
      <c r="A59" s="192">
        <f>'Données projet'!A67</f>
        <v>70</v>
      </c>
      <c r="B59" s="193">
        <f>'Données projet'!D67</f>
        <v>111.0774691358025</v>
      </c>
      <c r="C59" s="204">
        <v>20</v>
      </c>
      <c r="D59" s="191">
        <f t="shared" si="4"/>
        <v>2221.5493827160499</v>
      </c>
      <c r="E59" s="206">
        <v>150</v>
      </c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45">
      <c r="A60" s="192">
        <f>'Données projet'!A68</f>
        <v>80</v>
      </c>
      <c r="B60" s="193">
        <f>'Données projet'!D68</f>
        <v>135.65375514403294</v>
      </c>
      <c r="C60" s="204">
        <v>40</v>
      </c>
      <c r="D60" s="191">
        <f t="shared" si="4"/>
        <v>5426.1502057613179</v>
      </c>
      <c r="E60" s="206">
        <v>150</v>
      </c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45">
      <c r="A61" s="192">
        <f>'Données projet'!A69</f>
        <v>90</v>
      </c>
      <c r="B61" s="193">
        <f>'Données projet'!D69</f>
        <v>160.72437414266119</v>
      </c>
      <c r="C61" s="204">
        <v>40</v>
      </c>
      <c r="D61" s="191">
        <f t="shared" si="4"/>
        <v>6428.9749657064476</v>
      </c>
      <c r="E61" s="206">
        <v>150</v>
      </c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45">
      <c r="A62" s="192">
        <f>'Données projet'!A70</f>
        <v>100</v>
      </c>
      <c r="B62" s="193">
        <f>'Données projet'!D70</f>
        <v>599.95366083676254</v>
      </c>
      <c r="C62" s="204">
        <v>40</v>
      </c>
      <c r="D62" s="191">
        <f t="shared" si="4"/>
        <v>23998.146433470502</v>
      </c>
      <c r="E62" s="206">
        <v>150</v>
      </c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4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4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4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4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4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4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4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4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4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4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4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4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4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4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4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4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4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4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4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4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4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4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4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4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4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4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4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4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4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4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4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4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4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4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4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4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4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4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4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4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4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4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4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4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4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4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4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4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4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4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4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4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4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4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4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4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4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4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4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4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4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4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4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4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4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4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4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4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4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4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4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4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4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4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4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4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4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4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4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4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4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4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4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4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4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4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4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4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4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4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4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4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4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4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4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4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4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4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4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4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4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4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4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4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4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4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4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4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4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4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4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4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4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4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4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4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4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4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4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4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4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4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4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4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4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4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4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4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4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4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4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4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4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4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4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4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4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4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4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4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4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4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4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4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4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4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4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4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4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4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4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4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4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4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4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4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4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4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4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4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4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4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4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4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4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4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4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4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4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4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4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4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4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4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4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4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4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4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4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4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4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4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4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4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4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4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4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4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4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4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4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4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4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4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4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4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4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4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4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4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4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4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4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4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4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4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4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4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4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4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4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4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4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4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4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4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4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4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4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4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4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4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4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4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4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4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4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4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4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4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4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4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4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4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4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4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4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4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4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4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4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4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4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4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4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4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4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4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4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4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4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4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4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4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4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4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4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4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4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4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4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4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4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4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4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4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4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4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4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4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4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4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4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4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4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4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4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4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4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4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4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4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4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4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4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4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4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4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4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4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4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4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4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4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4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4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4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4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4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4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4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4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4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4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4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4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4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4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4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4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4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4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4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4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4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4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4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4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4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4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4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4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4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4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4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4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4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4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4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4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4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4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4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4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4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4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4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4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4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4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4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4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4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4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4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4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4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4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4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4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4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4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4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4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4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4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4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4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4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4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4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4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4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4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4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4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4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4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4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4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4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4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4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4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4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4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4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4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4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4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4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4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4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4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4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4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4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4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4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4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4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4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4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4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4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4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4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4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4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4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4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4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4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4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4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4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4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4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4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4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4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4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4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4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4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4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4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4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4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4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4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4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4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4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4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4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4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4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4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4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4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4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4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4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4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4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4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4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4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4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4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4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4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4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4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4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4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4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4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4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4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4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4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4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4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4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4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4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4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4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4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4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4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4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4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4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4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4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4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4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4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4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4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4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4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4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4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4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4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4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4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4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4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4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4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4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4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4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4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4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2021-12-22T11:19:18Z</dcterms:modified>
</cp:coreProperties>
</file>