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ucie RUPIL\Documents\LABEL BAS CARBONE\1-PROJETS CARBONE EN COURS\1. En cours de labellisation\Projet BOUJU\Dossier LBC\"/>
    </mc:Choice>
  </mc:AlternateContent>
  <bookViews>
    <workbookView xWindow="0" yWindow="0" windowWidth="23040" windowHeight="8808" tabRatio="662" activeTab="5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6" i="1" l="1"/>
  <c r="D116" i="1"/>
  <c r="B117" i="1"/>
  <c r="D117" i="1"/>
  <c r="B118" i="1"/>
  <c r="B119" i="1"/>
  <c r="D119" i="1"/>
  <c r="D45" i="1" l="1"/>
  <c r="D43" i="1"/>
  <c r="D41" i="1"/>
  <c r="D39" i="1"/>
  <c r="B68" i="1" l="1"/>
  <c r="D66" i="1"/>
  <c r="B66" i="1"/>
  <c r="B6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FQ4" i="2"/>
  <c r="BR4" i="2"/>
  <c r="EC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W7" i="2"/>
  <c r="EV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HG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HG28" i="2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HI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W44" i="2"/>
  <c r="HH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G57" i="2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G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HG130" i="2"/>
  <c r="EW130" i="2"/>
  <c r="EX130" i="2"/>
  <c r="HH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EX140" i="2"/>
  <c r="FR140" i="2"/>
  <c r="HH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HI146" i="2"/>
  <c r="FS146" i="2"/>
  <c r="HH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HH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HG155" i="2"/>
  <c r="EW155" i="2"/>
  <c r="HH155" i="2"/>
  <c r="ED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AB156" i="2" l="1"/>
  <c r="HH156" i="2"/>
  <c r="HI156" i="2"/>
  <c r="EX156" i="2"/>
  <c r="FS156" i="2"/>
  <c r="ED155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HH158" i="2"/>
  <c r="HG158" i="2"/>
  <c r="EW158" i="2"/>
  <c r="ED157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I160" i="2"/>
  <c r="HG160" i="2"/>
  <c r="HH160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DI161" i="2"/>
  <c r="EW162" i="2"/>
  <c r="HG162" i="2"/>
  <c r="ED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H163" i="2"/>
  <c r="HG163" i="2"/>
  <c r="ED162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V164" i="2" l="1"/>
  <c r="EX164" i="2"/>
  <c r="FR164" i="2"/>
  <c r="FS164" i="2"/>
  <c r="HH164" i="2"/>
  <c r="ED163" i="2"/>
  <c r="DI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DG168" i="2"/>
  <c r="EV168" i="2"/>
  <c r="EY168" i="2" s="1"/>
  <c r="EB168" i="2"/>
  <c r="EC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HG172" i="2"/>
  <c r="ED171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HI175" i="2"/>
  <c r="EW175" i="2"/>
  <c r="ED174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FS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HH179" i="2"/>
  <c r="HG179" i="2"/>
  <c r="ED178" i="2"/>
  <c r="EB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ED179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I185" i="2"/>
  <c r="EW185" i="2"/>
  <c r="EV185" i="2"/>
  <c r="ED184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HH186" i="2"/>
  <c r="FR186" i="2"/>
  <c r="HG186" i="2"/>
  <c r="ED185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W191" i="2"/>
  <c r="ED190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V192" i="2"/>
  <c r="HH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X193" i="2" l="1"/>
  <c r="ED192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HG194" i="2"/>
  <c r="ED193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HI195" i="2"/>
  <c r="ED194" i="2"/>
  <c r="EB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D197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HH201" i="2"/>
  <c r="ED200" i="2"/>
  <c r="DI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HG202" i="2"/>
  <c r="FR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29" i="2" a="1"/>
  <c r="EI29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CS52" i="2" a="1"/>
  <c r="CS52" i="2" s="1"/>
  <c r="CS129" i="2" a="1"/>
  <c r="CS129" i="2" s="1"/>
  <c r="DN43" i="2" a="1"/>
  <c r="DN43" i="2" s="1"/>
  <c r="DN41" i="2" a="1"/>
  <c r="DN41" i="2" s="1"/>
  <c r="DN152" i="2" a="1"/>
  <c r="DN152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1" i="2" a="1"/>
  <c r="BC31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EI150" i="2" a="1"/>
  <c r="EI150" i="2" s="1"/>
  <c r="HG203" i="2"/>
  <c r="EI106" i="2" a="1"/>
  <c r="EI106" i="2" s="1"/>
  <c r="EI153" i="2" a="1"/>
  <c r="EI153" i="2" s="1"/>
  <c r="EI198" i="2" a="1"/>
  <c r="EI198" i="2" s="1"/>
  <c r="BC18" i="2" a="1"/>
  <c r="BC18" i="2" s="1"/>
  <c r="BC84" i="2" a="1"/>
  <c r="BC84" i="2" s="1"/>
  <c r="BC32" i="2" a="1"/>
  <c r="BC32" i="2" s="1"/>
  <c r="BC83" i="2" a="1"/>
  <c r="BC83" i="2" s="1"/>
  <c r="BC55" i="2" a="1"/>
  <c r="BC55" i="2" s="1"/>
  <c r="BC151" i="2" a="1"/>
  <c r="BC151" i="2" s="1"/>
  <c r="BC38" i="2" a="1"/>
  <c r="BC38" i="2" s="1"/>
  <c r="BC7" i="2" a="1"/>
  <c r="BC7" i="2" s="1"/>
  <c r="BC185" i="2" a="1"/>
  <c r="BC185" i="2" s="1"/>
  <c r="BC143" i="2" a="1"/>
  <c r="BC143" i="2" s="1"/>
  <c r="BC117" i="2" a="1"/>
  <c r="BC117" i="2" s="1"/>
  <c r="BC181" i="2" a="1"/>
  <c r="BC181" i="2" s="1"/>
  <c r="BC34" i="2" a="1"/>
  <c r="BC34" i="2" s="1"/>
  <c r="BC164" i="2" a="1"/>
  <c r="BC164" i="2" s="1"/>
  <c r="BC192" i="2" a="1"/>
  <c r="BC192" i="2" s="1"/>
  <c r="FR203" i="2"/>
  <c r="BC114" i="2" a="1"/>
  <c r="BC114" i="2" s="1"/>
  <c r="BC126" i="2" a="1"/>
  <c r="BC126" i="2" s="1"/>
  <c r="BC65" i="2" a="1"/>
  <c r="BC65" i="2" s="1"/>
  <c r="BC130" i="2" a="1"/>
  <c r="BC130" i="2" s="1"/>
  <c r="BC82" i="2" a="1"/>
  <c r="BC82" i="2" s="1"/>
  <c r="BC47" i="2" a="1"/>
  <c r="BC47" i="2" s="1"/>
  <c r="BC68" i="2" a="1"/>
  <c r="BC68" i="2" s="1"/>
  <c r="BC58" i="2" a="1"/>
  <c r="BC58" i="2" s="1"/>
  <c r="DN186" i="2" a="1"/>
  <c r="DN186" i="2" s="1"/>
  <c r="DN137" i="2" a="1"/>
  <c r="DN137" i="2" s="1"/>
  <c r="DN25" i="2" a="1"/>
  <c r="DN25" i="2" s="1"/>
  <c r="DN184" i="2" a="1"/>
  <c r="DN184" i="2" s="1"/>
  <c r="DN124" i="2" a="1"/>
  <c r="DN124" i="2" s="1"/>
  <c r="DN29" i="2" a="1"/>
  <c r="DN29" i="2" s="1"/>
  <c r="AH62" i="2" a="1"/>
  <c r="AH62" i="2" s="1"/>
  <c r="AH151" i="2" a="1"/>
  <c r="AH151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8" i="2" l="1"/>
  <c r="CY25" i="2"/>
  <c r="CY111" i="2"/>
  <c r="CY24" i="2"/>
  <c r="CY148" i="2"/>
  <c r="CY154" i="2"/>
  <c r="CY133" i="2"/>
  <c r="CY101" i="2"/>
  <c r="CY48" i="2"/>
  <c r="CY179" i="2"/>
  <c r="CY165" i="2"/>
  <c r="CY49" i="2"/>
  <c r="CY45" i="2"/>
  <c r="CY194" i="2"/>
  <c r="CY74" i="2"/>
  <c r="CY79" i="2"/>
  <c r="CY64" i="2"/>
  <c r="CY37" i="2"/>
  <c r="CY22" i="2"/>
  <c r="CY102" i="2"/>
  <c r="CY141" i="2"/>
  <c r="CY124" i="2"/>
  <c r="CY4" i="2"/>
  <c r="CY155" i="2"/>
  <c r="CY170" i="2"/>
  <c r="CY62" i="2"/>
  <c r="CY55" i="2"/>
  <c r="CY116" i="2"/>
  <c r="CY180" i="2"/>
  <c r="CY75" i="2"/>
  <c r="CY112" i="2"/>
  <c r="CY105" i="2"/>
  <c r="CY10" i="2"/>
  <c r="CY162" i="2"/>
  <c r="CY185" i="2"/>
  <c r="CY43" i="2"/>
  <c r="CY30" i="2"/>
  <c r="CY54" i="2"/>
  <c r="CY7" i="2"/>
  <c r="CY110" i="2"/>
  <c r="CY174" i="2"/>
  <c r="CY94" i="2"/>
  <c r="CY70" i="2"/>
  <c r="CY109" i="2"/>
  <c r="CY40" i="2"/>
  <c r="CY199" i="2"/>
  <c r="CY195" i="2"/>
  <c r="CY46" i="2"/>
  <c r="CY202" i="2"/>
  <c r="CY67" i="2"/>
  <c r="CY39" i="2"/>
  <c r="CY68" i="2"/>
  <c r="CY34" i="2"/>
  <c r="CY168" i="2"/>
  <c r="CY6" i="2"/>
  <c r="CY176" i="2"/>
  <c r="CY61" i="2"/>
  <c r="CY118" i="2"/>
  <c r="CY29" i="2"/>
  <c r="CY132" i="2"/>
  <c r="CY65" i="2"/>
  <c r="CY190" i="2"/>
  <c r="CY93" i="2"/>
  <c r="CY95" i="2"/>
  <c r="CY160" i="2"/>
  <c r="CY5" i="2"/>
  <c r="CY106" i="2"/>
  <c r="CY143" i="2"/>
  <c r="CY35" i="2"/>
  <c r="CY150" i="2"/>
  <c r="CY193" i="2"/>
  <c r="CY84" i="2"/>
  <c r="CY19" i="2"/>
  <c r="CY198" i="2"/>
  <c r="CY53" i="2"/>
  <c r="CY44" i="2"/>
  <c r="CY161" i="2"/>
  <c r="CY18" i="2"/>
  <c r="CY164" i="2"/>
  <c r="CY123" i="2"/>
  <c r="CY38" i="2"/>
  <c r="CY50" i="2"/>
  <c r="CY8" i="2"/>
  <c r="CY88" i="2"/>
  <c r="CY23" i="2"/>
  <c r="CY188" i="2"/>
  <c r="CY151" i="2"/>
  <c r="CY89" i="2"/>
  <c r="CY103" i="2"/>
  <c r="CY77" i="2"/>
  <c r="CY117" i="2"/>
  <c r="CY153" i="2"/>
  <c r="CY120" i="2"/>
  <c r="CY173" i="2"/>
  <c r="CY13" i="2"/>
  <c r="CY146" i="2"/>
  <c r="CY87" i="2"/>
  <c r="CY99" i="2"/>
  <c r="CY57" i="2"/>
  <c r="CY69" i="2"/>
  <c r="CY138" i="2"/>
  <c r="CY126" i="2"/>
  <c r="CY91" i="2"/>
  <c r="CY144" i="2"/>
  <c r="CY177" i="2"/>
  <c r="CY11" i="2"/>
  <c r="CY47" i="2"/>
  <c r="CY20" i="2"/>
  <c r="CY36" i="2"/>
  <c r="CY184" i="2"/>
  <c r="CY12" i="2"/>
  <c r="CY104" i="2"/>
  <c r="CY169" i="2"/>
  <c r="CY156" i="2"/>
  <c r="CY27" i="2"/>
  <c r="CY16" i="2"/>
  <c r="CY197" i="2"/>
  <c r="CY125" i="2"/>
  <c r="CY201" i="2"/>
  <c r="CY96" i="2"/>
  <c r="CY191" i="2"/>
  <c r="CY167" i="2"/>
  <c r="CY83" i="2"/>
  <c r="CY134" i="2"/>
  <c r="CY92" i="2"/>
  <c r="CY128" i="2"/>
  <c r="CY21" i="2"/>
  <c r="CY186" i="2"/>
  <c r="CY189" i="2"/>
  <c r="CY131" i="2"/>
  <c r="CY159" i="2"/>
  <c r="CY56" i="2"/>
  <c r="CY147" i="2"/>
  <c r="CY129" i="2"/>
  <c r="CY135" i="2"/>
  <c r="CY108" i="2"/>
  <c r="CY85" i="2"/>
  <c r="CY82" i="2"/>
  <c r="CY203" i="2"/>
  <c r="CY119" i="2"/>
  <c r="CY51" i="2"/>
  <c r="CY200" i="2"/>
  <c r="CY152" i="2"/>
  <c r="CY86" i="2"/>
  <c r="CY76" i="2"/>
  <c r="CY9" i="2"/>
  <c r="CY196" i="2"/>
  <c r="CY114" i="2"/>
  <c r="CY58" i="2"/>
  <c r="CY71" i="2"/>
  <c r="CY136" i="2"/>
  <c r="CY14" i="2"/>
  <c r="CY52" i="2"/>
  <c r="CY115" i="2"/>
  <c r="CY72" i="2"/>
  <c r="CY163" i="2"/>
  <c r="CY81" i="2"/>
  <c r="CY63" i="2"/>
  <c r="CY107" i="2"/>
  <c r="CY149" i="2"/>
  <c r="CY3" i="2"/>
  <c r="C10" i="4" s="1"/>
  <c r="E10" i="4" s="1"/>
  <c r="F10" i="4" s="1"/>
  <c r="G10" i="4" s="1"/>
  <c r="L10" i="4" s="1"/>
  <c r="CY122" i="2"/>
  <c r="CY41" i="2"/>
  <c r="CY80" i="2"/>
  <c r="CY187" i="2"/>
  <c r="CY98" i="2"/>
  <c r="CY182" i="2"/>
  <c r="CY192" i="2"/>
  <c r="CY97" i="2"/>
  <c r="CY60" i="2"/>
  <c r="CY42" i="2"/>
  <c r="CY26" i="2"/>
  <c r="CY157" i="2"/>
  <c r="CY100" i="2"/>
  <c r="CY90" i="2"/>
  <c r="CY166" i="2"/>
  <c r="CY59" i="2"/>
  <c r="CY158" i="2"/>
  <c r="CY127" i="2"/>
  <c r="CY139" i="2"/>
  <c r="CY171" i="2"/>
  <c r="CY140" i="2"/>
  <c r="CY15" i="2"/>
  <c r="CY175" i="2"/>
  <c r="CY181" i="2"/>
  <c r="CY183" i="2"/>
  <c r="CY78" i="2"/>
  <c r="CY31" i="2"/>
  <c r="CY17" i="2"/>
  <c r="CY142" i="2"/>
  <c r="CY121" i="2"/>
  <c r="CY178" i="2"/>
  <c r="CY145" i="2"/>
  <c r="CY66" i="2"/>
  <c r="CY172" i="2"/>
  <c r="CY130" i="2"/>
  <c r="CY33" i="2"/>
  <c r="CY113" i="2"/>
  <c r="CY73" i="2"/>
  <c r="CY137" i="2"/>
  <c r="CY32" i="2"/>
  <c r="CD135" i="2"/>
  <c r="CD60" i="2"/>
  <c r="CD116" i="2"/>
  <c r="CD97" i="2"/>
  <c r="CD158" i="2"/>
  <c r="CD81" i="2"/>
  <c r="CD121" i="2"/>
  <c r="CD27" i="2"/>
  <c r="CD156" i="2"/>
  <c r="CD31" i="2"/>
  <c r="CD198" i="2"/>
  <c r="CD131" i="2"/>
  <c r="CD151" i="2"/>
  <c r="CD28" i="2"/>
  <c r="CD89" i="2"/>
  <c r="CD145" i="2"/>
  <c r="CD160" i="2"/>
  <c r="CD73" i="2"/>
  <c r="CD6" i="2"/>
  <c r="CD182" i="2"/>
  <c r="CD23" i="2"/>
  <c r="CD26" i="2"/>
  <c r="CD133" i="2"/>
  <c r="CD109" i="2"/>
  <c r="CD100" i="2"/>
  <c r="CD149" i="2"/>
  <c r="CD183" i="2"/>
  <c r="CD48" i="2"/>
  <c r="CD164" i="2"/>
  <c r="CD96" i="2"/>
  <c r="CD161" i="2"/>
  <c r="CD14" i="2"/>
  <c r="CD74" i="2"/>
  <c r="CD128" i="2"/>
  <c r="CD176" i="2"/>
  <c r="CD190" i="2"/>
  <c r="CD33" i="2"/>
  <c r="CD130" i="2"/>
  <c r="CD77" i="2"/>
  <c r="CD114" i="2"/>
  <c r="CD57" i="2"/>
  <c r="CD203" i="2"/>
  <c r="CD93" i="2"/>
  <c r="CD195" i="2"/>
  <c r="CD194" i="2"/>
  <c r="CD99" i="2"/>
  <c r="CD12" i="2"/>
  <c r="CD70" i="2"/>
  <c r="CD187" i="2"/>
  <c r="CD94" i="2"/>
  <c r="CD159" i="2"/>
  <c r="CD7" i="2"/>
  <c r="CD188" i="2"/>
  <c r="CD141" i="2"/>
  <c r="CD30" i="2"/>
  <c r="CD136" i="2"/>
  <c r="CD64" i="2"/>
  <c r="CD17" i="2"/>
  <c r="CD86" i="2"/>
  <c r="CD150" i="2"/>
  <c r="CD5" i="2"/>
  <c r="CD152" i="2"/>
  <c r="CD199" i="2"/>
  <c r="CD11" i="2"/>
  <c r="CD10" i="2"/>
  <c r="CD148" i="2"/>
  <c r="CD120" i="2"/>
  <c r="CD51" i="2"/>
  <c r="CD196" i="2"/>
  <c r="CD192" i="2"/>
  <c r="CD37" i="2"/>
  <c r="CD175" i="2"/>
  <c r="CD80" i="2"/>
  <c r="CD146" i="2"/>
  <c r="CD98" i="2"/>
  <c r="CD50" i="2"/>
  <c r="CD112" i="2"/>
  <c r="CD9" i="2"/>
  <c r="CD76" i="2"/>
  <c r="CD142" i="2"/>
  <c r="CD95" i="2"/>
  <c r="CD104" i="2"/>
  <c r="CD103" i="2"/>
  <c r="CD62" i="2"/>
  <c r="CD36" i="2"/>
  <c r="CD40" i="2"/>
  <c r="CD82" i="2"/>
  <c r="CD78" i="2"/>
  <c r="CD87" i="2"/>
  <c r="CD201" i="2"/>
  <c r="CD32" i="2"/>
  <c r="CD108" i="2"/>
  <c r="CD38" i="2"/>
  <c r="CD157" i="2"/>
  <c r="CD83" i="2"/>
  <c r="CD91" i="2"/>
  <c r="CD110" i="2"/>
  <c r="CD173" i="2"/>
  <c r="CD72" i="2"/>
  <c r="CD42" i="2"/>
  <c r="CD49" i="2"/>
  <c r="CD55" i="2"/>
  <c r="CD138" i="2"/>
  <c r="CD174" i="2"/>
  <c r="CD101" i="2"/>
  <c r="CD119" i="2"/>
  <c r="CD185" i="2"/>
  <c r="CD181" i="2"/>
  <c r="CD129" i="2"/>
  <c r="CD4" i="2"/>
  <c r="CD15" i="2"/>
  <c r="CD118" i="2"/>
  <c r="CD166" i="2"/>
  <c r="CD92" i="2"/>
  <c r="CD107" i="2"/>
  <c r="CD45" i="2"/>
  <c r="CD43" i="2"/>
  <c r="CD147" i="2"/>
  <c r="CD66" i="2"/>
  <c r="CD134" i="2"/>
  <c r="CD71" i="2"/>
  <c r="CD165" i="2"/>
  <c r="CD105" i="2"/>
  <c r="CD169" i="2"/>
  <c r="CD154" i="2"/>
  <c r="CD163" i="2"/>
  <c r="CD171" i="2"/>
  <c r="CD117" i="2"/>
  <c r="CD39" i="2"/>
  <c r="CD19" i="2"/>
  <c r="CD41" i="2"/>
  <c r="CD122" i="2"/>
  <c r="CD106" i="2"/>
  <c r="CD75" i="2"/>
  <c r="CD24" i="2"/>
  <c r="CD191" i="2"/>
  <c r="CD202" i="2"/>
  <c r="CD178" i="2"/>
  <c r="CD153" i="2"/>
  <c r="CD132" i="2"/>
  <c r="CD25" i="2"/>
  <c r="CD111" i="2"/>
  <c r="CD177" i="2"/>
  <c r="CD90" i="2"/>
  <c r="CD115" i="2"/>
  <c r="CD63" i="2"/>
  <c r="CD167" i="2"/>
  <c r="CD102" i="2"/>
  <c r="CD88" i="2"/>
  <c r="CD170" i="2"/>
  <c r="CD58" i="2"/>
  <c r="CD52" i="2"/>
  <c r="CD200" i="2"/>
  <c r="CD113" i="2"/>
  <c r="CD67" i="2"/>
  <c r="CD69" i="2"/>
  <c r="CD29" i="2"/>
  <c r="CD21" i="2"/>
  <c r="CD179" i="2"/>
  <c r="CD186" i="2"/>
  <c r="CD47" i="2"/>
  <c r="CD16" i="2"/>
  <c r="CD68" i="2"/>
  <c r="CD193" i="2"/>
  <c r="CD54" i="2"/>
  <c r="CD124" i="2"/>
  <c r="CD162" i="2"/>
  <c r="CD125" i="2"/>
  <c r="CD84" i="2"/>
  <c r="CD197" i="2"/>
  <c r="CD34" i="2"/>
  <c r="CD13" i="2"/>
  <c r="CD8" i="2"/>
  <c r="CD144" i="2"/>
  <c r="CD137" i="2"/>
  <c r="CD3" i="2"/>
  <c r="C9" i="4" s="1"/>
  <c r="E9" i="4" s="1"/>
  <c r="F9" i="4" s="1"/>
  <c r="G9" i="4" s="1"/>
  <c r="L9" i="4" s="1"/>
  <c r="CD35" i="2"/>
  <c r="CD168" i="2"/>
  <c r="CD79" i="2"/>
  <c r="CD180" i="2"/>
  <c r="CD20" i="2"/>
  <c r="CD85" i="2"/>
  <c r="CD22" i="2"/>
  <c r="CD44" i="2"/>
  <c r="CD123" i="2"/>
  <c r="CD172" i="2"/>
  <c r="CD61" i="2"/>
  <c r="CD59" i="2"/>
  <c r="CD155" i="2"/>
  <c r="CD143" i="2"/>
  <c r="CD46" i="2"/>
  <c r="CD189" i="2"/>
  <c r="CD139" i="2"/>
  <c r="CD18" i="2"/>
  <c r="CD126" i="2"/>
  <c r="CD184" i="2"/>
  <c r="CD127" i="2"/>
  <c r="CD140" i="2"/>
  <c r="CD65" i="2"/>
  <c r="CD53" i="2"/>
  <c r="CD5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BI103" i="2" l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32" i="2" s="1"/>
  <c r="BE109" i="2"/>
  <c r="BS107" i="2"/>
  <c r="BI31" i="2" l="1"/>
  <c r="BI175" i="2"/>
  <c r="BI152" i="2"/>
  <c r="BI189" i="2"/>
  <c r="BI174" i="2"/>
  <c r="BI86" i="2"/>
  <c r="BI87" i="2"/>
  <c r="BI184" i="2"/>
  <c r="BI55" i="2"/>
  <c r="BI173" i="2"/>
  <c r="BI112" i="2"/>
  <c r="BI83" i="2"/>
  <c r="BI179" i="2"/>
  <c r="BI62" i="2"/>
  <c r="BI28" i="2"/>
  <c r="BI139" i="2"/>
  <c r="BI96" i="2"/>
  <c r="BI41" i="2"/>
  <c r="BI46" i="2"/>
  <c r="BI121" i="2"/>
  <c r="BI163" i="2"/>
  <c r="BI59" i="2"/>
  <c r="BI93" i="2"/>
  <c r="BI183" i="2"/>
  <c r="BI3" i="2"/>
  <c r="C8" i="4" s="1"/>
  <c r="E8" i="4" s="1"/>
  <c r="F8" i="4" s="1"/>
  <c r="G8" i="4" s="1"/>
  <c r="L8" i="4" s="1"/>
  <c r="BI42" i="2"/>
  <c r="BI44" i="2"/>
  <c r="BI104" i="2"/>
  <c r="BI128" i="2"/>
  <c r="BI10" i="2"/>
  <c r="BI61" i="2"/>
  <c r="BI49" i="2"/>
  <c r="BI13" i="2"/>
  <c r="BI17" i="2"/>
  <c r="BI76" i="2"/>
  <c r="BI11" i="2"/>
  <c r="BI190" i="2"/>
  <c r="BI108" i="2"/>
  <c r="BI54" i="2"/>
  <c r="BI45" i="2"/>
  <c r="BI38" i="2"/>
  <c r="BI67" i="2"/>
  <c r="BI196" i="2"/>
  <c r="BI15" i="2"/>
  <c r="BI158" i="2"/>
  <c r="BI200" i="2"/>
  <c r="BI20" i="2"/>
  <c r="BI75" i="2"/>
  <c r="BI5" i="2"/>
  <c r="BI180" i="2"/>
  <c r="BI136" i="2"/>
  <c r="BI34" i="2"/>
  <c r="BI203" i="2"/>
  <c r="BI198" i="2"/>
  <c r="BI167" i="2"/>
  <c r="BI39" i="2"/>
  <c r="BI162" i="2"/>
  <c r="BI80" i="2"/>
  <c r="BI165" i="2"/>
  <c r="BI129" i="2"/>
  <c r="BI8" i="2"/>
  <c r="BI115" i="2"/>
  <c r="BI155" i="2"/>
  <c r="BI106" i="2"/>
  <c r="BI79" i="2"/>
  <c r="BI172" i="2"/>
  <c r="BI145" i="2"/>
  <c r="BI4" i="2"/>
  <c r="BI116" i="2"/>
  <c r="BI33" i="2"/>
  <c r="BI36" i="2"/>
  <c r="BI98" i="2"/>
  <c r="BI146" i="2"/>
  <c r="BI18" i="2"/>
  <c r="BI51" i="2"/>
  <c r="BI194" i="2"/>
  <c r="BI48" i="2"/>
  <c r="BI131" i="2"/>
  <c r="BI147" i="2"/>
  <c r="BI142" i="2"/>
  <c r="BI164" i="2"/>
  <c r="BI156" i="2"/>
  <c r="BI78" i="2"/>
  <c r="BI127" i="2"/>
  <c r="BI53" i="2"/>
  <c r="BI118" i="2"/>
  <c r="BI81" i="2"/>
  <c r="BI9" i="2"/>
  <c r="BI52" i="2"/>
  <c r="BI177" i="2"/>
  <c r="BI92" i="2"/>
  <c r="BI70" i="2"/>
  <c r="BI199" i="2"/>
  <c r="BI110" i="2"/>
  <c r="BI47" i="2"/>
  <c r="BI90" i="2"/>
  <c r="BI95" i="2"/>
  <c r="BI154" i="2"/>
  <c r="BI181" i="2"/>
  <c r="BI123" i="2"/>
  <c r="BI72" i="2"/>
  <c r="BI187" i="2"/>
  <c r="BI105" i="2"/>
  <c r="BI201" i="2"/>
  <c r="BI113" i="2"/>
  <c r="BI195" i="2"/>
  <c r="BI125" i="2"/>
  <c r="BI7" i="2"/>
  <c r="BI16" i="2"/>
  <c r="BI111" i="2"/>
  <c r="BI85" i="2"/>
  <c r="BI148" i="2"/>
  <c r="BI138" i="2"/>
  <c r="BI6" i="2"/>
  <c r="BI137" i="2"/>
  <c r="BI151" i="2"/>
  <c r="BI178" i="2"/>
  <c r="BI161" i="2"/>
  <c r="BI50" i="2"/>
  <c r="BI149" i="2"/>
  <c r="BI64" i="2"/>
  <c r="BI124" i="2"/>
  <c r="BI100" i="2"/>
  <c r="BI60" i="2"/>
  <c r="BI24" i="2"/>
  <c r="BI109" i="2"/>
  <c r="BI188" i="2"/>
  <c r="BI133" i="2"/>
  <c r="BI134" i="2"/>
  <c r="BI57" i="2"/>
  <c r="BI97" i="2"/>
  <c r="BI114" i="2"/>
  <c r="BI69" i="2"/>
  <c r="BI102" i="2"/>
  <c r="BI29" i="2"/>
  <c r="BI140" i="2"/>
  <c r="BI191" i="2"/>
  <c r="BI166" i="2"/>
  <c r="BI30" i="2"/>
  <c r="BI132" i="2"/>
  <c r="BI65" i="2"/>
  <c r="BI37" i="2"/>
  <c r="BI94" i="2"/>
  <c r="BI22" i="2"/>
  <c r="BI192" i="2"/>
  <c r="BI68" i="2"/>
  <c r="BI12" i="2"/>
  <c r="BI107" i="2"/>
  <c r="BI73" i="2"/>
  <c r="BI99" i="2"/>
  <c r="BI135" i="2"/>
  <c r="BI120" i="2"/>
  <c r="BI202" i="2"/>
  <c r="BI14" i="2"/>
  <c r="BI119" i="2"/>
  <c r="BI182" i="2"/>
  <c r="BI141" i="2"/>
  <c r="BI88" i="2"/>
  <c r="BI63" i="2"/>
  <c r="BI159" i="2"/>
  <c r="BI150" i="2"/>
  <c r="BI160" i="2"/>
  <c r="BI122" i="2"/>
  <c r="BI171" i="2"/>
  <c r="BI66" i="2"/>
  <c r="BI84" i="2"/>
  <c r="BI157" i="2"/>
  <c r="BI77" i="2"/>
  <c r="BI126" i="2"/>
  <c r="BI21" i="2"/>
  <c r="BI82" i="2"/>
  <c r="BI130" i="2"/>
  <c r="BI35" i="2"/>
  <c r="BI117" i="2"/>
  <c r="BI26" i="2"/>
  <c r="BI56" i="2"/>
  <c r="BI185" i="2"/>
  <c r="BI170" i="2"/>
  <c r="BI43" i="2"/>
  <c r="BI193" i="2"/>
  <c r="BI176" i="2"/>
  <c r="BI197" i="2"/>
  <c r="BI74" i="2"/>
  <c r="BI71" i="2"/>
  <c r="BI144" i="2"/>
  <c r="BI143" i="2"/>
  <c r="BI19" i="2"/>
  <c r="BI168" i="2"/>
  <c r="BI89" i="2"/>
  <c r="BI27" i="2"/>
  <c r="BI186" i="2"/>
  <c r="BI101" i="2"/>
  <c r="BI25" i="2"/>
  <c r="BI40" i="2"/>
  <c r="BI58" i="2"/>
  <c r="BI169" i="2"/>
  <c r="BI153" i="2"/>
  <c r="BI91" i="2"/>
  <c r="BI23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<sst xmlns="http://schemas.openxmlformats.org/spreadsheetml/2006/main" count="1174" uniqueCount="324">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</sst>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172.12401645728221</c:v>
                </c:pt>
                <c:pt idx="19">
                  <c:v>186.81103618147219</c:v>
                </c:pt>
                <c:pt idx="20">
                  <c:v>201.47111266072739</c:v>
                </c:pt>
                <c:pt idx="21">
                  <c:v>183.87586598298563</c:v>
                </c:pt>
                <c:pt idx="22">
                  <c:v>205.0891292024188</c:v>
                </c:pt>
                <c:pt idx="23">
                  <c:v>226.25164550125567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291.02216724571252</c:v>
                </c:pt>
                <c:pt idx="27">
                  <c:v>313.56012118688233</c:v>
                </c:pt>
                <c:pt idx="28">
                  <c:v>336.06216151622743</c:v>
                </c:pt>
                <c:pt idx="29">
                  <c:v>358.5310296135292</c:v>
                </c:pt>
                <c:pt idx="30">
                  <c:v>380.96909531199572</c:v>
                </c:pt>
                <c:pt idx="31">
                  <c:v>289.99681160231415</c:v>
                </c:pt>
                <c:pt idx="32">
                  <c:v>314.07191886152793</c:v>
                </c:pt>
                <c:pt idx="33">
                  <c:v>338.1061186050805</c:v>
                </c:pt>
                <c:pt idx="34">
                  <c:v>362.10272554390036</c:v>
                </c:pt>
                <c:pt idx="35">
                  <c:v>386.06457932909728</c:v>
                </c:pt>
                <c:pt idx="36">
                  <c:v>408.46764188924271</c:v>
                </c:pt>
                <c:pt idx="37">
                  <c:v>430.84417307897957</c:v>
                </c:pt>
                <c:pt idx="38">
                  <c:v>453.19574354645471</c:v>
                </c:pt>
                <c:pt idx="39">
                  <c:v>475.52375648049411</c:v>
                </c:pt>
                <c:pt idx="40">
                  <c:v>497.82947264900946</c:v>
                </c:pt>
                <c:pt idx="41">
                  <c:v>396.25118655434972</c:v>
                </c:pt>
                <c:pt idx="42">
                  <c:v>421.69323961894708</c:v>
                </c:pt>
                <c:pt idx="43">
                  <c:v>447.10225323882673</c:v>
                </c:pt>
                <c:pt idx="44">
                  <c:v>472.48036714392669</c:v>
                </c:pt>
                <c:pt idx="45">
                  <c:v>497.82947264900946</c:v>
                </c:pt>
                <c:pt idx="46">
                  <c:v>519.86091201489705</c:v>
                </c:pt>
                <c:pt idx="47">
                  <c:v>541.87267050311914</c:v>
                </c:pt>
                <c:pt idx="48">
                  <c:v>563.86565931015309</c:v>
                </c:pt>
                <c:pt idx="49">
                  <c:v>585.84071282237801</c:v>
                </c:pt>
                <c:pt idx="50">
                  <c:v>607.79859778709692</c:v>
                </c:pt>
                <c:pt idx="51">
                  <c:v>500.61617734977307</c:v>
                </c:pt>
                <c:pt idx="52">
                  <c:v>524.92279412001824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619.1496226525752</c:v>
                </c:pt>
                <c:pt idx="57">
                  <c:v>640.57875641162809</c:v>
                </c:pt>
                <c:pt idx="58">
                  <c:v>661.99309211643788</c:v>
                </c:pt>
                <c:pt idx="59">
                  <c:v>683.39317531802351</c:v>
                </c:pt>
                <c:pt idx="60">
                  <c:v>704.77951465231536</c:v>
                </c:pt>
                <c:pt idx="61">
                  <c:v>625.95816246292031</c:v>
                </c:pt>
                <c:pt idx="62">
                  <c:v>647.88645878177374</c:v>
                </c:pt>
                <c:pt idx="63">
                  <c:v>669.79945190168928</c:v>
                </c:pt>
                <c:pt idx="64">
                  <c:v>691.69771238133671</c:v>
                </c:pt>
                <c:pt idx="65">
                  <c:v>713.58177174919865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3651728"/>
        <c:axId val="-1163657712"/>
      </c:scatterChart>
      <c:valAx>
        <c:axId val="-1163651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3657712"/>
        <c:crosses val="autoZero"/>
        <c:crossBetween val="midCat"/>
      </c:valAx>
      <c:valAx>
        <c:axId val="-116365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3651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72224"/>
        <c:axId val="-948176576"/>
      </c:scatterChart>
      <c:valAx>
        <c:axId val="-948172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6576"/>
        <c:crosses val="autoZero"/>
        <c:crossBetween val="midCat"/>
      </c:valAx>
      <c:valAx>
        <c:axId val="-94817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3.0269032518129322</c:v>
                </c:pt>
                <c:pt idx="2">
                  <c:v>3.4510915733616798</c:v>
                </c:pt>
                <c:pt idx="3">
                  <c:v>3.9349355306541596</c:v>
                </c:pt>
                <c:pt idx="4">
                  <c:v>4.4868526974752925</c:v>
                </c:pt>
                <c:pt idx="5">
                  <c:v>5.1164520855825444</c:v>
                </c:pt>
                <c:pt idx="6">
                  <c:v>5.8347032704148916</c:v>
                </c:pt>
                <c:pt idx="7">
                  <c:v>6.6541295884695044</c:v>
                </c:pt>
                <c:pt idx="8">
                  <c:v>7.5890288408760744</c:v>
                </c:pt>
                <c:pt idx="9">
                  <c:v>8.6557254288350673</c:v>
                </c:pt>
                <c:pt idx="10">
                  <c:v>9.8728584080982102</c:v>
                </c:pt>
                <c:pt idx="11">
                  <c:v>11.26171059166041</c:v>
                </c:pt>
                <c:pt idx="12">
                  <c:v>12.846584563857478</c:v>
                </c:pt>
                <c:pt idx="13">
                  <c:v>14.655232308341526</c:v>
                </c:pt>
                <c:pt idx="14">
                  <c:v>16.719346112054513</c:v>
                </c:pt>
                <c:pt idx="15">
                  <c:v>19.075119504634994</c:v>
                </c:pt>
                <c:pt idx="16">
                  <c:v>21.763888247456226</c:v>
                </c:pt>
                <c:pt idx="17">
                  <c:v>24.832862821336619</c:v>
                </c:pt>
                <c:pt idx="18">
                  <c:v>28.335965502773913</c:v>
                </c:pt>
                <c:pt idx="19">
                  <c:v>32.334786994948594</c:v>
                </c:pt>
                <c:pt idx="20">
                  <c:v>36.899679725600237</c:v>
                </c:pt>
                <c:pt idx="21">
                  <c:v>42.111007377963539</c:v>
                </c:pt>
                <c:pt idx="22">
                  <c:v>48.060573027602352</c:v>
                </c:pt>
                <c:pt idx="23">
                  <c:v>54.853251467934228</c:v>
                </c:pt>
                <c:pt idx="24">
                  <c:v>62.608854978537124</c:v>
                </c:pt>
                <c:pt idx="25">
                  <c:v>71.464265989385623</c:v>
                </c:pt>
                <c:pt idx="26">
                  <c:v>82.563719294623567</c:v>
                </c:pt>
                <c:pt idx="27">
                  <c:v>93.625433553908593</c:v>
                </c:pt>
                <c:pt idx="28">
                  <c:v>104.65450643928448</c:v>
                </c:pt>
                <c:pt idx="29">
                  <c:v>115.65486902185846</c:v>
                </c:pt>
                <c:pt idx="30">
                  <c:v>126.62964106249451</c:v>
                </c:pt>
                <c:pt idx="31">
                  <c:v>138.03720928084971</c:v>
                </c:pt>
                <c:pt idx="32">
                  <c:v>149.42211714009736</c:v>
                </c:pt>
                <c:pt idx="33">
                  <c:v>160.78633625957769</c:v>
                </c:pt>
                <c:pt idx="34">
                  <c:v>172.13153631847419</c:v>
                </c:pt>
                <c:pt idx="35">
                  <c:v>183.4591485952582</c:v>
                </c:pt>
                <c:pt idx="36">
                  <c:v>166.23431277944658</c:v>
                </c:pt>
                <c:pt idx="37">
                  <c:v>178.47708262774123</c:v>
                </c:pt>
                <c:pt idx="38">
                  <c:v>190.70016980298033</c:v>
                </c:pt>
                <c:pt idx="39">
                  <c:v>202.90501446945498</c:v>
                </c:pt>
                <c:pt idx="40">
                  <c:v>215.09286920303433</c:v>
                </c:pt>
                <c:pt idx="41">
                  <c:v>227.71535422111779</c:v>
                </c:pt>
                <c:pt idx="42">
                  <c:v>240.32182971689406</c:v>
                </c:pt>
                <c:pt idx="43">
                  <c:v>252.91325418581553</c:v>
                </c:pt>
                <c:pt idx="44">
                  <c:v>265.49048283078872</c:v>
                </c:pt>
                <c:pt idx="45">
                  <c:v>278.05428316466657</c:v>
                </c:pt>
                <c:pt idx="46">
                  <c:v>227.71535422111776</c:v>
                </c:pt>
                <c:pt idx="47">
                  <c:v>240.32182971689394</c:v>
                </c:pt>
                <c:pt idx="48">
                  <c:v>252.91325418581553</c:v>
                </c:pt>
                <c:pt idx="49">
                  <c:v>265.49048283078872</c:v>
                </c:pt>
                <c:pt idx="50">
                  <c:v>278.05428316466646</c:v>
                </c:pt>
                <c:pt idx="51">
                  <c:v>290.605347642629</c:v>
                </c:pt>
                <c:pt idx="52">
                  <c:v>303.14430399634125</c:v>
                </c:pt>
                <c:pt idx="53">
                  <c:v>315.67172376772379</c:v>
                </c:pt>
                <c:pt idx="54">
                  <c:v>328.18812941645928</c:v>
                </c:pt>
                <c:pt idx="55">
                  <c:v>340.69400028602269</c:v>
                </c:pt>
                <c:pt idx="56">
                  <c:v>290.1573073928044</c:v>
                </c:pt>
                <c:pt idx="57">
                  <c:v>302.24905332123103</c:v>
                </c:pt>
                <c:pt idx="58">
                  <c:v>314.33003588734283</c:v>
                </c:pt>
                <c:pt idx="59">
                  <c:v>326.40072719926627</c:v>
                </c:pt>
                <c:pt idx="60">
                  <c:v>338.46156158408763</c:v>
                </c:pt>
                <c:pt idx="61">
                  <c:v>350.51293987860362</c:v>
                </c:pt>
                <c:pt idx="62">
                  <c:v>362.55523309892413</c:v>
                </c:pt>
                <c:pt idx="63">
                  <c:v>374.58878559691243</c:v>
                </c:pt>
                <c:pt idx="64">
                  <c:v>386.61391778974098</c:v>
                </c:pt>
                <c:pt idx="65">
                  <c:v>398.63092853204995</c:v>
                </c:pt>
                <c:pt idx="66">
                  <c:v>347.38939529838694</c:v>
                </c:pt>
                <c:pt idx="67">
                  <c:v>358.54212303817758</c:v>
                </c:pt>
                <c:pt idx="68">
                  <c:v>369.68726124979747</c:v>
                </c:pt>
                <c:pt idx="69">
                  <c:v>380.82507105894382</c:v>
                </c:pt>
                <c:pt idx="70">
                  <c:v>391.9557970663318</c:v>
                </c:pt>
                <c:pt idx="71">
                  <c:v>403.07966884306717</c:v>
                </c:pt>
                <c:pt idx="72">
                  <c:v>414.19690225230164</c:v>
                </c:pt>
                <c:pt idx="73">
                  <c:v>425.30770062156677</c:v>
                </c:pt>
                <c:pt idx="74">
                  <c:v>436.41225578619907</c:v>
                </c:pt>
                <c:pt idx="75">
                  <c:v>447.51074902101635</c:v>
                </c:pt>
                <c:pt idx="76">
                  <c:v>395.51617117728159</c:v>
                </c:pt>
                <c:pt idx="77">
                  <c:v>405.74840241601078</c:v>
                </c:pt>
                <c:pt idx="78">
                  <c:v>415.97505730912513</c:v>
                </c:pt>
                <c:pt idx="79">
                  <c:v>426.1962923183093</c:v>
                </c:pt>
                <c:pt idx="80">
                  <c:v>436.41225578619895</c:v>
                </c:pt>
                <c:pt idx="81">
                  <c:v>446.17924414056756</c:v>
                </c:pt>
                <c:pt idx="82">
                  <c:v>455.94165555187675</c:v>
                </c:pt>
                <c:pt idx="83">
                  <c:v>465.69960186105914</c:v>
                </c:pt>
                <c:pt idx="84">
                  <c:v>475.45318983876706</c:v>
                </c:pt>
                <c:pt idx="85">
                  <c:v>485.20252151676596</c:v>
                </c:pt>
                <c:pt idx="86">
                  <c:v>431.97117107689911</c:v>
                </c:pt>
                <c:pt idx="87">
                  <c:v>440.85237069553938</c:v>
                </c:pt>
                <c:pt idx="88">
                  <c:v>449.7297354951624</c:v>
                </c:pt>
                <c:pt idx="89">
                  <c:v>458.60335187474652</c:v>
                </c:pt>
                <c:pt idx="90">
                  <c:v>467.47330261584381</c:v>
                </c:pt>
                <c:pt idx="91">
                  <c:v>476.3396671012876</c:v>
                </c:pt>
                <c:pt idx="92">
                  <c:v>485.20252151676596</c:v>
                </c:pt>
                <c:pt idx="93">
                  <c:v>494.06193903689763</c:v>
                </c:pt>
                <c:pt idx="94">
                  <c:v>502.91798999726456</c:v>
                </c:pt>
                <c:pt idx="95">
                  <c:v>511.7707420536949</c:v>
                </c:pt>
                <c:pt idx="96">
                  <c:v>457.27254508580171</c:v>
                </c:pt>
                <c:pt idx="97">
                  <c:v>464.81269749872439</c:v>
                </c:pt>
                <c:pt idx="98">
                  <c:v>472.35024193902177</c:v>
                </c:pt>
                <c:pt idx="99">
                  <c:v>479.88522591256037</c:v>
                </c:pt>
                <c:pt idx="100">
                  <c:v>487.41769531100323</c:v>
                </c:pt>
                <c:pt idx="101">
                  <c:v>494.94769449130405</c:v>
                </c:pt>
                <c:pt idx="102">
                  <c:v>502.47526635010666</c:v>
                </c:pt>
                <c:pt idx="103">
                  <c:v>510.00045239345712</c:v>
                </c:pt>
                <c:pt idx="104">
                  <c:v>517.52329280218271</c:v>
                </c:pt>
                <c:pt idx="105">
                  <c:v>525.04382649327385</c:v>
                </c:pt>
                <c:pt idx="106">
                  <c:v>469.46854454025112</c:v>
                </c:pt>
                <c:pt idx="107">
                  <c:v>475.89643286197173</c:v>
                </c:pt>
                <c:pt idx="108">
                  <c:v>482.32247430200056</c:v>
                </c:pt>
                <c:pt idx="109">
                  <c:v>488.74669695164266</c:v>
                </c:pt>
                <c:pt idx="110">
                  <c:v>495.16912810307241</c:v>
                </c:pt>
                <c:pt idx="111">
                  <c:v>501.58979428236421</c:v>
                </c:pt>
                <c:pt idx="112">
                  <c:v>508.0087212807461</c:v>
                </c:pt>
                <c:pt idx="113">
                  <c:v>514.42593418418778</c:v>
                </c:pt>
                <c:pt idx="114">
                  <c:v>520.84145740143765</c:v>
                </c:pt>
                <c:pt idx="115">
                  <c:v>527.25531469060468</c:v>
                </c:pt>
                <c:pt idx="116">
                  <c:v>475.23156503028349</c:v>
                </c:pt>
                <c:pt idx="117">
                  <c:v>480.77152842586838</c:v>
                </c:pt>
                <c:pt idx="118">
                  <c:v>486.31013519295101</c:v>
                </c:pt>
                <c:pt idx="119">
                  <c:v>491.84740297234777</c:v>
                </c:pt>
                <c:pt idx="120">
                  <c:v>497.38334897500846</c:v>
                </c:pt>
                <c:pt idx="121">
                  <c:v>502.91798999726478</c:v>
                </c:pt>
                <c:pt idx="122">
                  <c:v>508.45134243537291</c:v>
                </c:pt>
                <c:pt idx="123">
                  <c:v>513.98342229938999</c:v>
                </c:pt>
                <c:pt idx="124">
                  <c:v>519.51424522642094</c:v>
                </c:pt>
                <c:pt idx="125">
                  <c:v>525.04382649327397</c:v>
                </c:pt>
                <c:pt idx="126">
                  <c:v>478.55570686574475</c:v>
                </c:pt>
                <c:pt idx="127">
                  <c:v>482.9871329304242</c:v>
                </c:pt>
                <c:pt idx="128">
                  <c:v>487.41769531100363</c:v>
                </c:pt>
                <c:pt idx="129">
                  <c:v>491.84740297234777</c:v>
                </c:pt>
                <c:pt idx="130">
                  <c:v>496.2762647045401</c:v>
                </c:pt>
                <c:pt idx="131">
                  <c:v>500.7042891278532</c:v>
                </c:pt>
                <c:pt idx="132">
                  <c:v>505.13148469753702</c:v>
                </c:pt>
                <c:pt idx="133">
                  <c:v>509.55785970842754</c:v>
                </c:pt>
                <c:pt idx="134">
                  <c:v>513.98342229938999</c:v>
                </c:pt>
                <c:pt idx="135">
                  <c:v>518.40818045759784</c:v>
                </c:pt>
                <c:pt idx="136">
                  <c:v>479.88522591256054</c:v>
                </c:pt>
                <c:pt idx="137">
                  <c:v>483.43022788495324</c:v>
                </c:pt>
                <c:pt idx="138">
                  <c:v>486.97467768184487</c:v>
                </c:pt>
                <c:pt idx="139">
                  <c:v>490.51857989312686</c:v>
                </c:pt>
                <c:pt idx="140">
                  <c:v>494.06193903689791</c:v>
                </c:pt>
                <c:pt idx="141">
                  <c:v>497.60475956110287</c:v>
                </c:pt>
                <c:pt idx="142">
                  <c:v>501.14704584512788</c:v>
                </c:pt>
                <c:pt idx="143">
                  <c:v>504.68880220134241</c:v>
                </c:pt>
                <c:pt idx="144">
                  <c:v>508.23003287660043</c:v>
                </c:pt>
                <c:pt idx="145">
                  <c:v>511.77074205369507</c:v>
                </c:pt>
                <c:pt idx="146">
                  <c:v>481.21466665466613</c:v>
                </c:pt>
                <c:pt idx="147">
                  <c:v>483.87331421183421</c:v>
                </c:pt>
                <c:pt idx="148">
                  <c:v>486.53165149675277</c:v>
                </c:pt>
                <c:pt idx="149">
                  <c:v>489.18968044574376</c:v>
                </c:pt>
                <c:pt idx="150">
                  <c:v>491.84740297234742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3657168"/>
        <c:axId val="-1163651184"/>
      </c:scatterChart>
      <c:valAx>
        <c:axId val="-1163657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3651184"/>
        <c:crosses val="autoZero"/>
        <c:crossBetween val="midCat"/>
      </c:valAx>
      <c:valAx>
        <c:axId val="-116365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3657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2.680283121218034</c:v>
                </c:pt>
                <c:pt idx="2">
                  <c:v>3.4545244686296885</c:v>
                </c:pt>
                <c:pt idx="3">
                  <c:v>4.4533080625071086</c:v>
                </c:pt>
                <c:pt idx="4">
                  <c:v>5.7419979511284467</c:v>
                </c:pt>
                <c:pt idx="5">
                  <c:v>7.4050517685460058</c:v>
                </c:pt>
                <c:pt idx="6">
                  <c:v>9.5516161224208727</c:v>
                </c:pt>
                <c:pt idx="7">
                  <c:v>12.322766557302819</c:v>
                </c:pt>
                <c:pt idx="8">
                  <c:v>15.900876764715198</c:v>
                </c:pt>
                <c:pt idx="9">
                  <c:v>20.521744898462206</c:v>
                </c:pt>
                <c:pt idx="10">
                  <c:v>26.490290436255407</c:v>
                </c:pt>
                <c:pt idx="11">
                  <c:v>34.200875584810518</c:v>
                </c:pt>
                <c:pt idx="12">
                  <c:v>44.163617070926499</c:v>
                </c:pt>
                <c:pt idx="13">
                  <c:v>57.038458462622685</c:v>
                </c:pt>
                <c:pt idx="14">
                  <c:v>73.67929738453806</c:v>
                </c:pt>
                <c:pt idx="15">
                  <c:v>95.191141763562555</c:v>
                </c:pt>
                <c:pt idx="16">
                  <c:v>108.52141191624349</c:v>
                </c:pt>
                <c:pt idx="17">
                  <c:v>121.81136336551678</c:v>
                </c:pt>
                <c:pt idx="18">
                  <c:v>135.06602142262543</c:v>
                </c:pt>
                <c:pt idx="19">
                  <c:v>148.28934155754467</c:v>
                </c:pt>
                <c:pt idx="20">
                  <c:v>161.48451452071879</c:v>
                </c:pt>
                <c:pt idx="21">
                  <c:v>140.47915335942608</c:v>
                </c:pt>
                <c:pt idx="22">
                  <c:v>154.07875910100151</c:v>
                </c:pt>
                <c:pt idx="23">
                  <c:v>167.64981910306696</c:v>
                </c:pt>
                <c:pt idx="24">
                  <c:v>181.19497120663223</c:v>
                </c:pt>
                <c:pt idx="25">
                  <c:v>194.71642608832357</c:v>
                </c:pt>
                <c:pt idx="26">
                  <c:v>207.7255291875002</c:v>
                </c:pt>
                <c:pt idx="27">
                  <c:v>220.71582086117152</c:v>
                </c:pt>
                <c:pt idx="28">
                  <c:v>233.68856473413157</c:v>
                </c:pt>
                <c:pt idx="29">
                  <c:v>246.64487257347926</c:v>
                </c:pt>
                <c:pt idx="30">
                  <c:v>259.58572972888351</c:v>
                </c:pt>
                <c:pt idx="31">
                  <c:v>236.16931362469481</c:v>
                </c:pt>
                <c:pt idx="32">
                  <c:v>248.00594290788953</c:v>
                </c:pt>
                <c:pt idx="33">
                  <c:v>259.82975417178051</c:v>
                </c:pt>
                <c:pt idx="34">
                  <c:v>271.64141319607967</c:v>
                </c:pt>
                <c:pt idx="35">
                  <c:v>283.44152309866439</c:v>
                </c:pt>
                <c:pt idx="36">
                  <c:v>293.90967089162689</c:v>
                </c:pt>
                <c:pt idx="37">
                  <c:v>304.36949951011036</c:v>
                </c:pt>
                <c:pt idx="38">
                  <c:v>314.82133531032133</c:v>
                </c:pt>
                <c:pt idx="39">
                  <c:v>325.26548119747213</c:v>
                </c:pt>
                <c:pt idx="40">
                  <c:v>335.70221902604538</c:v>
                </c:pt>
                <c:pt idx="41">
                  <c:v>316.07086817578272</c:v>
                </c:pt>
                <c:pt idx="42">
                  <c:v>325.05736550915185</c:v>
                </c:pt>
                <c:pt idx="43">
                  <c:v>334.0383742003807</c:v>
                </c:pt>
                <c:pt idx="44">
                  <c:v>343.01406272963686</c:v>
                </c:pt>
                <c:pt idx="45">
                  <c:v>351.98459003420879</c:v>
                </c:pt>
                <c:pt idx="46">
                  <c:v>359.56579196528884</c:v>
                </c:pt>
                <c:pt idx="47">
                  <c:v>367.14349752591556</c:v>
                </c:pt>
                <c:pt idx="48">
                  <c:v>374.7177891160722</c:v>
                </c:pt>
                <c:pt idx="49">
                  <c:v>382.28874553019364</c:v>
                </c:pt>
                <c:pt idx="50">
                  <c:v>389.85644218478745</c:v>
                </c:pt>
                <c:pt idx="51">
                  <c:v>375.20187616915774</c:v>
                </c:pt>
                <c:pt idx="52">
                  <c:v>381.45921205227029</c:v>
                </c:pt>
                <c:pt idx="53">
                  <c:v>387.71431579254653</c:v>
                </c:pt>
                <c:pt idx="54">
                  <c:v>393.9672285155109</c:v>
                </c:pt>
                <c:pt idx="55">
                  <c:v>400.21798993353877</c:v>
                </c:pt>
                <c:pt idx="56">
                  <c:v>405.36205708340884</c:v>
                </c:pt>
                <c:pt idx="57">
                  <c:v>410.50471314563441</c:v>
                </c:pt>
                <c:pt idx="58">
                  <c:v>415.64597830985366</c:v>
                </c:pt>
                <c:pt idx="59">
                  <c:v>420.78587222499897</c:v>
                </c:pt>
                <c:pt idx="60">
                  <c:v>425.92441402035325</c:v>
                </c:pt>
                <c:pt idx="61">
                  <c:v>415.78397986436988</c:v>
                </c:pt>
                <c:pt idx="62">
                  <c:v>419.95806169884145</c:v>
                </c:pt>
                <c:pt idx="63">
                  <c:v>424.13124984440248</c:v>
                </c:pt>
                <c:pt idx="64">
                  <c:v>428.30355434490451</c:v>
                </c:pt>
                <c:pt idx="65">
                  <c:v>432.47498503233874</c:v>
                </c:pt>
                <c:pt idx="66">
                  <c:v>435.78393460506112</c:v>
                </c:pt>
                <c:pt idx="67">
                  <c:v>439.09234492458501</c:v>
                </c:pt>
                <c:pt idx="68">
                  <c:v>442.4002206321374</c:v>
                </c:pt>
                <c:pt idx="69">
                  <c:v>445.70756629379702</c:v>
                </c:pt>
                <c:pt idx="70">
                  <c:v>449.01438640227207</c:v>
                </c:pt>
                <c:pt idx="71">
                  <c:v>2.5964574826517121E-12</c:v>
                </c:pt>
                <c:pt idx="72">
                  <c:v>2.5964574826517121E-12</c:v>
                </c:pt>
                <c:pt idx="73">
                  <c:v>2.5964574826517121E-12</c:v>
                </c:pt>
                <c:pt idx="74">
                  <c:v>2.5964574826517121E-12</c:v>
                </c:pt>
                <c:pt idx="75">
                  <c:v>2.5964574826517121E-12</c:v>
                </c:pt>
                <c:pt idx="76">
                  <c:v>2.5964574826517121E-12</c:v>
                </c:pt>
                <c:pt idx="77">
                  <c:v>2.5964574826517121E-12</c:v>
                </c:pt>
                <c:pt idx="78">
                  <c:v>2.5964574826517121E-12</c:v>
                </c:pt>
                <c:pt idx="79">
                  <c:v>2.5964574826517121E-12</c:v>
                </c:pt>
                <c:pt idx="80">
                  <c:v>2.5964574826517121E-12</c:v>
                </c:pt>
                <c:pt idx="81">
                  <c:v>2.5964574826517121E-12</c:v>
                </c:pt>
                <c:pt idx="82">
                  <c:v>2.5964574826517121E-12</c:v>
                </c:pt>
                <c:pt idx="83">
                  <c:v>2.5964574826517121E-12</c:v>
                </c:pt>
                <c:pt idx="84">
                  <c:v>2.5964574826517121E-12</c:v>
                </c:pt>
                <c:pt idx="85">
                  <c:v>2.5964574826517121E-12</c:v>
                </c:pt>
                <c:pt idx="86">
                  <c:v>2.5964574826517121E-12</c:v>
                </c:pt>
                <c:pt idx="87">
                  <c:v>2.5964574826517121E-12</c:v>
                </c:pt>
                <c:pt idx="88">
                  <c:v>2.5964574826517121E-12</c:v>
                </c:pt>
                <c:pt idx="89">
                  <c:v>2.5964574826517121E-12</c:v>
                </c:pt>
                <c:pt idx="90">
                  <c:v>2.5964574826517121E-12</c:v>
                </c:pt>
                <c:pt idx="91">
                  <c:v>2.5964574826517121E-12</c:v>
                </c:pt>
                <c:pt idx="92">
                  <c:v>2.5964574826517121E-12</c:v>
                </c:pt>
                <c:pt idx="93">
                  <c:v>2.5964574826517121E-12</c:v>
                </c:pt>
                <c:pt idx="94">
                  <c:v>2.5964574826517121E-12</c:v>
                </c:pt>
                <c:pt idx="95">
                  <c:v>2.5964574826517121E-12</c:v>
                </c:pt>
                <c:pt idx="96">
                  <c:v>2.5964574826517121E-12</c:v>
                </c:pt>
                <c:pt idx="97">
                  <c:v>2.5964574826517121E-12</c:v>
                </c:pt>
                <c:pt idx="98">
                  <c:v>2.5964574826517121E-12</c:v>
                </c:pt>
                <c:pt idx="99">
                  <c:v>2.5964574826517121E-12</c:v>
                </c:pt>
                <c:pt idx="100">
                  <c:v>2.5964574826517121E-12</c:v>
                </c:pt>
                <c:pt idx="101">
                  <c:v>2.5964574826517121E-12</c:v>
                </c:pt>
                <c:pt idx="102">
                  <c:v>2.5964574826517121E-12</c:v>
                </c:pt>
                <c:pt idx="103">
                  <c:v>2.5964574826517121E-12</c:v>
                </c:pt>
                <c:pt idx="104">
                  <c:v>2.5964574826517121E-12</c:v>
                </c:pt>
                <c:pt idx="105">
                  <c:v>2.5964574826517121E-12</c:v>
                </c:pt>
                <c:pt idx="106">
                  <c:v>2.5964574826517121E-12</c:v>
                </c:pt>
                <c:pt idx="107">
                  <c:v>2.5964574826517121E-12</c:v>
                </c:pt>
                <c:pt idx="108">
                  <c:v>2.5964574826517121E-12</c:v>
                </c:pt>
                <c:pt idx="109">
                  <c:v>2.5964574826517121E-12</c:v>
                </c:pt>
                <c:pt idx="110">
                  <c:v>2.5964574826517121E-12</c:v>
                </c:pt>
                <c:pt idx="111">
                  <c:v>2.5964574826517121E-12</c:v>
                </c:pt>
                <c:pt idx="112">
                  <c:v>2.5964574826517121E-12</c:v>
                </c:pt>
                <c:pt idx="113">
                  <c:v>2.5964574826517121E-12</c:v>
                </c:pt>
                <c:pt idx="114">
                  <c:v>2.5964574826517121E-12</c:v>
                </c:pt>
                <c:pt idx="115">
                  <c:v>2.5964574826517121E-12</c:v>
                </c:pt>
                <c:pt idx="116">
                  <c:v>2.5964574826517121E-12</c:v>
                </c:pt>
                <c:pt idx="117">
                  <c:v>2.5964574826517121E-12</c:v>
                </c:pt>
                <c:pt idx="118">
                  <c:v>2.5964574826517121E-12</c:v>
                </c:pt>
                <c:pt idx="119">
                  <c:v>2.5964574826517121E-12</c:v>
                </c:pt>
                <c:pt idx="120">
                  <c:v>2.5964574826517121E-12</c:v>
                </c:pt>
                <c:pt idx="121">
                  <c:v>2.5964574826517121E-12</c:v>
                </c:pt>
                <c:pt idx="122">
                  <c:v>2.5964574826517121E-12</c:v>
                </c:pt>
                <c:pt idx="123">
                  <c:v>2.5964574826517121E-12</c:v>
                </c:pt>
                <c:pt idx="124">
                  <c:v>2.5964574826517121E-12</c:v>
                </c:pt>
                <c:pt idx="125">
                  <c:v>2.5964574826517121E-12</c:v>
                </c:pt>
                <c:pt idx="126">
                  <c:v>2.5964574826517121E-12</c:v>
                </c:pt>
                <c:pt idx="127">
                  <c:v>2.5964574826517121E-12</c:v>
                </c:pt>
                <c:pt idx="128">
                  <c:v>2.5964574826517121E-12</c:v>
                </c:pt>
                <c:pt idx="129">
                  <c:v>2.5964574826517121E-12</c:v>
                </c:pt>
                <c:pt idx="130">
                  <c:v>2.5964574826517121E-12</c:v>
                </c:pt>
                <c:pt idx="131">
                  <c:v>2.5964574826517121E-12</c:v>
                </c:pt>
                <c:pt idx="132">
                  <c:v>2.5964574826517121E-12</c:v>
                </c:pt>
                <c:pt idx="133">
                  <c:v>2.5964574826517121E-12</c:v>
                </c:pt>
                <c:pt idx="134">
                  <c:v>2.5964574826517121E-12</c:v>
                </c:pt>
                <c:pt idx="135">
                  <c:v>2.5964574826517121E-12</c:v>
                </c:pt>
                <c:pt idx="136">
                  <c:v>2.5964574826517121E-12</c:v>
                </c:pt>
                <c:pt idx="137">
                  <c:v>2.5964574826517121E-12</c:v>
                </c:pt>
                <c:pt idx="138">
                  <c:v>2.5964574826517121E-12</c:v>
                </c:pt>
                <c:pt idx="139">
                  <c:v>2.5964574826517121E-12</c:v>
                </c:pt>
                <c:pt idx="140">
                  <c:v>2.5964574826517121E-12</c:v>
                </c:pt>
                <c:pt idx="141">
                  <c:v>2.5964574826517121E-12</c:v>
                </c:pt>
                <c:pt idx="142">
                  <c:v>2.5964574826517121E-12</c:v>
                </c:pt>
                <c:pt idx="143">
                  <c:v>2.5964574826517121E-12</c:v>
                </c:pt>
                <c:pt idx="144">
                  <c:v>2.5964574826517121E-12</c:v>
                </c:pt>
                <c:pt idx="145">
                  <c:v>2.5964574826517121E-12</c:v>
                </c:pt>
                <c:pt idx="146">
                  <c:v>2.5964574826517121E-12</c:v>
                </c:pt>
                <c:pt idx="147">
                  <c:v>2.5964574826517121E-12</c:v>
                </c:pt>
                <c:pt idx="148">
                  <c:v>2.5964574826517121E-12</c:v>
                </c:pt>
                <c:pt idx="149">
                  <c:v>2.5964574826517121E-12</c:v>
                </c:pt>
                <c:pt idx="150">
                  <c:v>2.5964574826517121E-12</c:v>
                </c:pt>
                <c:pt idx="151">
                  <c:v>2.5964574826517121E-12</c:v>
                </c:pt>
                <c:pt idx="152">
                  <c:v>2.5964574826517121E-12</c:v>
                </c:pt>
                <c:pt idx="153">
                  <c:v>2.5964574826517121E-12</c:v>
                </c:pt>
                <c:pt idx="154">
                  <c:v>2.5964574826517121E-12</c:v>
                </c:pt>
                <c:pt idx="155">
                  <c:v>2.5964574826517121E-12</c:v>
                </c:pt>
                <c:pt idx="156">
                  <c:v>2.5964574826517121E-12</c:v>
                </c:pt>
                <c:pt idx="157">
                  <c:v>2.5964574826517121E-12</c:v>
                </c:pt>
                <c:pt idx="158">
                  <c:v>2.5964574826517121E-12</c:v>
                </c:pt>
                <c:pt idx="159">
                  <c:v>2.5964574826517121E-12</c:v>
                </c:pt>
                <c:pt idx="160">
                  <c:v>2.5964574826517121E-12</c:v>
                </c:pt>
                <c:pt idx="161">
                  <c:v>2.5964574826517121E-12</c:v>
                </c:pt>
                <c:pt idx="162">
                  <c:v>2.5964574826517121E-12</c:v>
                </c:pt>
                <c:pt idx="163">
                  <c:v>2.5964574826517121E-12</c:v>
                </c:pt>
                <c:pt idx="164">
                  <c:v>2.5964574826517121E-12</c:v>
                </c:pt>
                <c:pt idx="165">
                  <c:v>2.5964574826517121E-12</c:v>
                </c:pt>
                <c:pt idx="166">
                  <c:v>2.5964574826517121E-12</c:v>
                </c:pt>
                <c:pt idx="167">
                  <c:v>2.5964574826517121E-12</c:v>
                </c:pt>
                <c:pt idx="168">
                  <c:v>2.5964574826517121E-12</c:v>
                </c:pt>
                <c:pt idx="169">
                  <c:v>2.5964574826517121E-12</c:v>
                </c:pt>
                <c:pt idx="170">
                  <c:v>2.5964574826517121E-12</c:v>
                </c:pt>
                <c:pt idx="171">
                  <c:v>2.5964574826517121E-12</c:v>
                </c:pt>
                <c:pt idx="172">
                  <c:v>2.5964574826517121E-12</c:v>
                </c:pt>
                <c:pt idx="173">
                  <c:v>2.5964574826517121E-12</c:v>
                </c:pt>
                <c:pt idx="174">
                  <c:v>2.5964574826517121E-12</c:v>
                </c:pt>
                <c:pt idx="175">
                  <c:v>2.5964574826517121E-12</c:v>
                </c:pt>
                <c:pt idx="176">
                  <c:v>2.5964574826517121E-12</c:v>
                </c:pt>
                <c:pt idx="177">
                  <c:v>2.5964574826517121E-12</c:v>
                </c:pt>
                <c:pt idx="178">
                  <c:v>2.5964574826517121E-12</c:v>
                </c:pt>
                <c:pt idx="179">
                  <c:v>2.5964574826517121E-12</c:v>
                </c:pt>
                <c:pt idx="180">
                  <c:v>2.5964574826517121E-12</c:v>
                </c:pt>
                <c:pt idx="181">
                  <c:v>2.5964574826517121E-12</c:v>
                </c:pt>
                <c:pt idx="182">
                  <c:v>2.5964574826517121E-12</c:v>
                </c:pt>
                <c:pt idx="183">
                  <c:v>2.5964574826517121E-12</c:v>
                </c:pt>
                <c:pt idx="184">
                  <c:v>2.5964574826517121E-12</c:v>
                </c:pt>
                <c:pt idx="185">
                  <c:v>2.5964574826517121E-12</c:v>
                </c:pt>
                <c:pt idx="186">
                  <c:v>2.5964574826517121E-12</c:v>
                </c:pt>
                <c:pt idx="187">
                  <c:v>2.5964574826517121E-12</c:v>
                </c:pt>
                <c:pt idx="188">
                  <c:v>2.5964574826517121E-12</c:v>
                </c:pt>
                <c:pt idx="189">
                  <c:v>2.5964574826517121E-12</c:v>
                </c:pt>
                <c:pt idx="190">
                  <c:v>2.5964574826517121E-12</c:v>
                </c:pt>
                <c:pt idx="191">
                  <c:v>2.5964574826517121E-12</c:v>
                </c:pt>
                <c:pt idx="192">
                  <c:v>2.5964574826517121E-12</c:v>
                </c:pt>
                <c:pt idx="193">
                  <c:v>2.5964574826517121E-12</c:v>
                </c:pt>
                <c:pt idx="194">
                  <c:v>2.5964574826517121E-12</c:v>
                </c:pt>
                <c:pt idx="195">
                  <c:v>2.5964574826517121E-12</c:v>
                </c:pt>
                <c:pt idx="196">
                  <c:v>2.5964574826517121E-12</c:v>
                </c:pt>
                <c:pt idx="197">
                  <c:v>2.5964574826517121E-12</c:v>
                </c:pt>
                <c:pt idx="198">
                  <c:v>2.5964574826517121E-12</c:v>
                </c:pt>
                <c:pt idx="199">
                  <c:v>2.5964574826517121E-12</c:v>
                </c:pt>
                <c:pt idx="200">
                  <c:v>2.5964574826517121E-12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81472"/>
        <c:axId val="-948176032"/>
      </c:scatterChart>
      <c:valAx>
        <c:axId val="-948181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6032"/>
        <c:crosses val="autoZero"/>
        <c:crossBetween val="midCat"/>
      </c:valAx>
      <c:valAx>
        <c:axId val="-94817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8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249.33731901797844</c:v>
                </c:pt>
                <c:pt idx="32">
                  <c:v>271.12437982914287</c:v>
                </c:pt>
                <c:pt idx="33">
                  <c:v>292.8720614577478</c:v>
                </c:pt>
                <c:pt idx="34">
                  <c:v>314.58369804007606</c:v>
                </c:pt>
                <c:pt idx="35">
                  <c:v>336.26212589601369</c:v>
                </c:pt>
                <c:pt idx="36">
                  <c:v>270.95694198990566</c:v>
                </c:pt>
                <c:pt idx="37">
                  <c:v>290.86614008068244</c:v>
                </c:pt>
                <c:pt idx="38">
                  <c:v>310.74490180919639</c:v>
                </c:pt>
                <c:pt idx="39">
                  <c:v>330.59544737419031</c:v>
                </c:pt>
                <c:pt idx="40">
                  <c:v>350.41970861300138</c:v>
                </c:pt>
                <c:pt idx="41">
                  <c:v>370.21938098909931</c:v>
                </c:pt>
                <c:pt idx="42">
                  <c:v>389.99596387103003</c:v>
                </c:pt>
                <c:pt idx="43">
                  <c:v>409.75079221165856</c:v>
                </c:pt>
                <c:pt idx="44">
                  <c:v>429.48506179810988</c:v>
                </c:pt>
                <c:pt idx="45">
                  <c:v>449.19984961855289</c:v>
                </c:pt>
                <c:pt idx="46">
                  <c:v>359.90655706035312</c:v>
                </c:pt>
                <c:pt idx="47">
                  <c:v>375.20719573147335</c:v>
                </c:pt>
                <c:pt idx="48">
                  <c:v>390.49424676672487</c:v>
                </c:pt>
                <c:pt idx="49">
                  <c:v>405.7683169082614</c:v>
                </c:pt>
                <c:pt idx="50">
                  <c:v>421.02996350009448</c:v>
                </c:pt>
                <c:pt idx="51">
                  <c:v>436.2797001920012</c:v>
                </c:pt>
                <c:pt idx="52">
                  <c:v>451.51800180438869</c:v>
                </c:pt>
                <c:pt idx="53">
                  <c:v>466.74530850225364</c:v>
                </c:pt>
                <c:pt idx="54">
                  <c:v>481.96202939615</c:v>
                </c:pt>
                <c:pt idx="55">
                  <c:v>497.1685456647935</c:v>
                </c:pt>
                <c:pt idx="56">
                  <c:v>409.25302869952401</c:v>
                </c:pt>
                <c:pt idx="57">
                  <c:v>420.69831700274079</c:v>
                </c:pt>
                <c:pt idx="58">
                  <c:v>432.13690074430718</c:v>
                </c:pt>
                <c:pt idx="59">
                  <c:v>443.56898242812059</c:v>
                </c:pt>
                <c:pt idx="60">
                  <c:v>454.99475326719266</c:v>
                </c:pt>
                <c:pt idx="61">
                  <c:v>466.41439408694367</c:v>
                </c:pt>
                <c:pt idx="62">
                  <c:v>477.8280761354236</c:v>
                </c:pt>
                <c:pt idx="63">
                  <c:v>489.23596181208927</c:v>
                </c:pt>
                <c:pt idx="64">
                  <c:v>500.63820532506924</c:v>
                </c:pt>
                <c:pt idx="65">
                  <c:v>512.03495328543943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85824"/>
        <c:axId val="-948177664"/>
      </c:scatterChart>
      <c:valAx>
        <c:axId val="-948185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7664"/>
        <c:crosses val="autoZero"/>
        <c:crossBetween val="midCat"/>
      </c:valAx>
      <c:valAx>
        <c:axId val="-94817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85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236.37892704001897</c:v>
                </c:pt>
                <c:pt idx="32">
                  <c:v>255.14008587392505</c:v>
                </c:pt>
                <c:pt idx="33">
                  <c:v>273.870029571327</c:v>
                </c:pt>
                <c:pt idx="34">
                  <c:v>292.57119286733285</c:v>
                </c:pt>
                <c:pt idx="35">
                  <c:v>311.24567377041313</c:v>
                </c:pt>
                <c:pt idx="36">
                  <c:v>236.81560804160597</c:v>
                </c:pt>
                <c:pt idx="37">
                  <c:v>253.8322112206821</c:v>
                </c:pt>
                <c:pt idx="38">
                  <c:v>270.82299004195693</c:v>
                </c:pt>
                <c:pt idx="39">
                  <c:v>287.78979257936163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73856"/>
        <c:axId val="-948186368"/>
      </c:scatterChart>
      <c:valAx>
        <c:axId val="-948173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86368"/>
        <c:crosses val="autoZero"/>
        <c:crossBetween val="midCat"/>
      </c:valAx>
      <c:valAx>
        <c:axId val="-94818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3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73312"/>
        <c:axId val="-948184192"/>
      </c:scatterChart>
      <c:valAx>
        <c:axId val="-948173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84192"/>
        <c:crosses val="autoZero"/>
        <c:crossBetween val="midCat"/>
      </c:valAx>
      <c:valAx>
        <c:axId val="-94818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3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82560"/>
        <c:axId val="-948177120"/>
      </c:scatterChart>
      <c:valAx>
        <c:axId val="-948182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7120"/>
        <c:crosses val="autoZero"/>
        <c:crossBetween val="midCat"/>
      </c:valAx>
      <c:valAx>
        <c:axId val="-9481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82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87456"/>
        <c:axId val="-948175488"/>
      </c:scatterChart>
      <c:valAx>
        <c:axId val="-948187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5488"/>
        <c:crosses val="autoZero"/>
        <c:crossBetween val="midCat"/>
      </c:valAx>
      <c:valAx>
        <c:axId val="-94817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87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172768"/>
        <c:axId val="-948180928"/>
      </c:scatterChart>
      <c:valAx>
        <c:axId val="-948172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80928"/>
        <c:crosses val="autoZero"/>
        <c:crossBetween val="midCat"/>
      </c:valAx>
      <c:valAx>
        <c:axId val="-9481809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172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14" zoomScale="90" zoomScaleNormal="90" workbookViewId="0">
      <selection activeCell="D47" sqref="D4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3</v>
      </c>
      <c r="D5" s="306" t="s">
        <v>229</v>
      </c>
      <c r="E5" s="307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7"/>
      <c r="B6" s="97"/>
      <c r="C6" s="98"/>
      <c r="D6" s="92"/>
      <c r="E6" s="92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5.8" x14ac:dyDescent="0.3">
      <c r="A7" s="303" t="s">
        <v>226</v>
      </c>
      <c r="B7" s="303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35</v>
      </c>
      <c r="C9" s="35">
        <v>0.47299999999999998</v>
      </c>
      <c r="D9" s="36">
        <f t="shared" ref="D9:D18" si="0">C9*$C$5</f>
        <v>1.419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9</v>
      </c>
      <c r="C10" s="35">
        <v>0.184</v>
      </c>
      <c r="D10" s="36">
        <f t="shared" si="0"/>
        <v>0.55200000000000005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</v>
      </c>
      <c r="C11" s="35">
        <v>2.3E-2</v>
      </c>
      <c r="D11" s="36">
        <f t="shared" si="0"/>
        <v>6.9000000000000006E-2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29</v>
      </c>
      <c r="C12" s="35">
        <v>6.7000000000000004E-2</v>
      </c>
      <c r="D12" s="36">
        <f t="shared" si="0"/>
        <v>0.20100000000000001</v>
      </c>
      <c r="E12" s="37">
        <v>75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12</v>
      </c>
      <c r="C13" s="35">
        <v>0.13100000000000001</v>
      </c>
      <c r="D13" s="36">
        <f t="shared" si="0"/>
        <v>0.39300000000000002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9"/>
      <c r="B19" s="39" t="s">
        <v>175</v>
      </c>
      <c r="C19" s="40">
        <f>SUM(C9:C18)</f>
        <v>0.87800000000000011</v>
      </c>
      <c r="D19" s="41">
        <f>SUM(D9:D18)</f>
        <v>2.6340000000000003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laricio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17</v>
      </c>
      <c r="B36" s="63">
        <v>118</v>
      </c>
      <c r="C36" s="63"/>
      <c r="D36" s="63"/>
      <c r="E36" s="54"/>
      <c r="F36" s="54"/>
      <c r="G36" s="54"/>
      <c r="H36" s="54"/>
      <c r="I36" s="52">
        <f>IFERROR(B36/A36,"")</f>
        <v>6.9411764705882355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v>152</v>
      </c>
      <c r="C37" s="63">
        <v>1</v>
      </c>
      <c r="D37" s="63">
        <v>30</v>
      </c>
      <c r="E37" s="54"/>
      <c r="F37" s="54"/>
      <c r="G37" s="54"/>
      <c r="H37" s="54">
        <v>1</v>
      </c>
      <c r="I37" s="56">
        <f t="shared" ref="I37:I55" si="1">IF(A37&lt;&gt;0,(B37-(B36-D36))/(A37-A36),"")</f>
        <v>11.333333333333334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204</v>
      </c>
      <c r="C38" s="63"/>
      <c r="D38" s="63"/>
      <c r="E38" s="54"/>
      <c r="F38" s="54"/>
      <c r="G38" s="54"/>
      <c r="H38" s="54"/>
      <c r="I38" s="56">
        <f t="shared" si="1"/>
        <v>16.399999999999999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292</v>
      </c>
      <c r="C39" s="63">
        <v>2</v>
      </c>
      <c r="D39" s="63">
        <f>54+36</f>
        <v>90</v>
      </c>
      <c r="E39" s="54"/>
      <c r="F39" s="54"/>
      <c r="G39" s="54">
        <v>1</v>
      </c>
      <c r="H39" s="54"/>
      <c r="I39" s="52">
        <f t="shared" si="1"/>
        <v>17.600000000000001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3">
        <v>296</v>
      </c>
      <c r="C40" s="63"/>
      <c r="D40" s="63"/>
      <c r="E40" s="54"/>
      <c r="F40" s="54"/>
      <c r="G40" s="54"/>
      <c r="H40" s="54"/>
      <c r="I40" s="52">
        <f t="shared" si="1"/>
        <v>18.8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63">
        <v>384</v>
      </c>
      <c r="C41" s="63">
        <v>3</v>
      </c>
      <c r="D41" s="63">
        <f>52+48</f>
        <v>100</v>
      </c>
      <c r="E41" s="54"/>
      <c r="F41" s="54"/>
      <c r="G41" s="54"/>
      <c r="H41" s="54"/>
      <c r="I41" s="56">
        <f t="shared" si="1"/>
        <v>17.600000000000001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63">
        <v>384</v>
      </c>
      <c r="C42" s="63"/>
      <c r="D42" s="63"/>
      <c r="E42" s="54"/>
      <c r="F42" s="54"/>
      <c r="G42" s="54"/>
      <c r="H42" s="54"/>
      <c r="I42" s="56">
        <f t="shared" si="1"/>
        <v>20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2">
        <v>50</v>
      </c>
      <c r="B43" s="63">
        <v>471</v>
      </c>
      <c r="C43" s="63">
        <v>4</v>
      </c>
      <c r="D43" s="63">
        <f>57+47</f>
        <v>104</v>
      </c>
      <c r="E43" s="54"/>
      <c r="F43" s="54"/>
      <c r="G43" s="54"/>
      <c r="H43" s="54"/>
      <c r="I43" s="52">
        <f t="shared" si="1"/>
        <v>17.399999999999999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2">
        <v>55</v>
      </c>
      <c r="B44" s="63">
        <v>463</v>
      </c>
      <c r="C44" s="63"/>
      <c r="D44" s="63"/>
      <c r="E44" s="54"/>
      <c r="F44" s="54"/>
      <c r="G44" s="54"/>
      <c r="H44" s="54"/>
      <c r="I44" s="52">
        <f t="shared" si="1"/>
        <v>19.2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2">
        <v>60</v>
      </c>
      <c r="B45" s="63">
        <v>548</v>
      </c>
      <c r="C45" s="63">
        <v>5</v>
      </c>
      <c r="D45" s="63">
        <f>48+32</f>
        <v>80</v>
      </c>
      <c r="E45" s="54"/>
      <c r="F45" s="54"/>
      <c r="G45" s="54"/>
      <c r="H45" s="54"/>
      <c r="I45" s="52">
        <f t="shared" si="1"/>
        <v>17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2">
        <v>65</v>
      </c>
      <c r="B46" s="63">
        <v>555</v>
      </c>
      <c r="C46" s="63">
        <v>6</v>
      </c>
      <c r="D46" s="63">
        <v>555</v>
      </c>
      <c r="E46" s="54"/>
      <c r="F46" s="54"/>
      <c r="G46" s="54"/>
      <c r="H46" s="54"/>
      <c r="I46" s="52">
        <f t="shared" si="1"/>
        <v>17.399999999999999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chevelu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30</v>
      </c>
      <c r="C62" s="63"/>
      <c r="D62" s="63"/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54</v>
      </c>
      <c r="C63" s="63"/>
      <c r="D63" s="63"/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f>66+13</f>
        <v>79</v>
      </c>
      <c r="C64" s="63">
        <v>1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93</v>
      </c>
      <c r="C65" s="63"/>
      <c r="D65" s="63"/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f>107+14</f>
        <v>121</v>
      </c>
      <c r="C66" s="63">
        <v>2</v>
      </c>
      <c r="D66" s="63">
        <f>14+14</f>
        <v>28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121</v>
      </c>
      <c r="C67" s="63"/>
      <c r="D67" s="63"/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f>135+14</f>
        <v>149</v>
      </c>
      <c r="C68" s="63">
        <v>3</v>
      </c>
      <c r="D68" s="63">
        <v>28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148</v>
      </c>
      <c r="C69" s="53"/>
      <c r="D69" s="53"/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175</v>
      </c>
      <c r="C70" s="53">
        <v>4</v>
      </c>
      <c r="D70" s="53">
        <v>28</v>
      </c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172</v>
      </c>
      <c r="C71" s="53"/>
      <c r="D71" s="53"/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197</v>
      </c>
      <c r="C72" s="53">
        <v>5</v>
      </c>
      <c r="D72" s="53">
        <v>28</v>
      </c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53">
        <v>192</v>
      </c>
      <c r="C73" s="53"/>
      <c r="D73" s="53"/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214</v>
      </c>
      <c r="C74" s="53">
        <v>6</v>
      </c>
      <c r="D74" s="53">
        <v>28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95</v>
      </c>
      <c r="B75" s="53">
        <v>226</v>
      </c>
      <c r="C75" s="53">
        <v>7</v>
      </c>
      <c r="D75" s="53">
        <v>28</v>
      </c>
      <c r="E75" s="54"/>
      <c r="F75" s="54"/>
      <c r="G75" s="54"/>
      <c r="H75" s="54"/>
      <c r="I75" s="52">
        <f t="shared" si="2"/>
        <v>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105</v>
      </c>
      <c r="B76" s="53">
        <v>232</v>
      </c>
      <c r="C76" s="53">
        <v>8</v>
      </c>
      <c r="D76" s="53">
        <v>28</v>
      </c>
      <c r="E76" s="54"/>
      <c r="F76" s="54"/>
      <c r="G76" s="54"/>
      <c r="H76" s="54"/>
      <c r="I76" s="52">
        <f t="shared" si="2"/>
        <v>3.4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115</v>
      </c>
      <c r="B77" s="53">
        <v>233</v>
      </c>
      <c r="C77" s="53">
        <v>9</v>
      </c>
      <c r="D77" s="53">
        <v>26</v>
      </c>
      <c r="E77" s="54"/>
      <c r="F77" s="54"/>
      <c r="G77" s="54"/>
      <c r="H77" s="54"/>
      <c r="I77" s="52">
        <f t="shared" si="2"/>
        <v>2.9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125</v>
      </c>
      <c r="B78" s="53">
        <v>232</v>
      </c>
      <c r="C78" s="53">
        <v>10</v>
      </c>
      <c r="D78" s="53">
        <v>23</v>
      </c>
      <c r="E78" s="54"/>
      <c r="F78" s="54"/>
      <c r="G78" s="54"/>
      <c r="H78" s="54"/>
      <c r="I78" s="52">
        <f t="shared" si="2"/>
        <v>2.5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135</v>
      </c>
      <c r="B79" s="53">
        <v>229</v>
      </c>
      <c r="C79" s="53">
        <v>11</v>
      </c>
      <c r="D79" s="53">
        <v>19</v>
      </c>
      <c r="E79" s="54"/>
      <c r="F79" s="54"/>
      <c r="G79" s="54"/>
      <c r="H79" s="54"/>
      <c r="I79" s="52">
        <f t="shared" si="2"/>
        <v>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145</v>
      </c>
      <c r="B80" s="53">
        <v>226</v>
      </c>
      <c r="C80" s="53">
        <v>12</v>
      </c>
      <c r="D80" s="53">
        <v>15</v>
      </c>
      <c r="E80" s="54"/>
      <c r="F80" s="54"/>
      <c r="G80" s="54"/>
      <c r="H80" s="54"/>
      <c r="I80" s="52">
        <f t="shared" si="2"/>
        <v>1.6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217</v>
      </c>
      <c r="C81" s="53">
        <v>13</v>
      </c>
      <c r="D81" s="53">
        <v>217</v>
      </c>
      <c r="E81" s="54"/>
      <c r="F81" s="54"/>
      <c r="G81" s="54"/>
      <c r="H81" s="54"/>
      <c r="I81" s="52">
        <f t="shared" si="2"/>
        <v>1.2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Bouleau verruqueux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51.9</v>
      </c>
      <c r="C88" s="53"/>
      <c r="D88" s="63"/>
      <c r="E88" s="54"/>
      <c r="F88" s="54"/>
      <c r="G88" s="54"/>
      <c r="H88" s="54"/>
      <c r="I88" s="56">
        <f>IFERROR(B88/A88,"")</f>
        <v>3.46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89.3</v>
      </c>
      <c r="C89" s="53">
        <v>1</v>
      </c>
      <c r="D89" s="63">
        <v>19.600000000000001</v>
      </c>
      <c r="E89" s="54"/>
      <c r="F89" s="54"/>
      <c r="G89" s="54"/>
      <c r="H89" s="54">
        <v>1</v>
      </c>
      <c r="I89" s="56">
        <f t="shared" ref="I89:I97" si="3">IF(A89&lt;&gt;0,(B89-(B88-D88))/(A89-A88),"")</f>
        <v>7.4799999999999995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108.2</v>
      </c>
      <c r="C90" s="53"/>
      <c r="D90" s="63"/>
      <c r="E90" s="54"/>
      <c r="F90" s="54"/>
      <c r="G90" s="54"/>
      <c r="H90" s="54"/>
      <c r="I90" s="56">
        <f t="shared" si="3"/>
        <v>7.7000000000000028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145.30000000000001</v>
      </c>
      <c r="C91" s="53">
        <v>2</v>
      </c>
      <c r="D91" s="63">
        <v>20.200000000000003</v>
      </c>
      <c r="E91" s="54"/>
      <c r="F91" s="54"/>
      <c r="G91" s="54"/>
      <c r="H91" s="54">
        <v>1</v>
      </c>
      <c r="I91" s="56">
        <f t="shared" si="3"/>
        <v>7.4200000000000017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159</v>
      </c>
      <c r="C92" s="53"/>
      <c r="D92" s="63"/>
      <c r="E92" s="54"/>
      <c r="F92" s="54"/>
      <c r="G92" s="54"/>
      <c r="H92" s="54"/>
      <c r="I92" s="56">
        <f t="shared" si="3"/>
        <v>6.7799999999999985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189.10000000000002</v>
      </c>
      <c r="C93" s="53">
        <v>3</v>
      </c>
      <c r="D93" s="63">
        <v>16.5</v>
      </c>
      <c r="E93" s="54"/>
      <c r="F93" s="54"/>
      <c r="G93" s="54"/>
      <c r="H93" s="54"/>
      <c r="I93" s="56">
        <f t="shared" si="3"/>
        <v>6.0200000000000049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198.5</v>
      </c>
      <c r="C94" s="53"/>
      <c r="D94" s="63"/>
      <c r="E94" s="54"/>
      <c r="F94" s="54"/>
      <c r="G94" s="54"/>
      <c r="H94" s="54"/>
      <c r="I94" s="56">
        <f t="shared" si="3"/>
        <v>5.1799999999999953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3">
        <v>220.4</v>
      </c>
      <c r="C95" s="53">
        <v>4</v>
      </c>
      <c r="D95" s="63">
        <v>12.1</v>
      </c>
      <c r="E95" s="54"/>
      <c r="F95" s="54"/>
      <c r="G95" s="54"/>
      <c r="H95" s="54"/>
      <c r="I95" s="56">
        <f t="shared" si="3"/>
        <v>4.3800000000000008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63">
        <v>226.4</v>
      </c>
      <c r="C96" s="53"/>
      <c r="D96" s="63"/>
      <c r="E96" s="54"/>
      <c r="F96" s="54"/>
      <c r="G96" s="54"/>
      <c r="H96" s="54"/>
      <c r="I96" s="56">
        <f t="shared" si="3"/>
        <v>3.6199999999999988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63">
        <v>241.29999999999998</v>
      </c>
      <c r="C97" s="53">
        <v>5</v>
      </c>
      <c r="D97" s="63">
        <v>8.3000000000000007</v>
      </c>
      <c r="E97" s="54"/>
      <c r="F97" s="54"/>
      <c r="G97" s="54"/>
      <c r="H97" s="54"/>
      <c r="I97" s="56">
        <f t="shared" si="3"/>
        <v>2.9799999999999955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63">
        <v>245.1</v>
      </c>
      <c r="C98" s="53"/>
      <c r="D98" s="63"/>
      <c r="E98" s="54"/>
      <c r="F98" s="54"/>
      <c r="G98" s="54"/>
      <c r="H98" s="54"/>
      <c r="I98" s="56">
        <f t="shared" ref="I98:I107" si="4">IF(A98&lt;&gt;0,(B98-(B97-D97))/(A98-A97),"")</f>
        <v>2.4200000000000044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63">
        <v>254.7</v>
      </c>
      <c r="C99" s="53">
        <v>6</v>
      </c>
      <c r="D99" s="63">
        <v>254.7</v>
      </c>
      <c r="E99" s="54"/>
      <c r="F99" s="54"/>
      <c r="G99" s="54"/>
      <c r="H99" s="54"/>
      <c r="I99" s="56">
        <f t="shared" si="4"/>
        <v>1.9199999999999988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Merisier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25</v>
      </c>
      <c r="B114" s="63">
        <v>89</v>
      </c>
      <c r="C114" s="63">
        <v>1</v>
      </c>
      <c r="D114" s="63">
        <v>28</v>
      </c>
      <c r="E114" s="54"/>
      <c r="F114" s="54"/>
      <c r="G114" s="54"/>
      <c r="H114" s="54">
        <v>1</v>
      </c>
      <c r="I114" s="56">
        <f>IFERROR(B114/A114,"")</f>
        <v>3.56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132</v>
      </c>
      <c r="C115" s="63"/>
      <c r="D115" s="63"/>
      <c r="E115" s="54"/>
      <c r="F115" s="54"/>
      <c r="G115" s="54"/>
      <c r="H115" s="54"/>
      <c r="I115" s="56">
        <f>IF(A115&lt;&gt;0,(B115-(B114-D114))/(A115-A114),"")</f>
        <v>14.2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35</v>
      </c>
      <c r="B116" s="63">
        <f>173+24</f>
        <v>197</v>
      </c>
      <c r="C116" s="63">
        <v>2</v>
      </c>
      <c r="D116" s="63">
        <f>24+27</f>
        <v>51</v>
      </c>
      <c r="E116" s="54"/>
      <c r="F116" s="54"/>
      <c r="G116" s="54"/>
      <c r="H116" s="54"/>
      <c r="I116" s="56">
        <f>IF(A116&lt;&gt;0,(B116-(B115-D115))/(A116-A115),"")</f>
        <v>13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45</v>
      </c>
      <c r="B117" s="63">
        <f>233+32</f>
        <v>265</v>
      </c>
      <c r="C117" s="63">
        <v>3</v>
      </c>
      <c r="D117" s="63">
        <f>32+31</f>
        <v>63</v>
      </c>
      <c r="E117" s="54"/>
      <c r="F117" s="54"/>
      <c r="G117" s="54"/>
      <c r="H117" s="54"/>
      <c r="I117" s="56">
        <f>IF(A117&lt;&gt;0,(B117-(B116-D116))/(A117-A116),"")</f>
        <v>11.9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55</v>
      </c>
      <c r="B118" s="63">
        <f>264+30</f>
        <v>294</v>
      </c>
      <c r="C118" s="63">
        <v>4</v>
      </c>
      <c r="D118" s="63">
        <v>60</v>
      </c>
      <c r="E118" s="54"/>
      <c r="F118" s="54"/>
      <c r="G118" s="54"/>
      <c r="H118" s="54"/>
      <c r="I118" s="56">
        <f>IF(A118&lt;&gt;0,(B118-(B117-D117))/(A118-A117),"")</f>
        <v>9.1999999999999993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65</v>
      </c>
      <c r="B119" s="63">
        <f>276+27</f>
        <v>303</v>
      </c>
      <c r="C119" s="63">
        <v>5</v>
      </c>
      <c r="D119" s="63">
        <f>26+27</f>
        <v>53</v>
      </c>
      <c r="E119" s="54"/>
      <c r="F119" s="54"/>
      <c r="G119" s="54"/>
      <c r="H119" s="54"/>
      <c r="I119" s="56">
        <f>IF(A119&lt;&gt;0,(B119-(B118-D118))/(A119-A118),"")</f>
        <v>6.9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70</v>
      </c>
      <c r="B120" s="63">
        <v>280</v>
      </c>
      <c r="C120" s="63">
        <v>6</v>
      </c>
      <c r="D120" s="63">
        <v>20</v>
      </c>
      <c r="E120" s="54"/>
      <c r="F120" s="54"/>
      <c r="G120" s="54"/>
      <c r="H120" s="54"/>
      <c r="I120" s="56">
        <f>IF(A120&lt;&gt;0,(B120-(B119-D119))/(A120-A119),"")</f>
        <v>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75</v>
      </c>
      <c r="B121" s="63">
        <v>286</v>
      </c>
      <c r="C121" s="63">
        <v>7</v>
      </c>
      <c r="D121" s="63">
        <v>286</v>
      </c>
      <c r="E121" s="54"/>
      <c r="F121" s="54"/>
      <c r="G121" s="54"/>
      <c r="H121" s="54"/>
      <c r="I121" s="56">
        <f>IF(A121&lt;&gt;0,(B121-(B120-D120))/(A121-A120),"")</f>
        <v>5.2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/>
      <c r="B122" s="53"/>
      <c r="C122" s="53"/>
      <c r="D122" s="53"/>
      <c r="E122" s="54"/>
      <c r="F122" s="54"/>
      <c r="G122" s="54"/>
      <c r="H122" s="54"/>
      <c r="I122" s="56" t="str">
        <f>IF(A122&lt;&gt;0,(B122-(B121-D121))/(A122-A121),"")</f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53"/>
      <c r="C123" s="53"/>
      <c r="D123" s="53"/>
      <c r="E123" s="54"/>
      <c r="F123" s="54"/>
      <c r="G123" s="54"/>
      <c r="H123" s="54"/>
      <c r="I123" s="56" t="str">
        <f t="shared" ref="I123:I133" si="5">IF(A123&lt;&gt;0,(B123-(B122-D122))/(A123-A122),"")</f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53"/>
      <c r="C124" s="53"/>
      <c r="D124" s="53"/>
      <c r="E124" s="54"/>
      <c r="F124" s="54"/>
      <c r="G124" s="54"/>
      <c r="H124" s="54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53"/>
      <c r="C125" s="53"/>
      <c r="D125" s="53"/>
      <c r="E125" s="54"/>
      <c r="F125" s="54"/>
      <c r="G125" s="54"/>
      <c r="H125" s="54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53"/>
      <c r="C126" s="53"/>
      <c r="D126" s="53"/>
      <c r="E126" s="54"/>
      <c r="F126" s="54"/>
      <c r="G126" s="54"/>
      <c r="H126" s="54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53"/>
      <c r="C127" s="53"/>
      <c r="D127" s="53"/>
      <c r="E127" s="54"/>
      <c r="F127" s="54"/>
      <c r="G127" s="54"/>
      <c r="H127" s="54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4"/>
      <c r="F128" s="54"/>
      <c r="G128" s="54"/>
      <c r="H128" s="54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4"/>
      <c r="F129" s="54"/>
      <c r="G129" s="54"/>
      <c r="H129" s="54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4"/>
      <c r="F130" s="54"/>
      <c r="G130" s="54"/>
      <c r="H130" s="54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4"/>
      <c r="F131" s="54"/>
      <c r="G131" s="54"/>
      <c r="H131" s="54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4"/>
      <c r="F132" s="54"/>
      <c r="G132" s="54"/>
      <c r="H132" s="54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4"/>
      <c r="F133" s="54"/>
      <c r="G133" s="54"/>
      <c r="H133" s="54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pubescent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3">
        <v>42</v>
      </c>
      <c r="C140" s="53"/>
      <c r="D140" s="63"/>
      <c r="E140" s="54"/>
      <c r="F140" s="54"/>
      <c r="G140" s="54"/>
      <c r="H140" s="54"/>
      <c r="I140" s="60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3">
        <v>70</v>
      </c>
      <c r="C141" s="53">
        <v>1</v>
      </c>
      <c r="D141" s="63">
        <v>8</v>
      </c>
      <c r="E141" s="54"/>
      <c r="F141" s="54"/>
      <c r="G141" s="54"/>
      <c r="H141" s="54">
        <v>1</v>
      </c>
      <c r="I141" s="60">
        <f t="shared" ref="I141:I159" si="6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3">
        <v>97</v>
      </c>
      <c r="C142" s="53"/>
      <c r="D142" s="63"/>
      <c r="E142" s="54"/>
      <c r="F142" s="54"/>
      <c r="G142" s="54"/>
      <c r="H142" s="54"/>
      <c r="I142" s="60">
        <f t="shared" si="6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3">
        <v>140</v>
      </c>
      <c r="C143" s="53">
        <v>2</v>
      </c>
      <c r="D143" s="63">
        <v>42</v>
      </c>
      <c r="E143" s="54"/>
      <c r="F143" s="54"/>
      <c r="G143" s="54"/>
      <c r="H143" s="54"/>
      <c r="I143" s="60">
        <f t="shared" si="6"/>
        <v>8.6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3">
        <v>137</v>
      </c>
      <c r="C144" s="53"/>
      <c r="D144" s="63"/>
      <c r="E144" s="54"/>
      <c r="F144" s="54"/>
      <c r="G144" s="54"/>
      <c r="H144" s="54"/>
      <c r="I144" s="60">
        <f t="shared" si="6"/>
        <v>7.8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3">
        <v>179</v>
      </c>
      <c r="C145" s="53">
        <v>3</v>
      </c>
      <c r="D145" s="63">
        <v>42</v>
      </c>
      <c r="E145" s="54"/>
      <c r="F145" s="54"/>
      <c r="G145" s="54"/>
      <c r="H145" s="54"/>
      <c r="I145" s="60">
        <f t="shared" si="6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3">
        <v>178</v>
      </c>
      <c r="C146" s="53"/>
      <c r="D146" s="63"/>
      <c r="E146" s="54"/>
      <c r="F146" s="54"/>
      <c r="G146" s="54"/>
      <c r="H146" s="54"/>
      <c r="I146" s="60">
        <f t="shared" si="6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3">
        <v>218</v>
      </c>
      <c r="C147" s="53">
        <v>4</v>
      </c>
      <c r="D147" s="63">
        <v>42</v>
      </c>
      <c r="E147" s="54"/>
      <c r="F147" s="54"/>
      <c r="G147" s="54"/>
      <c r="H147" s="54"/>
      <c r="I147" s="60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63">
        <v>214</v>
      </c>
      <c r="C148" s="53"/>
      <c r="D148" s="63"/>
      <c r="E148" s="54"/>
      <c r="F148" s="54"/>
      <c r="G148" s="54"/>
      <c r="H148" s="54"/>
      <c r="I148" s="60">
        <f t="shared" si="6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63">
        <v>250</v>
      </c>
      <c r="C149" s="53">
        <v>5</v>
      </c>
      <c r="D149" s="63">
        <v>42</v>
      </c>
      <c r="E149" s="54"/>
      <c r="F149" s="54"/>
      <c r="G149" s="54"/>
      <c r="H149" s="54"/>
      <c r="I149" s="60">
        <f t="shared" si="6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63">
        <v>242</v>
      </c>
      <c r="C150" s="53"/>
      <c r="D150" s="63"/>
      <c r="E150" s="54"/>
      <c r="F150" s="54"/>
      <c r="G150" s="54"/>
      <c r="H150" s="54"/>
      <c r="I150" s="60">
        <f t="shared" si="6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63">
        <v>273</v>
      </c>
      <c r="C151" s="53">
        <v>6</v>
      </c>
      <c r="D151" s="63">
        <v>42</v>
      </c>
      <c r="E151" s="54"/>
      <c r="F151" s="54"/>
      <c r="G151" s="54"/>
      <c r="H151" s="54"/>
      <c r="I151" s="60">
        <f t="shared" si="6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85</v>
      </c>
      <c r="B152" s="63">
        <v>290</v>
      </c>
      <c r="C152" s="53">
        <v>7</v>
      </c>
      <c r="D152" s="63">
        <v>42</v>
      </c>
      <c r="E152" s="57"/>
      <c r="F152" s="57"/>
      <c r="G152" s="57"/>
      <c r="H152" s="57"/>
      <c r="I152" s="60">
        <f t="shared" si="6"/>
        <v>5.9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95</v>
      </c>
      <c r="B153" s="63">
        <v>300</v>
      </c>
      <c r="C153" s="53">
        <v>8</v>
      </c>
      <c r="D153" s="63">
        <v>42</v>
      </c>
      <c r="E153" s="57"/>
      <c r="F153" s="57"/>
      <c r="G153" s="57"/>
      <c r="H153" s="57"/>
      <c r="I153" s="60">
        <f t="shared" si="6"/>
        <v>5.2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>
        <v>105</v>
      </c>
      <c r="B154" s="59">
        <v>305</v>
      </c>
      <c r="C154" s="53">
        <v>9</v>
      </c>
      <c r="D154" s="53">
        <v>41</v>
      </c>
      <c r="E154" s="57"/>
      <c r="F154" s="57"/>
      <c r="G154" s="57"/>
      <c r="H154" s="57"/>
      <c r="I154" s="60">
        <f t="shared" si="6"/>
        <v>4.7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>
        <v>115</v>
      </c>
      <c r="B155" s="59">
        <v>304</v>
      </c>
      <c r="C155" s="53">
        <v>10</v>
      </c>
      <c r="D155" s="53">
        <v>37</v>
      </c>
      <c r="E155" s="57"/>
      <c r="F155" s="57"/>
      <c r="G155" s="57"/>
      <c r="H155" s="57"/>
      <c r="I155" s="60">
        <f t="shared" si="6"/>
        <v>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>
        <v>125</v>
      </c>
      <c r="B156" s="59">
        <v>301</v>
      </c>
      <c r="C156" s="53">
        <v>11</v>
      </c>
      <c r="D156" s="53">
        <v>33</v>
      </c>
      <c r="E156" s="57"/>
      <c r="F156" s="57"/>
      <c r="G156" s="57"/>
      <c r="H156" s="57"/>
      <c r="I156" s="60">
        <f t="shared" si="6"/>
        <v>3.4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>
        <v>135</v>
      </c>
      <c r="B157" s="59">
        <v>298</v>
      </c>
      <c r="C157" s="53">
        <v>12</v>
      </c>
      <c r="D157" s="53">
        <v>29</v>
      </c>
      <c r="E157" s="57"/>
      <c r="F157" s="57"/>
      <c r="G157" s="57"/>
      <c r="H157" s="57"/>
      <c r="I157" s="60">
        <f t="shared" si="6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>
        <v>145</v>
      </c>
      <c r="B158" s="59">
        <v>295</v>
      </c>
      <c r="C158" s="53"/>
      <c r="D158" s="53"/>
      <c r="E158" s="57"/>
      <c r="F158" s="57"/>
      <c r="G158" s="57"/>
      <c r="H158" s="57"/>
      <c r="I158" s="60">
        <f t="shared" si="6"/>
        <v>2.6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>
        <v>150</v>
      </c>
      <c r="B159" s="59">
        <v>306</v>
      </c>
      <c r="C159" s="53">
        <v>13</v>
      </c>
      <c r="D159" s="61">
        <v>306</v>
      </c>
      <c r="E159" s="57"/>
      <c r="F159" s="57"/>
      <c r="G159" s="57"/>
      <c r="H159" s="57"/>
      <c r="I159" s="60">
        <f t="shared" si="6"/>
        <v>2.2000000000000002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3"/>
      <c r="B231" s="63"/>
      <c r="C231" s="93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3"/>
      <c r="B257" s="63"/>
      <c r="C257" s="93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3">
      <c r="A8" s="113">
        <v>1</v>
      </c>
      <c r="B8" s="64">
        <v>0</v>
      </c>
      <c r="C8" s="52" t="s">
        <v>177</v>
      </c>
      <c r="D8" s="25"/>
      <c r="E8" s="113">
        <v>4</v>
      </c>
      <c r="F8" s="64">
        <v>0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3">
        <v>2</v>
      </c>
      <c r="B9" s="64">
        <v>1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0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3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4">
        <f>SUM(B16:B18)</f>
        <v>0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S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laricio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chevelu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Bouleau verruqueux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Merisier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Chêne pubescent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327.17622590628559</v>
      </c>
      <c r="T3" s="62">
        <f>IF('Données projet'!E9&gt;30,$R$33-$H$33,LOOKUP('Données projet'!$E$9,$A$3:$A$203,R3:R203)-LOOKUP('Données projet'!$E$9,$A$3:$A$203,$H$3:$H$203))</f>
        <v>379.61248288852113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276.87402314479681</v>
      </c>
      <c r="AO3" s="62">
        <f>IF('Données projet'!E10&gt;30,$AM$33-$H$33,LOOKUP('Données projet'!$E$10,$A$3:$A$203,AM3:AM203)-LOOKUP('Données projet'!$E$10,$A$3:$A$203,$H$3:$H$203))</f>
        <v>125.27302863901997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236.29093866505224</v>
      </c>
      <c r="BJ3" s="62">
        <f>IF('Données projet'!E11&gt;30,$BH$33-$H$33,LOOKUP('Données projet'!$E$11,$A$3:$A$203,BH3:BH203)-LOOKUP('Données projet'!$E$11,$A$3:$A$203,$H$3:$H$203))</f>
        <v>258.22911730540892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250.84814055099969</v>
      </c>
      <c r="CE3" s="62">
        <f>IF('Données projet'!E12&gt;30,$CC$33-$H$33,LOOKUP('Données projet'!$E$12,$A$3:$A$203,CC3:CC203)-LOOKUP('Données projet'!$E$12,$A$3:$A$203,$H$3:$H$203))</f>
        <v>226.15029417484465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385.00782828233201</v>
      </c>
      <c r="CZ3" s="62">
        <f>IF('Données projet'!E13&gt;30,$CX$33-$H$33,LOOKUP('Données projet'!$E$13,$A$3:$A$203,CX3:CX203)-LOOKUP('Données projet'!$E$13,$A$3:$A$203,$H$3:$H$203))</f>
        <v>216.22708298332475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258.08783604613262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6.9411764705882355</v>
      </c>
      <c r="N4" s="14">
        <f>IF('Données projet'!$A$36&gt;35,N3+M4-V3,IF(A4&lt;'Données projet'!$A$36,$K$205^A4,IF(A4='Données projet'!$A$36,'Données projet'!$B$36,N3+M4-V3)))</f>
        <v>1.3239616704988877</v>
      </c>
      <c r="O4" s="14">
        <f>N4*VLOOKUP('Données projet'!$B$9,Paramètres!$A$1:$I$89,3,0)*VLOOKUP('Données projet'!$B$9,Paramètres!$A$1:$I$89,5,0)</f>
        <v>0.79172907895833489</v>
      </c>
      <c r="P4" s="14">
        <f>EXP(-1.0587+0.8836*LN(O4)+0.284)</f>
        <v>0.37491631974909195</v>
      </c>
      <c r="Q4" s="22">
        <f t="shared" ref="Q4:Q34" si="2">(O4+P4)*0.475*44/12</f>
        <v>2.031907402748768</v>
      </c>
      <c r="R4" s="62">
        <f t="shared" si="0"/>
        <v>259.9207962916376</v>
      </c>
      <c r="S4" s="62">
        <f ca="1">AVERAGE(OFFSET($R$3,0,0,'Données projet'!$E$9+1,1))-AVERAGE(OFFSET($H$3,0,0,'Données projet'!$E$9+1,1))</f>
        <v>327.17622590628559</v>
      </c>
      <c r="T4" s="62">
        <f>$T$3</f>
        <v>379.61248288852113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1.1975240695462721</v>
      </c>
      <c r="AK4" s="14">
        <f>EXP(-1.0587+0.8836*LN(AJ4)+0.284)</f>
        <v>0.54041081187742124</v>
      </c>
      <c r="AL4" s="22">
        <f t="shared" ref="AL4:AL67" si="4">(AJ4+AK4)*0.475*44/12</f>
        <v>3.0269032518129322</v>
      </c>
      <c r="AM4" s="62">
        <f t="shared" ref="AM4:AM67" si="5">AL4+(AD4+AE4)*44/12</f>
        <v>260.9157921407018</v>
      </c>
      <c r="AN4" s="62">
        <f ca="1">AVERAGE(OFFSET($AM$3,0,0,'Données projet'!$E$10+1,1))-AVERAGE(OFFSET($H$3,0,0,'Données projet'!$E$10+1,1))</f>
        <v>276.87402314479681</v>
      </c>
      <c r="AO4" s="62">
        <f>$AO$3</f>
        <v>125.27302863901997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3.46</v>
      </c>
      <c r="BD4" s="13">
        <f>IF('Données projet'!$A$88&gt;35,BD3+BC4-BL3,IF(A4&lt;'Données projet'!$A$88,$BA$205^A4,IF(A4='Données projet'!$A$88,'Données projet'!$B$88,BD3+BC4-BL3)))</f>
        <v>1.301201306051178</v>
      </c>
      <c r="BE4" s="14">
        <f>BD4*VLOOKUP('Données projet'!$B$11,Paramètres!$A$1:$I$89,3,0)*VLOOKUP('Données projet'!$B$11,Paramètres!$A$1:$I$89,5,0)</f>
        <v>1.0555344994687157</v>
      </c>
      <c r="BF4" s="14">
        <f>EXP(-1.0587+0.8836*LN(BE4)+0.284)</f>
        <v>0.48338403902967697</v>
      </c>
      <c r="BG4" s="22">
        <f t="shared" ref="BG4:BG67" si="7">(BE4+BF4)*0.475*44/12</f>
        <v>2.680283121218034</v>
      </c>
      <c r="BH4" s="62">
        <f t="shared" ref="BH4:BH67" si="8">BG4+(AY4+AZ4)*44/12</f>
        <v>260.56917201010691</v>
      </c>
      <c r="BI4" s="62">
        <f ca="1">AVERAGE(OFFSET($BH$3,0,0,'Données projet'!$E$11+1,1))-AVERAGE(OFFSET($H$3,0,0,'Données projet'!$E$11+1,1))</f>
        <v>236.29093866505224</v>
      </c>
      <c r="BJ4" s="62">
        <f>$BJ$3</f>
        <v>258.22911730540892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3.56</v>
      </c>
      <c r="BY4" s="13">
        <f>IF('Données projet'!$A$114&gt;35,BY3+BX4-CG3,IF(A4&lt;'Données projet'!$A$114,$BV$205^A4,IF(A4='Données projet'!$A$114,'Données projet'!$B$114,BY3+BX4-CG3)))</f>
        <v>1.1966732973638288</v>
      </c>
      <c r="BZ4" s="14">
        <f>BY4*VLOOKUP('Données projet'!$B$12,Paramètres!$A$1:$I$89,3,0)*VLOOKUP('Données projet'!$B$12,Paramètres!$A$1:$I$89,5,0)</f>
        <v>0.93340517194378647</v>
      </c>
      <c r="CA4" s="14">
        <f>EXP(-1.0587+0.8836*LN(BZ4)+0.284)</f>
        <v>0.43361679609549247</v>
      </c>
      <c r="CB4" s="22">
        <f t="shared" ref="CB4:CB67" si="10">(BZ4+CA4)*0.475*44/12</f>
        <v>2.3808965943350775</v>
      </c>
      <c r="CC4" s="62">
        <f t="shared" ref="CC4:CC67" si="11">CB4+(BT4+BU4)*44/12</f>
        <v>260.26978548322393</v>
      </c>
      <c r="CD4" s="62">
        <f ca="1">AVERAGE(OFFSET($CC$3,0,0,'Données projet'!$E$12+1,1))-AVERAGE(OFFSET($H$3,0,0,'Données projet'!$E$12+1,1))</f>
        <v>250.84814055099969</v>
      </c>
      <c r="CE4" s="62">
        <f>$CE$3</f>
        <v>226.15029417484465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1.2223636300497438</v>
      </c>
      <c r="CV4" s="14">
        <f>EXP(-1.0587+0.8836*LN(CU4)+0.284)</f>
        <v>0.55030360208821416</v>
      </c>
      <c r="CW4" s="22">
        <f t="shared" ref="CW4:CW67" si="13">(CU4+CV4)*0.475*44/12</f>
        <v>3.0873954293069432</v>
      </c>
      <c r="CX4" s="62">
        <f t="shared" ref="CX4:CX67" si="14">CW4+(CO4+CP4)*44/12</f>
        <v>260.97628431819578</v>
      </c>
      <c r="CY4" s="62">
        <f ca="1">AVERAGE(OFFSET($CX$3,0,0,'Données projet'!$E$13+1,1))-AVERAGE(OFFSET($H$3,0,0,'Données projet'!$E$13+1,1))</f>
        <v>385.00782828233201</v>
      </c>
      <c r="CZ4" s="62">
        <f>$CZ$3</f>
        <v>216.22708298332475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259.43610890414124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6.9411764705882355</v>
      </c>
      <c r="N5" s="14">
        <f>IF('Données projet'!$A$36&gt;35,N4+M5-V4,IF(A5&lt;'Données projet'!$A$36,$K$205^A5,IF(A5='Données projet'!$A$36,'Données projet'!$B$36,N4+M5-V4)))</f>
        <v>1.7528745049502052</v>
      </c>
      <c r="O5" s="14">
        <f>N5*VLOOKUP('Données projet'!$B$9,Paramètres!$A$1:$I$89,3,0)*VLOOKUP('Données projet'!$B$9,Paramètres!$A$1:$I$89,5,0)</f>
        <v>1.0482189539602227</v>
      </c>
      <c r="P5" s="14">
        <f t="shared" ref="P5:P68" si="33">EXP(-1.0587+0.8836*LN(O5)+0.284)</f>
        <v>0.48042263342477459</v>
      </c>
      <c r="Q5" s="22">
        <f t="shared" si="2"/>
        <v>2.6623840980288702</v>
      </c>
      <c r="R5" s="62">
        <f t="shared" si="0"/>
        <v>261.77349520914004</v>
      </c>
      <c r="S5" s="62">
        <f ca="1">AVERAGE(OFFSET($R$3,0,0,'Données projet'!$E$9+1,1))-AVERAGE(OFFSET($H$3,0,0,'Données projet'!$E$9+1,1))</f>
        <v>327.17622590628559</v>
      </c>
      <c r="T5" s="62">
        <f t="shared" ref="T5:T68" si="34">$T$3</f>
        <v>379.61248288852113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1.3720473566232918</v>
      </c>
      <c r="AK5" s="14">
        <f t="shared" ref="AK5:AK68" si="35">EXP(-1.0587+0.8836*LN(AJ5)+0.284)</f>
        <v>0.60944062808197874</v>
      </c>
      <c r="AL5" s="22">
        <f t="shared" si="4"/>
        <v>3.4510915733616798</v>
      </c>
      <c r="AM5" s="62">
        <f t="shared" si="5"/>
        <v>262.56220268447282</v>
      </c>
      <c r="AN5" s="62">
        <f ca="1">AVERAGE(OFFSET($AM$3,0,0,'Données projet'!$E$10+1,1))-AVERAGE(OFFSET($H$3,0,0,'Données projet'!$E$10+1,1))</f>
        <v>276.87402314479681</v>
      </c>
      <c r="AO5" s="62">
        <f t="shared" ref="AO5:AO68" si="36">$AO$3</f>
        <v>125.27302863901997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3.46</v>
      </c>
      <c r="BD5" s="13">
        <f>IF('Données projet'!$A$88&gt;35,BD4+BC5-BL4,IF(A5&lt;'Données projet'!$A$88,$BA$205^A5,IF(A5='Données projet'!$A$88,'Données projet'!$B$88,BD4+BC5-BL4)))</f>
        <v>1.6931248388692914</v>
      </c>
      <c r="BE5" s="14">
        <f>BD5*VLOOKUP('Données projet'!$B$11,Paramètres!$A$1:$I$89,3,0)*VLOOKUP('Données projet'!$B$11,Paramètres!$A$1:$I$89,5,0)</f>
        <v>1.3734628692907693</v>
      </c>
      <c r="BF5" s="14">
        <f t="shared" ref="BF5:BF68" si="37">EXP(-1.0587+0.8836*LN(BE5)+0.284)</f>
        <v>0.60999615575976951</v>
      </c>
      <c r="BG5" s="22">
        <f t="shared" si="7"/>
        <v>3.4545244686296885</v>
      </c>
      <c r="BH5" s="62">
        <f t="shared" si="8"/>
        <v>262.56563557974084</v>
      </c>
      <c r="BI5" s="62">
        <f ca="1">AVERAGE(OFFSET($BH$3,0,0,'Données projet'!$E$11+1,1))-AVERAGE(OFFSET($H$3,0,0,'Données projet'!$E$11+1,1))</f>
        <v>236.29093866505224</v>
      </c>
      <c r="BJ5" s="62">
        <f t="shared" ref="BJ5:BJ68" si="38">$BJ$3</f>
        <v>258.22911730540892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3.56</v>
      </c>
      <c r="BY5" s="13">
        <f>IF('Données projet'!$A$114&gt;35,BY4+BX5-CG4,IF(A5&lt;'Données projet'!$A$114,$BV$205^A5,IF(A5='Données projet'!$A$114,'Données projet'!$B$114,BY4+BX5-CG4)))</f>
        <v>1.4320269806236186</v>
      </c>
      <c r="BZ5" s="14">
        <f>BY5*VLOOKUP('Données projet'!$B$12,Paramètres!$A$1:$I$89,3,0)*VLOOKUP('Données projet'!$B$12,Paramètres!$A$1:$I$89,5,0)</f>
        <v>1.1169810448864226</v>
      </c>
      <c r="CA5" s="14">
        <f t="shared" ref="CA5:CA68" si="39">EXP(-1.0587+0.8836*LN(BZ5)+0.284)</f>
        <v>0.50816568684575236</v>
      </c>
      <c r="CB5" s="22">
        <f t="shared" si="10"/>
        <v>2.8304638911002047</v>
      </c>
      <c r="CC5" s="62">
        <f t="shared" si="11"/>
        <v>261.94157500221132</v>
      </c>
      <c r="CD5" s="62">
        <f ca="1">AVERAGE(OFFSET($CC$3,0,0,'Données projet'!$E$12+1,1))-AVERAGE(OFFSET($H$3,0,0,'Données projet'!$E$12+1,1))</f>
        <v>250.84814055099969</v>
      </c>
      <c r="CE5" s="62">
        <f t="shared" ref="CE5:CE68" si="40">$CE$3</f>
        <v>226.15029417484465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1.47354323872622</v>
      </c>
      <c r="CV5" s="14">
        <f t="shared" ref="CV5:CV68" si="41">EXP(-1.0587+0.8836*LN(CU5)+0.284)</f>
        <v>0.64910881835703094</v>
      </c>
      <c r="CW5" s="22">
        <f t="shared" si="13"/>
        <v>3.6969523327533285</v>
      </c>
      <c r="CX5" s="62">
        <f t="shared" si="14"/>
        <v>262.80806344386446</v>
      </c>
      <c r="CY5" s="62">
        <f ca="1">AVERAGE(OFFSET($CX$3,0,0,'Données projet'!$E$13+1,1))-AVERAGE(OFFSET($H$3,0,0,'Données projet'!$E$13+1,1))</f>
        <v>385.00782828233201</v>
      </c>
      <c r="CZ5" s="62">
        <f t="shared" ref="CZ5:CZ68" si="42">$CZ$3</f>
        <v>216.22708298332475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260.7608398448956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6.9411764705882355</v>
      </c>
      <c r="N6" s="14">
        <f>IF('Données projet'!$A$36&gt;35,N5+M6-V5,IF(A6&lt;'Données projet'!$A$36,$K$205^A6,IF(A6='Données projet'!$A$36,'Données projet'!$B$36,N5+M6-V5)))</f>
        <v>2.3207386577487843</v>
      </c>
      <c r="O6" s="14">
        <f>N6*VLOOKUP('Données projet'!$B$9,Paramètres!$A$1:$I$89,3,0)*VLOOKUP('Données projet'!$B$9,Paramètres!$A$1:$I$89,5,0)</f>
        <v>1.3878017173337731</v>
      </c>
      <c r="P6" s="14">
        <f t="shared" si="33"/>
        <v>0.61561979180116611</v>
      </c>
      <c r="Q6" s="22">
        <f t="shared" si="2"/>
        <v>3.4892924617433518</v>
      </c>
      <c r="R6" s="62">
        <f t="shared" si="0"/>
        <v>263.82262579507665</v>
      </c>
      <c r="S6" s="62">
        <f ca="1">AVERAGE(OFFSET($R$3,0,0,'Données projet'!$E$9+1,1))-AVERAGE(OFFSET($H$3,0,0,'Données projet'!$E$9+1,1))</f>
        <v>327.17622590628559</v>
      </c>
      <c r="T6" s="62">
        <f t="shared" si="34"/>
        <v>379.61248288852113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1.5720051034383178</v>
      </c>
      <c r="AK6" s="14">
        <f t="shared" si="35"/>
        <v>0.68728802421000335</v>
      </c>
      <c r="AL6" s="22">
        <f t="shared" si="4"/>
        <v>3.9349355306541596</v>
      </c>
      <c r="AM6" s="62">
        <f t="shared" si="5"/>
        <v>264.26826886398749</v>
      </c>
      <c r="AN6" s="62">
        <f ca="1">AVERAGE(OFFSET($AM$3,0,0,'Données projet'!$E$10+1,1))-AVERAGE(OFFSET($H$3,0,0,'Données projet'!$E$10+1,1))</f>
        <v>276.87402314479681</v>
      </c>
      <c r="AO6" s="62">
        <f t="shared" si="36"/>
        <v>125.27302863901997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3.46</v>
      </c>
      <c r="BD6" s="13">
        <f>IF('Données projet'!$A$88&gt;35,BD5+BC6-BL5,IF(A6&lt;'Données projet'!$A$88,$BA$205^A6,IF(A6='Données projet'!$A$88,'Données projet'!$B$88,BD5+BC6-BL5)))</f>
        <v>2.2030962516444124</v>
      </c>
      <c r="BE6" s="14">
        <f>BD6*VLOOKUP('Données projet'!$B$11,Paramètres!$A$1:$I$89,3,0)*VLOOKUP('Données projet'!$B$11,Paramètres!$A$1:$I$89,5,0)</f>
        <v>1.7871516793339473</v>
      </c>
      <c r="BF6" s="14">
        <f t="shared" si="37"/>
        <v>0.76977161014381879</v>
      </c>
      <c r="BG6" s="22">
        <f t="shared" si="7"/>
        <v>4.4533080625071086</v>
      </c>
      <c r="BH6" s="62">
        <f t="shared" si="8"/>
        <v>264.78664139584043</v>
      </c>
      <c r="BI6" s="62">
        <f ca="1">AVERAGE(OFFSET($BH$3,0,0,'Données projet'!$E$11+1,1))-AVERAGE(OFFSET($H$3,0,0,'Données projet'!$E$11+1,1))</f>
        <v>236.29093866505224</v>
      </c>
      <c r="BJ6" s="62">
        <f t="shared" si="38"/>
        <v>258.22911730540892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3.56</v>
      </c>
      <c r="BY6" s="13">
        <f>IF('Données projet'!$A$114&gt;35,BY5+BX6-CG5,IF(A6&lt;'Données projet'!$A$114,$BV$205^A6,IF(A6='Données projet'!$A$114,'Données projet'!$B$114,BY5+BX6-CG5)))</f>
        <v>1.7136684488168334</v>
      </c>
      <c r="BZ6" s="14">
        <f>BY6*VLOOKUP('Données projet'!$B$12,Paramètres!$A$1:$I$89,3,0)*VLOOKUP('Données projet'!$B$12,Paramètres!$A$1:$I$89,5,0)</f>
        <v>1.33666139007713</v>
      </c>
      <c r="CA6" s="14">
        <f t="shared" si="39"/>
        <v>0.59553127926010163</v>
      </c>
      <c r="CB6" s="22">
        <f t="shared" si="10"/>
        <v>3.3652355657623452</v>
      </c>
      <c r="CC6" s="62">
        <f t="shared" si="11"/>
        <v>263.69856889909568</v>
      </c>
      <c r="CD6" s="62">
        <f ca="1">AVERAGE(OFFSET($CC$3,0,0,'Données projet'!$E$12+1,1))-AVERAGE(OFFSET($H$3,0,0,'Données projet'!$E$12+1,1))</f>
        <v>250.84814055099969</v>
      </c>
      <c r="CE6" s="62">
        <f t="shared" si="40"/>
        <v>226.15029417484465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1.7763369450933317</v>
      </c>
      <c r="CV6" s="14">
        <f t="shared" si="41"/>
        <v>0.76565418883323866</v>
      </c>
      <c r="CW6" s="22">
        <f t="shared" si="13"/>
        <v>4.4273012249221102</v>
      </c>
      <c r="CX6" s="62">
        <f t="shared" si="14"/>
        <v>264.76063455825545</v>
      </c>
      <c r="CY6" s="62">
        <f ca="1">AVERAGE(OFFSET($CX$3,0,0,'Données projet'!$E$13+1,1))-AVERAGE(OFFSET($H$3,0,0,'Données projet'!$E$13+1,1))</f>
        <v>385.00782828233201</v>
      </c>
      <c r="CZ6" s="62">
        <f t="shared" si="42"/>
        <v>216.22708298332475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262.07105900009446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6.9411764705882355</v>
      </c>
      <c r="N7" s="14">
        <f>IF('Données projet'!$A$36&gt;35,N6+M7-V6,IF(A7&lt;'Données projet'!$A$36,$K$205^A7,IF(A7='Données projet'!$A$36,'Données projet'!$B$36,N6+M7-V6)))</f>
        <v>3.0725690301044271</v>
      </c>
      <c r="O7" s="14">
        <f>N7*VLOOKUP('Données projet'!$B$9,Paramètres!$A$1:$I$89,3,0)*VLOOKUP('Données projet'!$B$9,Paramètres!$A$1:$I$89,5,0)</f>
        <v>1.8373962800024475</v>
      </c>
      <c r="P7" s="14">
        <f t="shared" si="33"/>
        <v>0.78886318355909346</v>
      </c>
      <c r="Q7" s="22">
        <f t="shared" si="2"/>
        <v>4.5740685657030165</v>
      </c>
      <c r="R7" s="62">
        <f t="shared" si="0"/>
        <v>266.12962412125859</v>
      </c>
      <c r="S7" s="62">
        <f ca="1">AVERAGE(OFFSET($R$3,0,0,'Données projet'!$E$9+1,1))-AVERAGE(OFFSET($H$3,0,0,'Données projet'!$E$9+1,1))</f>
        <v>327.17622590628559</v>
      </c>
      <c r="T7" s="62">
        <f t="shared" si="34"/>
        <v>379.61248288852113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1.8011040459404539</v>
      </c>
      <c r="AK7" s="14">
        <f t="shared" si="35"/>
        <v>0.77507932103100641</v>
      </c>
      <c r="AL7" s="22">
        <f t="shared" si="4"/>
        <v>4.4868526974752925</v>
      </c>
      <c r="AM7" s="62">
        <f t="shared" si="5"/>
        <v>266.04240825303083</v>
      </c>
      <c r="AN7" s="62">
        <f ca="1">AVERAGE(OFFSET($AM$3,0,0,'Données projet'!$E$10+1,1))-AVERAGE(OFFSET($H$3,0,0,'Données projet'!$E$10+1,1))</f>
        <v>276.87402314479681</v>
      </c>
      <c r="AO7" s="62">
        <f t="shared" si="36"/>
        <v>125.27302863901997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3.46</v>
      </c>
      <c r="BD7" s="13">
        <f>IF('Données projet'!$A$88&gt;35,BD6+BC7-BL6,IF(A7&lt;'Données projet'!$A$88,$BA$205^A7,IF(A7='Données projet'!$A$88,'Données projet'!$B$88,BD6+BC7-BL6)))</f>
        <v>2.8666717199961642</v>
      </c>
      <c r="BE7" s="14">
        <f>BD7*VLOOKUP('Données projet'!$B$11,Paramètres!$A$1:$I$89,3,0)*VLOOKUP('Données projet'!$B$11,Paramètres!$A$1:$I$89,5,0)</f>
        <v>2.3254440992608889</v>
      </c>
      <c r="BF7" s="14">
        <f t="shared" si="37"/>
        <v>0.97139682961668816</v>
      </c>
      <c r="BG7" s="22">
        <f t="shared" si="7"/>
        <v>5.7419979511284467</v>
      </c>
      <c r="BH7" s="62">
        <f t="shared" si="8"/>
        <v>267.29755350668398</v>
      </c>
      <c r="BI7" s="62">
        <f ca="1">AVERAGE(OFFSET($BH$3,0,0,'Données projet'!$E$11+1,1))-AVERAGE(OFFSET($H$3,0,0,'Données projet'!$E$11+1,1))</f>
        <v>236.29093866505224</v>
      </c>
      <c r="BJ7" s="62">
        <f t="shared" si="38"/>
        <v>258.22911730540892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3.56</v>
      </c>
      <c r="BY7" s="13">
        <f>IF('Données projet'!$A$114&gt;35,BY6+BX7-CG6,IF(A7&lt;'Données projet'!$A$114,$BV$205^A7,IF(A7='Données projet'!$A$114,'Données projet'!$B$114,BY6+BX7-CG6)))</f>
        <v>2.0507012732339978</v>
      </c>
      <c r="BZ7" s="14">
        <f>BY7*VLOOKUP('Données projet'!$B$12,Paramètres!$A$1:$I$89,3,0)*VLOOKUP('Données projet'!$B$12,Paramètres!$A$1:$I$89,5,0)</f>
        <v>1.5995469931225184</v>
      </c>
      <c r="CA7" s="14">
        <f t="shared" si="39"/>
        <v>0.69791706476400706</v>
      </c>
      <c r="CB7" s="22">
        <f t="shared" si="10"/>
        <v>4.0014165674856983</v>
      </c>
      <c r="CC7" s="62">
        <f t="shared" si="11"/>
        <v>265.55697212304125</v>
      </c>
      <c r="CD7" s="62">
        <f ca="1">AVERAGE(OFFSET($CC$3,0,0,'Données projet'!$E$12+1,1))-AVERAGE(OFFSET($H$3,0,0,'Données projet'!$E$12+1,1))</f>
        <v>250.84814055099969</v>
      </c>
      <c r="CE7" s="62">
        <f t="shared" si="40"/>
        <v>226.15029417484465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2.1413507656762891</v>
      </c>
      <c r="CV7" s="14">
        <f t="shared" si="41"/>
        <v>0.9031249003236328</v>
      </c>
      <c r="CW7" s="22">
        <f t="shared" si="13"/>
        <v>5.3024617849498643</v>
      </c>
      <c r="CX7" s="62">
        <f t="shared" si="14"/>
        <v>266.8580173405054</v>
      </c>
      <c r="CY7" s="62">
        <f ca="1">AVERAGE(OFFSET($CX$3,0,0,'Données projet'!$E$13+1,1))-AVERAGE(OFFSET($H$3,0,0,'Données projet'!$E$13+1,1))</f>
        <v>385.00782828233201</v>
      </c>
      <c r="CZ7" s="62">
        <f t="shared" si="42"/>
        <v>216.22708298332475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263.37085912145096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6.9411764705882355</v>
      </c>
      <c r="N8" s="14">
        <f>IF('Données projet'!$A$36&gt;35,N7+M8-V7,IF(A8&lt;'Données projet'!$A$36,$K$205^A8,IF(A8='Données projet'!$A$36,'Données projet'!$B$36,N7+M8-V7)))</f>
        <v>4.0679636258202043</v>
      </c>
      <c r="O8" s="14">
        <f>N8*VLOOKUP('Données projet'!$B$9,Paramètres!$A$1:$I$89,3,0)*VLOOKUP('Données projet'!$B$9,Paramètres!$A$1:$I$89,5,0)</f>
        <v>2.4326422482404824</v>
      </c>
      <c r="P8" s="14">
        <f t="shared" si="33"/>
        <v>1.0108595120931088</v>
      </c>
      <c r="Q8" s="22">
        <f t="shared" si="2"/>
        <v>5.9974322325810041</v>
      </c>
      <c r="R8" s="62">
        <f t="shared" si="0"/>
        <v>268.77521001035876</v>
      </c>
      <c r="S8" s="62">
        <f ca="1">AVERAGE(OFFSET($R$3,0,0,'Données projet'!$E$9+1,1))-AVERAGE(OFFSET($H$3,0,0,'Données projet'!$E$9+1,1))</f>
        <v>327.17622590628559</v>
      </c>
      <c r="T8" s="62">
        <f t="shared" si="34"/>
        <v>379.61248288852113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2.0635911277945542</v>
      </c>
      <c r="AK8" s="14">
        <f t="shared" si="35"/>
        <v>0.87408471081743333</v>
      </c>
      <c r="AL8" s="22">
        <f t="shared" si="4"/>
        <v>5.1164520855825444</v>
      </c>
      <c r="AM8" s="62">
        <f t="shared" si="5"/>
        <v>267.89422986336029</v>
      </c>
      <c r="AN8" s="62">
        <f ca="1">AVERAGE(OFFSET($AM$3,0,0,'Données projet'!$E$10+1,1))-AVERAGE(OFFSET($H$3,0,0,'Données projet'!$E$10+1,1))</f>
        <v>276.87402314479681</v>
      </c>
      <c r="AO8" s="62">
        <f t="shared" si="36"/>
        <v>125.27302863901997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3.46</v>
      </c>
      <c r="BD8" s="13">
        <f>IF('Données projet'!$A$88&gt;35,BD7+BC8-BL7,IF(A8&lt;'Données projet'!$A$88,$BA$205^A8,IF(A8='Données projet'!$A$88,'Données projet'!$B$88,BD7+BC8-BL7)))</f>
        <v>3.7301169860789858</v>
      </c>
      <c r="BE8" s="14">
        <f>BD8*VLOOKUP('Données projet'!$B$11,Paramètres!$A$1:$I$89,3,0)*VLOOKUP('Données projet'!$B$11,Paramètres!$A$1:$I$89,5,0)</f>
        <v>3.0258708991072734</v>
      </c>
      <c r="BF8" s="14">
        <f t="shared" si="37"/>
        <v>1.2258334656081362</v>
      </c>
      <c r="BG8" s="22">
        <f t="shared" si="7"/>
        <v>7.4050517685460058</v>
      </c>
      <c r="BH8" s="62">
        <f t="shared" si="8"/>
        <v>270.18282954632377</v>
      </c>
      <c r="BI8" s="62">
        <f ca="1">AVERAGE(OFFSET($BH$3,0,0,'Données projet'!$E$11+1,1))-AVERAGE(OFFSET($H$3,0,0,'Données projet'!$E$11+1,1))</f>
        <v>236.29093866505224</v>
      </c>
      <c r="BJ8" s="62">
        <f t="shared" si="38"/>
        <v>258.22911730540892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3.56</v>
      </c>
      <c r="BY8" s="13">
        <f>IF('Données projet'!$A$114&gt;35,BY7+BX8-CG7,IF(A8&lt;'Données projet'!$A$114,$BV$205^A8,IF(A8='Données projet'!$A$114,'Données projet'!$B$114,BY7+BX8-CG7)))</f>
        <v>2.4540194545491301</v>
      </c>
      <c r="BZ8" s="14">
        <f>BY8*VLOOKUP('Données projet'!$B$12,Paramètres!$A$1:$I$89,3,0)*VLOOKUP('Données projet'!$B$12,Paramètres!$A$1:$I$89,5,0)</f>
        <v>1.9141351745483215</v>
      </c>
      <c r="CA8" s="14">
        <f t="shared" si="39"/>
        <v>0.81790536660639246</v>
      </c>
      <c r="CB8" s="22">
        <f t="shared" si="10"/>
        <v>4.7583039425111266</v>
      </c>
      <c r="CC8" s="62">
        <f t="shared" si="11"/>
        <v>267.53608172028891</v>
      </c>
      <c r="CD8" s="62">
        <f ca="1">AVERAGE(OFFSET($CC$3,0,0,'Données projet'!$E$12+1,1))-AVERAGE(OFFSET($H$3,0,0,'Données projet'!$E$12+1,1))</f>
        <v>250.84814055099969</v>
      </c>
      <c r="CE8" s="62">
        <f t="shared" si="40"/>
        <v>226.15029417484465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2.5813701135521372</v>
      </c>
      <c r="CV8" s="14">
        <f t="shared" si="41"/>
        <v>1.0652780295337991</v>
      </c>
      <c r="CW8" s="22">
        <f t="shared" si="13"/>
        <v>6.3512455158746723</v>
      </c>
      <c r="CX8" s="62">
        <f t="shared" si="14"/>
        <v>269.12902329365244</v>
      </c>
      <c r="CY8" s="62">
        <f ca="1">AVERAGE(OFFSET($CX$3,0,0,'Données projet'!$E$13+1,1))-AVERAGE(OFFSET($H$3,0,0,'Données projet'!$E$13+1,1))</f>
        <v>385.00782828233201</v>
      </c>
      <c r="CZ8" s="62">
        <f t="shared" si="42"/>
        <v>216.22708298332475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264.66257488541947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6.9411764705882355</v>
      </c>
      <c r="N9" s="14">
        <f>IF('Données projet'!$A$36&gt;35,N8+M9-V8,IF(A9&lt;'Données projet'!$A$36,$K$205^A9,IF(A9='Données projet'!$A$36,'Données projet'!$B$36,N8+M9-V8)))</f>
        <v>5.38582791756963</v>
      </c>
      <c r="O9" s="14">
        <f>N9*VLOOKUP('Données projet'!$B$9,Paramètres!$A$1:$I$89,3,0)*VLOOKUP('Données projet'!$B$9,Paramètres!$A$1:$I$89,5,0)</f>
        <v>3.2207250947066388</v>
      </c>
      <c r="P9" s="14">
        <f t="shared" si="33"/>
        <v>1.2953284859599137</v>
      </c>
      <c r="Q9" s="22">
        <f t="shared" si="2"/>
        <v>7.8654599863275783</v>
      </c>
      <c r="R9" s="62">
        <f t="shared" si="0"/>
        <v>271.86545998632755</v>
      </c>
      <c r="S9" s="62">
        <f ca="1">AVERAGE(OFFSET($R$3,0,0,'Données projet'!$E$9+1,1))-AVERAGE(OFFSET($H$3,0,0,'Données projet'!$E$9+1,1))</f>
        <v>327.17622590628559</v>
      </c>
      <c r="T9" s="62">
        <f t="shared" si="34"/>
        <v>379.61248288852113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2.3643322285075734</v>
      </c>
      <c r="AK9" s="14">
        <f t="shared" si="35"/>
        <v>0.98573663488853658</v>
      </c>
      <c r="AL9" s="22">
        <f t="shared" si="4"/>
        <v>5.8347032704148916</v>
      </c>
      <c r="AM9" s="62">
        <f t="shared" si="5"/>
        <v>269.83470327041488</v>
      </c>
      <c r="AN9" s="62">
        <f ca="1">AVERAGE(OFFSET($AM$3,0,0,'Données projet'!$E$10+1,1))-AVERAGE(OFFSET($H$3,0,0,'Données projet'!$E$10+1,1))</f>
        <v>276.87402314479681</v>
      </c>
      <c r="AO9" s="62">
        <f t="shared" si="36"/>
        <v>125.27302863901997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3.46</v>
      </c>
      <c r="BD9" s="13">
        <f>IF('Données projet'!$A$88&gt;35,BD8+BC9-BL8,IF(A9&lt;'Données projet'!$A$88,$BA$205^A9,IF(A9='Données projet'!$A$88,'Données projet'!$B$88,BD8+BC9-BL8)))</f>
        <v>4.8536330940096599</v>
      </c>
      <c r="BE9" s="14">
        <f>BD9*VLOOKUP('Données projet'!$B$11,Paramètres!$A$1:$I$89,3,0)*VLOOKUP('Données projet'!$B$11,Paramètres!$A$1:$I$89,5,0)</f>
        <v>3.9372671658606362</v>
      </c>
      <c r="BF9" s="14">
        <f t="shared" si="37"/>
        <v>1.5469143398355589</v>
      </c>
      <c r="BG9" s="22">
        <f t="shared" si="7"/>
        <v>9.5516161224208727</v>
      </c>
      <c r="BH9" s="62">
        <f t="shared" si="8"/>
        <v>273.55161612242085</v>
      </c>
      <c r="BI9" s="62">
        <f ca="1">AVERAGE(OFFSET($BH$3,0,0,'Données projet'!$E$11+1,1))-AVERAGE(OFFSET($H$3,0,0,'Données projet'!$E$11+1,1))</f>
        <v>236.29093866505224</v>
      </c>
      <c r="BJ9" s="62">
        <f t="shared" si="38"/>
        <v>258.22911730540892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3.56</v>
      </c>
      <c r="BY9" s="13">
        <f>IF('Données projet'!$A$114&gt;35,BY8+BX9-CG8,IF(A9&lt;'Données projet'!$A$114,$BV$205^A9,IF(A9='Données projet'!$A$114,'Données projet'!$B$114,BY8+BX9-CG8)))</f>
        <v>2.9366595524702919</v>
      </c>
      <c r="BZ9" s="14">
        <f>BY9*VLOOKUP('Données projet'!$B$12,Paramètres!$A$1:$I$89,3,0)*VLOOKUP('Données projet'!$B$12,Paramètres!$A$1:$I$89,5,0)</f>
        <v>2.2905944509268279</v>
      </c>
      <c r="CA9" s="14">
        <f t="shared" si="39"/>
        <v>0.95852246992949186</v>
      </c>
      <c r="CB9" s="22">
        <f t="shared" si="10"/>
        <v>5.6588786371580904</v>
      </c>
      <c r="CC9" s="62">
        <f t="shared" si="11"/>
        <v>269.65887863715807</v>
      </c>
      <c r="CD9" s="62">
        <f ca="1">AVERAGE(OFFSET($CC$3,0,0,'Données projet'!$E$12+1,1))-AVERAGE(OFFSET($H$3,0,0,'Données projet'!$E$12+1,1))</f>
        <v>250.84814055099969</v>
      </c>
      <c r="CE9" s="62">
        <f t="shared" si="40"/>
        <v>226.15029417484465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3.111807635605039</v>
      </c>
      <c r="CV9" s="14">
        <f t="shared" si="41"/>
        <v>1.2565452240335246</v>
      </c>
      <c r="CW9" s="22">
        <f t="shared" si="13"/>
        <v>7.6082145638704972</v>
      </c>
      <c r="CX9" s="62">
        <f t="shared" si="14"/>
        <v>271.60821456387049</v>
      </c>
      <c r="CY9" s="62">
        <f ca="1">AVERAGE(OFFSET($CX$3,0,0,'Données projet'!$E$13+1,1))-AVERAGE(OFFSET($H$3,0,0,'Données projet'!$E$13+1,1))</f>
        <v>385.00782828233201</v>
      </c>
      <c r="CZ9" s="62">
        <f t="shared" si="42"/>
        <v>216.22708298332475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265.94771136763848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6.9411764705882355</v>
      </c>
      <c r="N10" s="14">
        <f>IF('Données projet'!$A$36&gt;35,N9+M10-V9,IF(A10&lt;'Données projet'!$A$36,$K$205^A10,IF(A10='Données projet'!$A$36,'Données projet'!$B$36,N9+M10-V9)))</f>
        <v>7.130629726765032</v>
      </c>
      <c r="O10" s="14">
        <f>N10*VLOOKUP('Données projet'!$B$9,Paramètres!$A$1:$I$89,3,0)*VLOOKUP('Données projet'!$B$9,Paramètres!$A$1:$I$89,5,0)</f>
        <v>4.26411657660549</v>
      </c>
      <c r="P10" s="14">
        <f t="shared" si="33"/>
        <v>1.6598507175986843</v>
      </c>
      <c r="Q10" s="22">
        <f t="shared" si="2"/>
        <v>10.317576370738935</v>
      </c>
      <c r="R10" s="62">
        <f t="shared" si="0"/>
        <v>275.53979859296118</v>
      </c>
      <c r="S10" s="62">
        <f ca="1">AVERAGE(OFFSET($R$3,0,0,'Données projet'!$E$9+1,1))-AVERAGE(OFFSET($H$3,0,0,'Données projet'!$E$9+1,1))</f>
        <v>327.17622590628559</v>
      </c>
      <c r="T10" s="62">
        <f t="shared" si="34"/>
        <v>379.61248288852113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2.7089023651375772</v>
      </c>
      <c r="AK10" s="14">
        <f t="shared" si="35"/>
        <v>1.1116505086248174</v>
      </c>
      <c r="AL10" s="22">
        <f t="shared" si="4"/>
        <v>6.6541295884695044</v>
      </c>
      <c r="AM10" s="62">
        <f t="shared" si="5"/>
        <v>271.87635181069174</v>
      </c>
      <c r="AN10" s="62">
        <f ca="1">AVERAGE(OFFSET($AM$3,0,0,'Données projet'!$E$10+1,1))-AVERAGE(OFFSET($H$3,0,0,'Données projet'!$E$10+1,1))</f>
        <v>276.87402314479681</v>
      </c>
      <c r="AO10" s="62">
        <f t="shared" si="36"/>
        <v>125.27302863901997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3.46</v>
      </c>
      <c r="BD10" s="13">
        <f>IF('Données projet'!$A$88&gt;35,BD9+BC10-BL9,IF(A10&lt;'Données projet'!$A$88,$BA$205^A10,IF(A10='Données projet'!$A$88,'Données projet'!$B$88,BD9+BC10-BL9)))</f>
        <v>6.3155537210185901</v>
      </c>
      <c r="BE10" s="14">
        <f>BD10*VLOOKUP('Données projet'!$B$11,Paramètres!$A$1:$I$89,3,0)*VLOOKUP('Données projet'!$B$11,Paramètres!$A$1:$I$89,5,0)</f>
        <v>5.1231771784902804</v>
      </c>
      <c r="BF10" s="14">
        <f t="shared" si="37"/>
        <v>1.9520954859898063</v>
      </c>
      <c r="BG10" s="22">
        <f t="shared" si="7"/>
        <v>12.322766557302819</v>
      </c>
      <c r="BH10" s="62">
        <f t="shared" si="8"/>
        <v>277.54498877952506</v>
      </c>
      <c r="BI10" s="62">
        <f ca="1">AVERAGE(OFFSET($BH$3,0,0,'Données projet'!$E$11+1,1))-AVERAGE(OFFSET($H$3,0,0,'Données projet'!$E$11+1,1))</f>
        <v>236.29093866505224</v>
      </c>
      <c r="BJ10" s="62">
        <f t="shared" si="38"/>
        <v>258.22911730540892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3.56</v>
      </c>
      <c r="BY10" s="13">
        <f>IF('Données projet'!$A$114&gt;35,BY9+BX10-CG9,IF(A10&lt;'Données projet'!$A$114,$BV$205^A10,IF(A10='Données projet'!$A$114,'Données projet'!$B$114,BY9+BX10-CG9)))</f>
        <v>3.5142220698896103</v>
      </c>
      <c r="BZ10" s="14">
        <f>BY10*VLOOKUP('Données projet'!$B$12,Paramètres!$A$1:$I$89,3,0)*VLOOKUP('Données projet'!$B$12,Paramètres!$A$1:$I$89,5,0)</f>
        <v>2.7410932145138962</v>
      </c>
      <c r="CA10" s="14">
        <f t="shared" si="39"/>
        <v>1.1233149492242895</v>
      </c>
      <c r="CB10" s="22">
        <f t="shared" si="10"/>
        <v>6.730510885177341</v>
      </c>
      <c r="CC10" s="62">
        <f t="shared" si="11"/>
        <v>271.95273310739958</v>
      </c>
      <c r="CD10" s="62">
        <f ca="1">AVERAGE(OFFSET($CC$3,0,0,'Données projet'!$E$12+1,1))-AVERAGE(OFFSET($H$3,0,0,'Données projet'!$E$12+1,1))</f>
        <v>250.84814055099969</v>
      </c>
      <c r="CE10" s="62">
        <f t="shared" si="40"/>
        <v>226.15029417484465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3.7512430744326299</v>
      </c>
      <c r="CV10" s="14">
        <f t="shared" si="41"/>
        <v>1.4821538192545303</v>
      </c>
      <c r="CW10" s="22">
        <f t="shared" si="13"/>
        <v>9.1148329231718037</v>
      </c>
      <c r="CX10" s="62">
        <f t="shared" si="14"/>
        <v>274.33705514539406</v>
      </c>
      <c r="CY10" s="62">
        <f ca="1">AVERAGE(OFFSET($CX$3,0,0,'Données projet'!$E$13+1,1))-AVERAGE(OFFSET($H$3,0,0,'Données projet'!$E$13+1,1))</f>
        <v>385.00782828233201</v>
      </c>
      <c r="CZ10" s="62">
        <f t="shared" si="42"/>
        <v>216.22708298332475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267.22731691271065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6.9411764705882355</v>
      </c>
      <c r="N11" s="14">
        <f>IF('Données projet'!$A$36&gt;35,N10+M11-V10,IF(A11&lt;'Données projet'!$A$36,$K$205^A11,IF(A11='Données projet'!$A$36,'Données projet'!$B$36,N10+M11-V10)))</f>
        <v>9.4406804447568593</v>
      </c>
      <c r="O11" s="14">
        <f>N11*VLOOKUP('Données projet'!$B$9,Paramètres!$A$1:$I$89,3,0)*VLOOKUP('Données projet'!$B$9,Paramètres!$A$1:$I$89,5,0)</f>
        <v>5.6455269059646023</v>
      </c>
      <c r="P11" s="14">
        <f t="shared" si="33"/>
        <v>2.1269542317454508</v>
      </c>
      <c r="Q11" s="22">
        <f t="shared" si="2"/>
        <v>13.53707131484501</v>
      </c>
      <c r="R11" s="62">
        <f t="shared" si="0"/>
        <v>279.98151575928949</v>
      </c>
      <c r="S11" s="62">
        <f ca="1">AVERAGE(OFFSET($R$3,0,0,'Données projet'!$E$9+1,1))-AVERAGE(OFFSET($H$3,0,0,'Données projet'!$E$9+1,1))</f>
        <v>327.17622590628559</v>
      </c>
      <c r="T11" s="62">
        <f t="shared" si="34"/>
        <v>379.61248288852113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3.1036890397082595</v>
      </c>
      <c r="AK11" s="14">
        <f t="shared" si="35"/>
        <v>1.2536480938091046</v>
      </c>
      <c r="AL11" s="22">
        <f t="shared" si="4"/>
        <v>7.5890288408760744</v>
      </c>
      <c r="AM11" s="62">
        <f t="shared" si="5"/>
        <v>274.03347328532055</v>
      </c>
      <c r="AN11" s="62">
        <f ca="1">AVERAGE(OFFSET($AM$3,0,0,'Données projet'!$E$10+1,1))-AVERAGE(OFFSET($H$3,0,0,'Données projet'!$E$10+1,1))</f>
        <v>276.87402314479681</v>
      </c>
      <c r="AO11" s="62">
        <f t="shared" si="36"/>
        <v>125.27302863901997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3.46</v>
      </c>
      <c r="BD11" s="13">
        <f>IF('Données projet'!$A$88&gt;35,BD10+BC11-BL10,IF(A11&lt;'Données projet'!$A$88,$BA$205^A11,IF(A11='Données projet'!$A$88,'Données projet'!$B$88,BD10+BC11-BL10)))</f>
        <v>8.2178067502257672</v>
      </c>
      <c r="BE11" s="14">
        <f>BD11*VLOOKUP('Données projet'!$B$11,Paramètres!$A$1:$I$89,3,0)*VLOOKUP('Données projet'!$B$11,Paramètres!$A$1:$I$89,5,0)</f>
        <v>6.6662848357831432</v>
      </c>
      <c r="BF11" s="14">
        <f t="shared" si="37"/>
        <v>2.4634051726657749</v>
      </c>
      <c r="BG11" s="22">
        <f t="shared" si="7"/>
        <v>15.900876764715198</v>
      </c>
      <c r="BH11" s="62">
        <f t="shared" si="8"/>
        <v>282.34532120915964</v>
      </c>
      <c r="BI11" s="62">
        <f ca="1">AVERAGE(OFFSET($BH$3,0,0,'Données projet'!$E$11+1,1))-AVERAGE(OFFSET($H$3,0,0,'Données projet'!$E$11+1,1))</f>
        <v>236.29093866505224</v>
      </c>
      <c r="BJ11" s="62">
        <f t="shared" si="38"/>
        <v>258.22911730540892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3.56</v>
      </c>
      <c r="BY11" s="13">
        <f>IF('Données projet'!$A$114&gt;35,BY10+BX11-CG10,IF(A11&lt;'Données projet'!$A$114,$BV$205^A11,IF(A11='Données projet'!$A$114,'Données projet'!$B$114,BY10+BX11-CG10)))</f>
        <v>4.2053757120435398</v>
      </c>
      <c r="BZ11" s="14">
        <f>BY11*VLOOKUP('Données projet'!$B$12,Paramètres!$A$1:$I$89,3,0)*VLOOKUP('Données projet'!$B$12,Paramètres!$A$1:$I$89,5,0)</f>
        <v>3.2801930553939611</v>
      </c>
      <c r="CA11" s="14">
        <f t="shared" si="39"/>
        <v>1.3164391182645805</v>
      </c>
      <c r="CB11" s="22">
        <f t="shared" si="10"/>
        <v>8.0058010357886271</v>
      </c>
      <c r="CC11" s="62">
        <f t="shared" si="11"/>
        <v>274.45024548023309</v>
      </c>
      <c r="CD11" s="62">
        <f ca="1">AVERAGE(OFFSET($CC$3,0,0,'Données projet'!$E$12+1,1))-AVERAGE(OFFSET($H$3,0,0,'Données projet'!$E$12+1,1))</f>
        <v>250.84814055099969</v>
      </c>
      <c r="CE11" s="62">
        <f t="shared" si="40"/>
        <v>226.15029417484465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4.5220740647558486</v>
      </c>
      <c r="CV11" s="14">
        <f t="shared" si="41"/>
        <v>1.7482697016499746</v>
      </c>
      <c r="CW11" s="22">
        <f t="shared" si="13"/>
        <v>10.92084872649014</v>
      </c>
      <c r="CX11" s="62">
        <f t="shared" si="14"/>
        <v>277.36529317093459</v>
      </c>
      <c r="CY11" s="62">
        <f ca="1">AVERAGE(OFFSET($CX$3,0,0,'Données projet'!$E$13+1,1))-AVERAGE(OFFSET($H$3,0,0,'Données projet'!$E$13+1,1))</f>
        <v>385.00782828233201</v>
      </c>
      <c r="CZ11" s="62">
        <f t="shared" si="42"/>
        <v>216.22708298332475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268.5021620672548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6.9411764705882355</v>
      </c>
      <c r="N12" s="14">
        <f>IF('Données projet'!$A$36&gt;35,N11+M12-V11,IF(A12&lt;'Données projet'!$A$36,$K$205^A12,IF(A12='Données projet'!$A$36,'Données projet'!$B$36,N11+M12-V11)))</f>
        <v>12.499099052286473</v>
      </c>
      <c r="O12" s="14">
        <f>N12*VLOOKUP('Données projet'!$B$9,Paramètres!$A$1:$I$89,3,0)*VLOOKUP('Données projet'!$B$9,Paramètres!$A$1:$I$89,5,0)</f>
        <v>7.474461233267311</v>
      </c>
      <c r="P12" s="14">
        <f t="shared" si="33"/>
        <v>2.7255067314033421</v>
      </c>
      <c r="Q12" s="22">
        <f t="shared" si="2"/>
        <v>17.764944205134721</v>
      </c>
      <c r="R12" s="62">
        <f t="shared" si="0"/>
        <v>285.43161087180141</v>
      </c>
      <c r="S12" s="62">
        <f ca="1">AVERAGE(OFFSET($R$3,0,0,'Données projet'!$E$9+1,1))-AVERAGE(OFFSET($H$3,0,0,'Données projet'!$E$9+1,1))</f>
        <v>327.17622590628559</v>
      </c>
      <c r="T12" s="62">
        <f t="shared" si="34"/>
        <v>379.61248288852113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3.5560106481415956</v>
      </c>
      <c r="AK12" s="14">
        <f t="shared" si="35"/>
        <v>1.4137838564527014</v>
      </c>
      <c r="AL12" s="22">
        <f t="shared" si="4"/>
        <v>8.6557254288350673</v>
      </c>
      <c r="AM12" s="62">
        <f t="shared" si="5"/>
        <v>276.32239209550175</v>
      </c>
      <c r="AN12" s="62">
        <f ca="1">AVERAGE(OFFSET($AM$3,0,0,'Données projet'!$E$10+1,1))-AVERAGE(OFFSET($H$3,0,0,'Données projet'!$E$10+1,1))</f>
        <v>276.87402314479681</v>
      </c>
      <c r="AO12" s="62">
        <f t="shared" si="36"/>
        <v>125.27302863901997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3.46</v>
      </c>
      <c r="BD12" s="13">
        <f>IF('Données projet'!$A$88&gt;35,BD11+BC12-BL11,IF(A12&lt;'Données projet'!$A$88,$BA$205^A12,IF(A12='Données projet'!$A$88,'Données projet'!$B$88,BD11+BC12-BL11)))</f>
        <v>10.693020876269955</v>
      </c>
      <c r="BE12" s="14">
        <f>BD12*VLOOKUP('Données projet'!$B$11,Paramètres!$A$1:$I$89,3,0)*VLOOKUP('Données projet'!$B$11,Paramètres!$A$1:$I$89,5,0)</f>
        <v>8.6741785348301885</v>
      </c>
      <c r="BF12" s="14">
        <f t="shared" si="37"/>
        <v>3.1086415025643808</v>
      </c>
      <c r="BG12" s="22">
        <f t="shared" si="7"/>
        <v>20.521744898462206</v>
      </c>
      <c r="BH12" s="62">
        <f t="shared" si="8"/>
        <v>288.18841156512889</v>
      </c>
      <c r="BI12" s="62">
        <f ca="1">AVERAGE(OFFSET($BH$3,0,0,'Données projet'!$E$11+1,1))-AVERAGE(OFFSET($H$3,0,0,'Données projet'!$E$11+1,1))</f>
        <v>236.29093866505224</v>
      </c>
      <c r="BJ12" s="62">
        <f t="shared" si="38"/>
        <v>258.22911730540892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3.56</v>
      </c>
      <c r="BY12" s="13">
        <f>IF('Données projet'!$A$114&gt;35,BY11+BX12-CG11,IF(A12&lt;'Données projet'!$A$114,$BV$205^A12,IF(A12='Données projet'!$A$114,'Données projet'!$B$114,BY11+BX12-CG11)))</f>
        <v>5.0324608199849017</v>
      </c>
      <c r="BZ12" s="14">
        <f>BY12*VLOOKUP('Données projet'!$B$12,Paramètres!$A$1:$I$89,3,0)*VLOOKUP('Données projet'!$B$12,Paramètres!$A$1:$I$89,5,0)</f>
        <v>3.9253194395882236</v>
      </c>
      <c r="CA12" s="14">
        <f t="shared" si="39"/>
        <v>1.5427658585813051</v>
      </c>
      <c r="CB12" s="22">
        <f t="shared" si="10"/>
        <v>9.5235818943119295</v>
      </c>
      <c r="CC12" s="62">
        <f t="shared" si="11"/>
        <v>277.1902485609786</v>
      </c>
      <c r="CD12" s="62">
        <f ca="1">AVERAGE(OFFSET($CC$3,0,0,'Données projet'!$E$12+1,1))-AVERAGE(OFFSET($H$3,0,0,'Données projet'!$E$12+1,1))</f>
        <v>250.84814055099969</v>
      </c>
      <c r="CE12" s="62">
        <f t="shared" si="40"/>
        <v>226.15029417484465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5.4513006599100189</v>
      </c>
      <c r="CV12" s="14">
        <f t="shared" si="41"/>
        <v>2.062165822468125</v>
      </c>
      <c r="CW12" s="22">
        <f t="shared" si="13"/>
        <v>13.085954123475267</v>
      </c>
      <c r="CX12" s="62">
        <f t="shared" si="14"/>
        <v>280.75262079014198</v>
      </c>
      <c r="CY12" s="62">
        <f ca="1">AVERAGE(OFFSET($CX$3,0,0,'Données projet'!$E$13+1,1))-AVERAGE(OFFSET($H$3,0,0,'Données projet'!$E$13+1,1))</f>
        <v>385.00782828233201</v>
      </c>
      <c r="CZ12" s="62">
        <f t="shared" si="42"/>
        <v>216.22708298332475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269.77283609992622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6.9411764705882355</v>
      </c>
      <c r="N13" s="14">
        <f>IF('Données projet'!$A$36&gt;35,N12+M13-V12,IF(A13&lt;'Données projet'!$A$36,$K$205^A13,IF(A13='Données projet'!$A$36,'Données projet'!$B$36,N12+M13-V12)))</f>
        <v>16.548328060996262</v>
      </c>
      <c r="O13" s="14">
        <f>N13*VLOOKUP('Données projet'!$B$9,Paramètres!$A$1:$I$89,3,0)*VLOOKUP('Données projet'!$B$9,Paramètres!$A$1:$I$89,5,0)</f>
        <v>9.8959001804757651</v>
      </c>
      <c r="P13" s="14">
        <f t="shared" si="33"/>
        <v>3.4924996655094662</v>
      </c>
      <c r="Q13" s="22">
        <f t="shared" si="2"/>
        <v>23.318129731757608</v>
      </c>
      <c r="R13" s="62">
        <f t="shared" si="0"/>
        <v>292.20701862064647</v>
      </c>
      <c r="S13" s="62">
        <f ca="1">AVERAGE(OFFSET($R$3,0,0,'Données projet'!$E$9+1,1))-AVERAGE(OFFSET($H$3,0,0,'Données projet'!$E$9+1,1))</f>
        <v>327.17622590628559</v>
      </c>
      <c r="T13" s="62">
        <f t="shared" si="34"/>
        <v>379.61248288852113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4.0742521457256036</v>
      </c>
      <c r="AK13" s="14">
        <f t="shared" si="35"/>
        <v>1.5943746914599719</v>
      </c>
      <c r="AL13" s="22">
        <f t="shared" si="4"/>
        <v>9.8728584080982102</v>
      </c>
      <c r="AM13" s="62">
        <f t="shared" si="5"/>
        <v>278.7617472969871</v>
      </c>
      <c r="AN13" s="62">
        <f ca="1">AVERAGE(OFFSET($AM$3,0,0,'Données projet'!$E$10+1,1))-AVERAGE(OFFSET($H$3,0,0,'Données projet'!$E$10+1,1))</f>
        <v>276.87402314479681</v>
      </c>
      <c r="AO13" s="62">
        <f t="shared" si="36"/>
        <v>125.27302863901997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3.46</v>
      </c>
      <c r="BD13" s="13">
        <f>IF('Données projet'!$A$88&gt;35,BD12+BC13-BL12,IF(A13&lt;'Données projet'!$A$88,$BA$205^A13,IF(A13='Données projet'!$A$88,'Données projet'!$B$88,BD12+BC13-BL12)))</f>
        <v>13.913772729834978</v>
      </c>
      <c r="BE13" s="14">
        <f>BD13*VLOOKUP('Données projet'!$B$11,Paramètres!$A$1:$I$89,3,0)*VLOOKUP('Données projet'!$B$11,Paramètres!$A$1:$I$89,5,0)</f>
        <v>11.286852438442136</v>
      </c>
      <c r="BF13" s="14">
        <f t="shared" si="37"/>
        <v>3.9228836972069034</v>
      </c>
      <c r="BG13" s="22">
        <f t="shared" si="7"/>
        <v>26.490290436255407</v>
      </c>
      <c r="BH13" s="62">
        <f t="shared" si="8"/>
        <v>295.37917932514426</v>
      </c>
      <c r="BI13" s="62">
        <f ca="1">AVERAGE(OFFSET($BH$3,0,0,'Données projet'!$E$11+1,1))-AVERAGE(OFFSET($H$3,0,0,'Données projet'!$E$11+1,1))</f>
        <v>236.29093866505224</v>
      </c>
      <c r="BJ13" s="62">
        <f t="shared" si="38"/>
        <v>258.22911730540892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3.56</v>
      </c>
      <c r="BY13" s="13">
        <f>IF('Données projet'!$A$114&gt;35,BY12+BX13-CG12,IF(A13&lt;'Données projet'!$A$114,$BV$205^A13,IF(A13='Données projet'!$A$114,'Données projet'!$B$114,BY12+BX13-CG12)))</f>
        <v>6.0222114833056102</v>
      </c>
      <c r="BZ13" s="14">
        <f>BY13*VLOOKUP('Données projet'!$B$12,Paramètres!$A$1:$I$89,3,0)*VLOOKUP('Données projet'!$B$12,Paramètres!$A$1:$I$89,5,0)</f>
        <v>4.6973249569783757</v>
      </c>
      <c r="CA13" s="14">
        <f t="shared" si="39"/>
        <v>1.8080034704086858</v>
      </c>
      <c r="CB13" s="22">
        <f t="shared" si="10"/>
        <v>11.330113677699131</v>
      </c>
      <c r="CC13" s="62">
        <f t="shared" si="11"/>
        <v>280.21900256658796</v>
      </c>
      <c r="CD13" s="62">
        <f ca="1">AVERAGE(OFFSET($CC$3,0,0,'Données projet'!$E$12+1,1))-AVERAGE(OFFSET($H$3,0,0,'Données projet'!$E$12+1,1))</f>
        <v>250.84814055099969</v>
      </c>
      <c r="CE13" s="62">
        <f t="shared" si="40"/>
        <v>226.15029417484465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6.5714710681855761</v>
      </c>
      <c r="CV13" s="14">
        <f t="shared" si="41"/>
        <v>2.4324209676242781</v>
      </c>
      <c r="CW13" s="22">
        <f t="shared" si="13"/>
        <v>15.681778629035497</v>
      </c>
      <c r="CX13" s="62">
        <f t="shared" si="14"/>
        <v>284.57066751792433</v>
      </c>
      <c r="CY13" s="62">
        <f ca="1">AVERAGE(OFFSET($CX$3,0,0,'Données projet'!$E$13+1,1))-AVERAGE(OFFSET($H$3,0,0,'Données projet'!$E$13+1,1))</f>
        <v>385.00782828233201</v>
      </c>
      <c r="CZ13" s="62">
        <f t="shared" si="42"/>
        <v>216.22708298332475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271.03980360576855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6.9411764705882355</v>
      </c>
      <c r="N14" s="14">
        <f>IF('Données projet'!$A$36&gt;35,N13+M14-V13,IF(A14&lt;'Données projet'!$A$36,$K$205^A14,IF(A14='Données projet'!$A$36,'Données projet'!$B$36,N13+M14-V13)))</f>
        <v>21.909352063600231</v>
      </c>
      <c r="O14" s="14">
        <f>N14*VLOOKUP('Données projet'!$B$9,Paramètres!$A$1:$I$89,3,0)*VLOOKUP('Données projet'!$B$9,Paramètres!$A$1:$I$89,5,0)</f>
        <v>13.101792534032938</v>
      </c>
      <c r="P14" s="14">
        <f t="shared" si="33"/>
        <v>4.4753343563761101</v>
      </c>
      <c r="Q14" s="22">
        <f t="shared" si="2"/>
        <v>30.613496000795752</v>
      </c>
      <c r="R14" s="62">
        <f t="shared" si="0"/>
        <v>300.72460711190689</v>
      </c>
      <c r="S14" s="62">
        <f ca="1">AVERAGE(OFFSET($R$3,0,0,'Données projet'!$E$9+1,1))-AVERAGE(OFFSET($H$3,0,0,'Données projet'!$E$9+1,1))</f>
        <v>327.17622590628559</v>
      </c>
      <c r="T14" s="62">
        <f t="shared" si="34"/>
        <v>379.61248288852113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4.6680204840288511</v>
      </c>
      <c r="AK14" s="14">
        <f t="shared" si="35"/>
        <v>1.798033444197221</v>
      </c>
      <c r="AL14" s="22">
        <f t="shared" si="4"/>
        <v>11.26171059166041</v>
      </c>
      <c r="AM14" s="62">
        <f t="shared" si="5"/>
        <v>281.37282170277155</v>
      </c>
      <c r="AN14" s="62">
        <f ca="1">AVERAGE(OFFSET($AM$3,0,0,'Données projet'!$E$10+1,1))-AVERAGE(OFFSET($H$3,0,0,'Données projet'!$E$10+1,1))</f>
        <v>276.87402314479681</v>
      </c>
      <c r="AO14" s="62">
        <f t="shared" si="36"/>
        <v>125.27302863901997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3.46</v>
      </c>
      <c r="BD14" s="13">
        <f>IF('Données projet'!$A$88&gt;35,BD13+BC14-BL13,IF(A14&lt;'Données projet'!$A$88,$BA$205^A14,IF(A14='Données projet'!$A$88,'Données projet'!$B$88,BD13+BC14-BL13)))</f>
        <v>18.104619248160539</v>
      </c>
      <c r="BE14" s="14">
        <f>BD14*VLOOKUP('Données projet'!$B$11,Paramètres!$A$1:$I$89,3,0)*VLOOKUP('Données projet'!$B$11,Paramètres!$A$1:$I$89,5,0)</f>
        <v>14.686467134107829</v>
      </c>
      <c r="BF14" s="14">
        <f t="shared" si="37"/>
        <v>4.9503992303766795</v>
      </c>
      <c r="BG14" s="22">
        <f t="shared" si="7"/>
        <v>34.200875584810518</v>
      </c>
      <c r="BH14" s="62">
        <f t="shared" si="8"/>
        <v>304.31198669592163</v>
      </c>
      <c r="BI14" s="62">
        <f ca="1">AVERAGE(OFFSET($BH$3,0,0,'Données projet'!$E$11+1,1))-AVERAGE(OFFSET($H$3,0,0,'Données projet'!$E$11+1,1))</f>
        <v>236.29093866505224</v>
      </c>
      <c r="BJ14" s="62">
        <f t="shared" si="38"/>
        <v>258.22911730540892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3.56</v>
      </c>
      <c r="BY14" s="13">
        <f>IF('Données projet'!$A$114&gt;35,BY13+BX14-CG13,IF(A14&lt;'Données projet'!$A$114,$BV$205^A14,IF(A14='Données projet'!$A$114,'Données projet'!$B$114,BY13+BX14-CG13)))</f>
        <v>7.206619673149639</v>
      </c>
      <c r="BZ14" s="14">
        <f>BY14*VLOOKUP('Données projet'!$B$12,Paramètres!$A$1:$I$89,3,0)*VLOOKUP('Données projet'!$B$12,Paramètres!$A$1:$I$89,5,0)</f>
        <v>5.6211633450567184</v>
      </c>
      <c r="CA14" s="14">
        <f t="shared" si="39"/>
        <v>2.1188416445874947</v>
      </c>
      <c r="CB14" s="22">
        <f t="shared" si="10"/>
        <v>13.480508690297002</v>
      </c>
      <c r="CC14" s="62">
        <f t="shared" si="11"/>
        <v>283.59161980140817</v>
      </c>
      <c r="CD14" s="62">
        <f ca="1">AVERAGE(OFFSET($CC$3,0,0,'Données projet'!$E$12+1,1))-AVERAGE(OFFSET($H$3,0,0,'Données projet'!$E$12+1,1))</f>
        <v>250.84814055099969</v>
      </c>
      <c r="CE14" s="62">
        <f t="shared" si="40"/>
        <v>226.15029417484465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7.921821725516951</v>
      </c>
      <c r="CV14" s="14">
        <f t="shared" si="41"/>
        <v>2.869154216054651</v>
      </c>
      <c r="CW14" s="22">
        <f t="shared" si="13"/>
        <v>18.794283098237205</v>
      </c>
      <c r="CX14" s="62">
        <f t="shared" si="14"/>
        <v>288.90539420934834</v>
      </c>
      <c r="CY14" s="62">
        <f ca="1">AVERAGE(OFFSET($CX$3,0,0,'Données projet'!$E$13+1,1))-AVERAGE(OFFSET($H$3,0,0,'Données projet'!$E$13+1,1))</f>
        <v>385.00782828233201</v>
      </c>
      <c r="CZ14" s="62">
        <f t="shared" si="42"/>
        <v>216.22708298332475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272.30343986297339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6.9411764705882355</v>
      </c>
      <c r="N15" s="14">
        <f>IF('Données projet'!$A$36&gt;35,N14+M15-V14,IF(A15&lt;'Données projet'!$A$36,$K$205^A15,IF(A15='Données projet'!$A$36,'Données projet'!$B$36,N14+M15-V14)))</f>
        <v>29.007142357672414</v>
      </c>
      <c r="O15" s="14">
        <f>N15*VLOOKUP('Données projet'!$B$9,Paramètres!$A$1:$I$89,3,0)*VLOOKUP('Données projet'!$B$9,Paramètres!$A$1:$I$89,5,0)</f>
        <v>17.346271129888105</v>
      </c>
      <c r="P15" s="14">
        <f t="shared" si="33"/>
        <v>5.7347514730366376</v>
      </c>
      <c r="Q15" s="22">
        <f t="shared" si="2"/>
        <v>40.19944770009392</v>
      </c>
      <c r="R15" s="62">
        <f t="shared" si="0"/>
        <v>311.53278103342723</v>
      </c>
      <c r="S15" s="62">
        <f ca="1">AVERAGE(OFFSET($R$3,0,0,'Données projet'!$E$9+1,1))-AVERAGE(OFFSET($H$3,0,0,'Données projet'!$E$9+1,1))</f>
        <v>327.17622590628559</v>
      </c>
      <c r="T15" s="62">
        <f t="shared" si="34"/>
        <v>379.61248288852113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5.3483227006884695</v>
      </c>
      <c r="AK15" s="14">
        <f t="shared" si="35"/>
        <v>2.027706713966543</v>
      </c>
      <c r="AL15" s="22">
        <f t="shared" si="4"/>
        <v>12.846584563857478</v>
      </c>
      <c r="AM15" s="62">
        <f t="shared" si="5"/>
        <v>284.17991789719082</v>
      </c>
      <c r="AN15" s="62">
        <f ca="1">AVERAGE(OFFSET($AM$3,0,0,'Données projet'!$E$10+1,1))-AVERAGE(OFFSET($H$3,0,0,'Données projet'!$E$10+1,1))</f>
        <v>276.87402314479681</v>
      </c>
      <c r="AO15" s="62">
        <f t="shared" si="36"/>
        <v>125.27302863901997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3.46</v>
      </c>
      <c r="BD15" s="13">
        <f>IF('Données projet'!$A$88&gt;35,BD14+BC15-BL14,IF(A15&lt;'Données projet'!$A$88,$BA$205^A15,IF(A15='Données projet'!$A$88,'Données projet'!$B$88,BD14+BC15-BL14)))</f>
        <v>23.557754211265788</v>
      </c>
      <c r="BE15" s="14">
        <f>BD15*VLOOKUP('Données projet'!$B$11,Paramètres!$A$1:$I$89,3,0)*VLOOKUP('Données projet'!$B$11,Paramètres!$A$1:$I$89,5,0)</f>
        <v>19.110050216178809</v>
      </c>
      <c r="BF15" s="14">
        <f t="shared" si="37"/>
        <v>6.2470504944010008</v>
      </c>
      <c r="BG15" s="22">
        <f t="shared" si="7"/>
        <v>44.163617070926499</v>
      </c>
      <c r="BH15" s="62">
        <f t="shared" si="8"/>
        <v>315.49695040425979</v>
      </c>
      <c r="BI15" s="62">
        <f ca="1">AVERAGE(OFFSET($BH$3,0,0,'Données projet'!$E$11+1,1))-AVERAGE(OFFSET($H$3,0,0,'Données projet'!$E$11+1,1))</f>
        <v>236.29093866505224</v>
      </c>
      <c r="BJ15" s="62">
        <f t="shared" si="38"/>
        <v>258.22911730540892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3.56</v>
      </c>
      <c r="BY15" s="13">
        <f>IF('Données projet'!$A$114&gt;35,BY14+BX15-CG14,IF(A15&lt;'Données projet'!$A$114,$BV$205^A15,IF(A15='Données projet'!$A$114,'Données projet'!$B$114,BY14+BX15-CG14)))</f>
        <v>8.6239693271150166</v>
      </c>
      <c r="BZ15" s="14">
        <f>BY15*VLOOKUP('Données projet'!$B$12,Paramètres!$A$1:$I$89,3,0)*VLOOKUP('Données projet'!$B$12,Paramètres!$A$1:$I$89,5,0)</f>
        <v>6.7266960751497136</v>
      </c>
      <c r="CA15" s="14">
        <f t="shared" si="39"/>
        <v>2.4831201866130401</v>
      </c>
      <c r="CB15" s="22">
        <f t="shared" si="10"/>
        <v>16.040429989236795</v>
      </c>
      <c r="CC15" s="62">
        <f t="shared" si="11"/>
        <v>287.37376332257008</v>
      </c>
      <c r="CD15" s="62">
        <f ca="1">AVERAGE(OFFSET($CC$3,0,0,'Données projet'!$E$12+1,1))-AVERAGE(OFFSET($H$3,0,0,'Données projet'!$E$12+1,1))</f>
        <v>250.84814055099969</v>
      </c>
      <c r="CE15" s="62">
        <f t="shared" si="40"/>
        <v>226.15029417484465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9.5496516380767513</v>
      </c>
      <c r="CV15" s="14">
        <f t="shared" si="41"/>
        <v>3.3843014943027487</v>
      </c>
      <c r="CW15" s="22">
        <f t="shared" si="13"/>
        <v>22.526635038894295</v>
      </c>
      <c r="CX15" s="62">
        <f t="shared" si="14"/>
        <v>293.85996837222763</v>
      </c>
      <c r="CY15" s="62">
        <f ca="1">AVERAGE(OFFSET($CX$3,0,0,'Données projet'!$E$13+1,1))-AVERAGE(OFFSET($H$3,0,0,'Données projet'!$E$13+1,1))</f>
        <v>385.00782828233201</v>
      </c>
      <c r="CZ15" s="62">
        <f t="shared" si="42"/>
        <v>216.22708298332475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273.56405403670931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6.9411764705882355</v>
      </c>
      <c r="N16" s="14">
        <f>IF('Données projet'!$A$36&gt;35,N15+M16-V15,IF(A16&lt;'Données projet'!$A$36,$K$205^A16,IF(A16='Données projet'!$A$36,'Données projet'!$B$36,N15+M16-V15)))</f>
        <v>38.404344652263013</v>
      </c>
      <c r="O16" s="14">
        <f>N16*VLOOKUP('Données projet'!$B$9,Paramètres!$A$1:$I$89,3,0)*VLOOKUP('Données projet'!$B$9,Paramètres!$A$1:$I$89,5,0)</f>
        <v>22.965798102053284</v>
      </c>
      <c r="P16" s="14">
        <f t="shared" si="33"/>
        <v>7.3485848963755025</v>
      </c>
      <c r="Q16" s="22">
        <f t="shared" si="2"/>
        <v>52.797550388930141</v>
      </c>
      <c r="R16" s="62">
        <f t="shared" si="0"/>
        <v>325.35310594448566</v>
      </c>
      <c r="S16" s="62">
        <f ca="1">AVERAGE(OFFSET($R$3,0,0,'Données projet'!$E$9+1,1))-AVERAGE(OFFSET($H$3,0,0,'Données projet'!$E$9+1,1))</f>
        <v>327.17622590628559</v>
      </c>
      <c r="T16" s="62">
        <f t="shared" si="34"/>
        <v>379.61248288852113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6.127769963428209</v>
      </c>
      <c r="AK16" s="14">
        <f t="shared" si="35"/>
        <v>2.286717486337261</v>
      </c>
      <c r="AL16" s="22">
        <f t="shared" si="4"/>
        <v>14.655232308341526</v>
      </c>
      <c r="AM16" s="62">
        <f t="shared" si="5"/>
        <v>287.21078786389705</v>
      </c>
      <c r="AN16" s="62">
        <f ca="1">AVERAGE(OFFSET($AM$3,0,0,'Données projet'!$E$10+1,1))-AVERAGE(OFFSET($H$3,0,0,'Données projet'!$E$10+1,1))</f>
        <v>276.87402314479681</v>
      </c>
      <c r="AO16" s="62">
        <f t="shared" si="36"/>
        <v>125.27302863901997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3.46</v>
      </c>
      <c r="BD16" s="13">
        <f>IF('Données projet'!$A$88&gt;35,BD15+BC16-BL15,IF(A16&lt;'Données projet'!$A$88,$BA$205^A16,IF(A16='Données projet'!$A$88,'Données projet'!$B$88,BD15+BC16-BL15)))</f>
        <v>30.653380547331682</v>
      </c>
      <c r="BE16" s="14">
        <f>BD16*VLOOKUP('Données projet'!$B$11,Paramètres!$A$1:$I$89,3,0)*VLOOKUP('Données projet'!$B$11,Paramètres!$A$1:$I$89,5,0)</f>
        <v>24.866022299995464</v>
      </c>
      <c r="BF16" s="14">
        <f t="shared" si="37"/>
        <v>7.8833318412233</v>
      </c>
      <c r="BG16" s="22">
        <f t="shared" si="7"/>
        <v>57.038458462622685</v>
      </c>
      <c r="BH16" s="62">
        <f t="shared" si="8"/>
        <v>329.5940140181782</v>
      </c>
      <c r="BI16" s="62">
        <f ca="1">AVERAGE(OFFSET($BH$3,0,0,'Données projet'!$E$11+1,1))-AVERAGE(OFFSET($H$3,0,0,'Données projet'!$E$11+1,1))</f>
        <v>236.29093866505224</v>
      </c>
      <c r="BJ16" s="62">
        <f t="shared" si="38"/>
        <v>258.22911730540892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3.56</v>
      </c>
      <c r="BY16" s="13">
        <f>IF('Données projet'!$A$114&gt;35,BY15+BX16-CG15,IF(A16&lt;'Données projet'!$A$114,$BV$205^A16,IF(A16='Données projet'!$A$114,'Données projet'!$B$114,BY15+BX16-CG15)))</f>
        <v>10.320073811043248</v>
      </c>
      <c r="BZ16" s="14">
        <f>BY16*VLOOKUP('Données projet'!$B$12,Paramètres!$A$1:$I$89,3,0)*VLOOKUP('Données projet'!$B$12,Paramètres!$A$1:$I$89,5,0)</f>
        <v>8.049657572613734</v>
      </c>
      <c r="CA16" s="14">
        <f t="shared" si="39"/>
        <v>2.9100267483017022</v>
      </c>
      <c r="CB16" s="22">
        <f t="shared" si="10"/>
        <v>19.088116858927716</v>
      </c>
      <c r="CC16" s="62">
        <f t="shared" si="11"/>
        <v>291.64367241448326</v>
      </c>
      <c r="CD16" s="62">
        <f ca="1">AVERAGE(OFFSET($CC$3,0,0,'Données projet'!$E$12+1,1))-AVERAGE(OFFSET($H$3,0,0,'Données projet'!$E$12+1,1))</f>
        <v>250.84814055099969</v>
      </c>
      <c r="CE16" s="62">
        <f t="shared" si="40"/>
        <v>226.15029417484465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11.511979134151852</v>
      </c>
      <c r="CV16" s="14">
        <f t="shared" si="41"/>
        <v>3.9919417855793822</v>
      </c>
      <c r="CW16" s="22">
        <f t="shared" si="13"/>
        <v>27.002662268531896</v>
      </c>
      <c r="CX16" s="62">
        <f t="shared" si="14"/>
        <v>299.55821782408742</v>
      </c>
      <c r="CY16" s="62">
        <f ca="1">AVERAGE(OFFSET($CX$3,0,0,'Données projet'!$E$13+1,1))-AVERAGE(OFFSET($H$3,0,0,'Données projet'!$E$13+1,1))</f>
        <v>385.00782828233201</v>
      </c>
      <c r="CZ16" s="62">
        <f t="shared" si="42"/>
        <v>216.22708298332475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274.82190502633887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6.9411764705882355</v>
      </c>
      <c r="N17" s="14">
        <f>IF('Données projet'!$A$36&gt;35,N16+M17-V16,IF(A17&lt;'Données projet'!$A$36,$K$205^A17,IF(A17='Données projet'!$A$36,'Données projet'!$B$36,N16+M17-V16)))</f>
        <v>50.845880300225161</v>
      </c>
      <c r="O17" s="14">
        <f>N17*VLOOKUP('Données projet'!$B$9,Paramètres!$A$1:$I$89,3,0)*VLOOKUP('Données projet'!$B$9,Paramètres!$A$1:$I$89,5,0)</f>
        <v>30.405836419534648</v>
      </c>
      <c r="P17" s="14">
        <f t="shared" si="33"/>
        <v>9.4165719705798292</v>
      </c>
      <c r="Q17" s="22">
        <f t="shared" si="2"/>
        <v>69.357361279449364</v>
      </c>
      <c r="R17" s="62">
        <f t="shared" si="0"/>
        <v>343.13513905722715</v>
      </c>
      <c r="S17" s="62">
        <f ca="1">AVERAGE(OFFSET($R$3,0,0,'Données projet'!$E$9+1,1))-AVERAGE(OFFSET($H$3,0,0,'Données projet'!$E$9+1,1))</f>
        <v>327.17622590628559</v>
      </c>
      <c r="T17" s="62">
        <f t="shared" si="34"/>
        <v>379.61248288852113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7.0208113507921537</v>
      </c>
      <c r="AK17" s="14">
        <f t="shared" si="35"/>
        <v>2.5788132111530211</v>
      </c>
      <c r="AL17" s="22">
        <f t="shared" si="4"/>
        <v>16.719346112054513</v>
      </c>
      <c r="AM17" s="62">
        <f t="shared" si="5"/>
        <v>290.49712388983227</v>
      </c>
      <c r="AN17" s="62">
        <f ca="1">AVERAGE(OFFSET($AM$3,0,0,'Données projet'!$E$10+1,1))-AVERAGE(OFFSET($H$3,0,0,'Données projet'!$E$10+1,1))</f>
        <v>276.87402314479681</v>
      </c>
      <c r="AO17" s="62">
        <f t="shared" si="36"/>
        <v>125.27302863901997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3.46</v>
      </c>
      <c r="BD17" s="13">
        <f>IF('Données projet'!$A$88&gt;35,BD16+BC17-BL16,IF(A17&lt;'Données projet'!$A$88,$BA$205^A17,IF(A17='Données projet'!$A$88,'Données projet'!$B$88,BD16+BC17-BL16)))</f>
        <v>39.886218803071756</v>
      </c>
      <c r="BE17" s="14">
        <f>BD17*VLOOKUP('Données projet'!$B$11,Paramètres!$A$1:$I$89,3,0)*VLOOKUP('Données projet'!$B$11,Paramètres!$A$1:$I$89,5,0)</f>
        <v>32.355700693051809</v>
      </c>
      <c r="BF17" s="14">
        <f t="shared" si="37"/>
        <v>9.9482021114676566</v>
      </c>
      <c r="BG17" s="22">
        <f t="shared" si="7"/>
        <v>73.67929738453806</v>
      </c>
      <c r="BH17" s="62">
        <f t="shared" si="8"/>
        <v>347.45707516231585</v>
      </c>
      <c r="BI17" s="62">
        <f ca="1">AVERAGE(OFFSET($BH$3,0,0,'Données projet'!$E$11+1,1))-AVERAGE(OFFSET($H$3,0,0,'Données projet'!$E$11+1,1))</f>
        <v>236.29093866505224</v>
      </c>
      <c r="BJ17" s="62">
        <f t="shared" si="38"/>
        <v>258.22911730540892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3.56</v>
      </c>
      <c r="BY17" s="13">
        <f>IF('Données projet'!$A$114&gt;35,BY16+BX17-CG16,IF(A17&lt;'Données projet'!$A$114,$BV$205^A17,IF(A17='Données projet'!$A$114,'Données projet'!$B$114,BY16+BX17-CG16)))</f>
        <v>12.349756756499216</v>
      </c>
      <c r="BZ17" s="14">
        <f>BY17*VLOOKUP('Données projet'!$B$12,Paramètres!$A$1:$I$89,3,0)*VLOOKUP('Données projet'!$B$12,Paramètres!$A$1:$I$89,5,0)</f>
        <v>9.6328102700693883</v>
      </c>
      <c r="CA17" s="14">
        <f t="shared" si="39"/>
        <v>3.4103285541655652</v>
      </c>
      <c r="CB17" s="22">
        <f t="shared" si="10"/>
        <v>22.716800118875877</v>
      </c>
      <c r="CC17" s="62">
        <f t="shared" si="11"/>
        <v>296.49457789665365</v>
      </c>
      <c r="CD17" s="62">
        <f ca="1">AVERAGE(OFFSET($CC$3,0,0,'Données projet'!$E$12+1,1))-AVERAGE(OFFSET($H$3,0,0,'Données projet'!$E$12+1,1))</f>
        <v>250.84814055099969</v>
      </c>
      <c r="CE17" s="62">
        <f t="shared" si="40"/>
        <v>226.15029417484465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13.877539056685173</v>
      </c>
      <c r="CV17" s="14">
        <f t="shared" si="41"/>
        <v>4.7086819085950955</v>
      </c>
      <c r="CW17" s="22">
        <f t="shared" si="13"/>
        <v>32.371001514529802</v>
      </c>
      <c r="CX17" s="62">
        <f t="shared" si="14"/>
        <v>306.14877929230755</v>
      </c>
      <c r="CY17" s="62">
        <f ca="1">AVERAGE(OFFSET($CX$3,0,0,'Données projet'!$E$13+1,1))-AVERAGE(OFFSET($H$3,0,0,'Données projet'!$E$13+1,1))</f>
        <v>385.00782828233201</v>
      </c>
      <c r="CZ17" s="62">
        <f t="shared" si="42"/>
        <v>216.22708298332475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276.07721264982155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6.9411764705882355</v>
      </c>
      <c r="N18" s="14">
        <f>IF('Données projet'!$A$36&gt;35,N17+M18-V17,IF(A18&lt;'Données projet'!$A$36,$K$205^A18,IF(A18='Données projet'!$A$36,'Données projet'!$B$36,N17+M18-V17)))</f>
        <v>67.317996620272581</v>
      </c>
      <c r="O18" s="14">
        <f>N18*VLOOKUP('Données projet'!$B$9,Paramètres!$A$1:$I$89,3,0)*VLOOKUP('Données projet'!$B$9,Paramètres!$A$1:$I$89,5,0)</f>
        <v>40.256161978923011</v>
      </c>
      <c r="P18" s="14">
        <f t="shared" si="33"/>
        <v>12.066517421720839</v>
      </c>
      <c r="Q18" s="22">
        <f t="shared" si="2"/>
        <v>91.128666622788032</v>
      </c>
      <c r="R18" s="62">
        <f t="shared" si="0"/>
        <v>366.12866662278805</v>
      </c>
      <c r="S18" s="62">
        <f ca="1">AVERAGE(OFFSET($R$3,0,0,'Données projet'!$E$9+1,1))-AVERAGE(OFFSET($H$3,0,0,'Données projet'!$E$9+1,1))</f>
        <v>327.17622590628559</v>
      </c>
      <c r="T18" s="62">
        <f t="shared" si="34"/>
        <v>379.61248288852113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8.044001703326904</v>
      </c>
      <c r="AK18" s="14">
        <f t="shared" si="35"/>
        <v>2.9082200218223746</v>
      </c>
      <c r="AL18" s="22">
        <f t="shared" si="4"/>
        <v>19.075119504634994</v>
      </c>
      <c r="AM18" s="62">
        <f t="shared" si="5"/>
        <v>294.07511950463498</v>
      </c>
      <c r="AN18" s="62">
        <f ca="1">AVERAGE(OFFSET($AM$3,0,0,'Données projet'!$E$10+1,1))-AVERAGE(OFFSET($H$3,0,0,'Données projet'!$E$10+1,1))</f>
        <v>276.87402314479681</v>
      </c>
      <c r="AO18" s="62">
        <f t="shared" si="36"/>
        <v>125.27302863901997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51.9</v>
      </c>
      <c r="BB18" s="13">
        <f>VLOOKUP(A18,'Données projet'!$A$87:$I$107,9,0)</f>
        <v>3.46</v>
      </c>
      <c r="BC18" s="13">
        <f t="array" ref="BC18">INDEX(BB:BB,MIN(IF(ISNUMBER(BB18:BB214),ROW(BB18:BB214),"")))</f>
        <v>3.46</v>
      </c>
      <c r="BD18" s="13">
        <f>IF('Données projet'!$A$88&gt;35,BD17+BC18-BL17,IF(A18&lt;'Données projet'!$A$88,$BA$205^A18,IF(A18='Données projet'!$A$88,'Données projet'!$B$88,BD17+BC18-BL17)))</f>
        <v>51.9</v>
      </c>
      <c r="BE18" s="14">
        <f>BD18*VLOOKUP('Données projet'!$B$11,Paramètres!$A$1:$I$89,3,0)*VLOOKUP('Données projet'!$B$11,Paramètres!$A$1:$I$89,5,0)</f>
        <v>42.101280000000003</v>
      </c>
      <c r="BF18" s="14">
        <f t="shared" si="37"/>
        <v>12.553921012571809</v>
      </c>
      <c r="BG18" s="22">
        <f t="shared" si="7"/>
        <v>95.191141763562555</v>
      </c>
      <c r="BH18" s="62">
        <f t="shared" si="8"/>
        <v>370.19114176356254</v>
      </c>
      <c r="BI18" s="62">
        <f ca="1">AVERAGE(OFFSET($BH$3,0,0,'Données projet'!$E$11+1,1))-AVERAGE(OFFSET($H$3,0,0,'Données projet'!$E$11+1,1))</f>
        <v>236.29093866505224</v>
      </c>
      <c r="BJ18" s="62">
        <f t="shared" si="38"/>
        <v>258.22911730540892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3.56</v>
      </c>
      <c r="BY18" s="13">
        <f>IF('Données projet'!$A$114&gt;35,BY17+BX18-CG17,IF(A18&lt;'Données projet'!$A$114,$BV$205^A18,IF(A18='Données projet'!$A$114,'Données projet'!$B$114,BY17+BX18-CG17)))</f>
        <v>14.778624139441142</v>
      </c>
      <c r="BZ18" s="14">
        <f>BY18*VLOOKUP('Données projet'!$B$12,Paramètres!$A$1:$I$89,3,0)*VLOOKUP('Données projet'!$B$12,Paramètres!$A$1:$I$89,5,0)</f>
        <v>11.527326828764091</v>
      </c>
      <c r="CA18" s="14">
        <f t="shared" si="39"/>
        <v>3.9966439669822584</v>
      </c>
      <c r="CB18" s="22">
        <f t="shared" si="10"/>
        <v>27.037582469258226</v>
      </c>
      <c r="CC18" s="62">
        <f t="shared" si="11"/>
        <v>302.03758246925821</v>
      </c>
      <c r="CD18" s="62">
        <f ca="1">AVERAGE(OFFSET($CC$3,0,0,'Données projet'!$E$12+1,1))-AVERAGE(OFFSET($H$3,0,0,'Données projet'!$E$12+1,1))</f>
        <v>250.84814055099969</v>
      </c>
      <c r="CE18" s="62">
        <f t="shared" si="40"/>
        <v>226.15029417484465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16.729190352551068</v>
      </c>
      <c r="CV18" s="14">
        <f t="shared" si="41"/>
        <v>5.5541103821765283</v>
      </c>
      <c r="CW18" s="22">
        <f t="shared" si="13"/>
        <v>38.810082112983899</v>
      </c>
      <c r="CX18" s="62">
        <f t="shared" si="14"/>
        <v>313.81008211298388</v>
      </c>
      <c r="CY18" s="62">
        <f ca="1">AVERAGE(OFFSET($CX$3,0,0,'Données projet'!$E$13+1,1))-AVERAGE(OFFSET($H$3,0,0,'Données projet'!$E$13+1,1))</f>
        <v>385.00782828233201</v>
      </c>
      <c r="CZ18" s="62">
        <f t="shared" si="42"/>
        <v>216.22708298332475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277.33016575790663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6.9411764705882355</v>
      </c>
      <c r="N19" s="14">
        <f>IF('Données projet'!$A$36&gt;35,N18+M19-V18,IF(A19&lt;'Données projet'!$A$36,$K$205^A19,IF(A19='Données projet'!$A$36,'Données projet'!$B$36,N18+M19-V18)))</f>
        <v>89.126447260014572</v>
      </c>
      <c r="O19" s="14">
        <f>N19*VLOOKUP('Données projet'!$B$9,Paramètres!$A$1:$I$89,3,0)*VLOOKUP('Données projet'!$B$9,Paramètres!$A$1:$I$89,5,0)</f>
        <v>53.297615461488718</v>
      </c>
      <c r="P19" s="14">
        <f t="shared" si="33"/>
        <v>15.46219188294774</v>
      </c>
      <c r="Q19" s="22">
        <f t="shared" si="2"/>
        <v>119.75666445822681</v>
      </c>
      <c r="R19" s="62">
        <f t="shared" si="0"/>
        <v>395.97888668044902</v>
      </c>
      <c r="S19" s="62">
        <f ca="1">AVERAGE(OFFSET($R$3,0,0,'Données projet'!$E$9+1,1))-AVERAGE(OFFSET($H$3,0,0,'Données projet'!$E$9+1,1))</f>
        <v>327.17622590628559</v>
      </c>
      <c r="T19" s="62">
        <f t="shared" si="34"/>
        <v>379.61248288852113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9.2163085105292541</v>
      </c>
      <c r="AK19" s="14">
        <f t="shared" si="35"/>
        <v>3.2797038803547029</v>
      </c>
      <c r="AL19" s="22">
        <f t="shared" si="4"/>
        <v>21.763888247456226</v>
      </c>
      <c r="AM19" s="62">
        <f t="shared" si="5"/>
        <v>297.98611046967847</v>
      </c>
      <c r="AN19" s="62">
        <f ca="1">AVERAGE(OFFSET($AM$3,0,0,'Données projet'!$E$10+1,1))-AVERAGE(OFFSET($H$3,0,0,'Données projet'!$E$10+1,1))</f>
        <v>276.87402314479681</v>
      </c>
      <c r="AO19" s="62">
        <f t="shared" si="36"/>
        <v>125.27302863901997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7.4799999999999995</v>
      </c>
      <c r="BD19" s="13">
        <f>IF('Données projet'!$A$88&gt;35,BD18+BC19-BL18,IF(A19&lt;'Données projet'!$A$88,$BA$205^A19,IF(A19='Données projet'!$A$88,'Données projet'!$B$88,BD18+BC19-BL18)))</f>
        <v>59.379999999999995</v>
      </c>
      <c r="BE19" s="14">
        <f>BD19*VLOOKUP('Données projet'!$B$11,Paramètres!$A$1:$I$89,3,0)*VLOOKUP('Données projet'!$B$11,Paramètres!$A$1:$I$89,5,0)</f>
        <v>48.169055999999998</v>
      </c>
      <c r="BF19" s="14">
        <f t="shared" si="37"/>
        <v>14.139888640905363</v>
      </c>
      <c r="BG19" s="22">
        <f t="shared" si="7"/>
        <v>108.52141191624349</v>
      </c>
      <c r="BH19" s="62">
        <f t="shared" si="8"/>
        <v>384.74363413846572</v>
      </c>
      <c r="BI19" s="62">
        <f ca="1">AVERAGE(OFFSET($BH$3,0,0,'Données projet'!$E$11+1,1))-AVERAGE(OFFSET($H$3,0,0,'Données projet'!$E$11+1,1))</f>
        <v>236.29093866505224</v>
      </c>
      <c r="BJ19" s="62">
        <f t="shared" si="38"/>
        <v>258.22911730540892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3.56</v>
      </c>
      <c r="BY19" s="13">
        <f>IF('Données projet'!$A$114&gt;35,BY18+BX19-CG18,IF(A19&lt;'Données projet'!$A$114,$BV$205^A19,IF(A19='Données projet'!$A$114,'Données projet'!$B$114,BY18+BX19-CG18)))</f>
        <v>17.68518487944571</v>
      </c>
      <c r="BZ19" s="14">
        <f>BY19*VLOOKUP('Données projet'!$B$12,Paramètres!$A$1:$I$89,3,0)*VLOOKUP('Données projet'!$B$12,Paramètres!$A$1:$I$89,5,0)</f>
        <v>13.794444205967654</v>
      </c>
      <c r="CA19" s="14">
        <f t="shared" si="39"/>
        <v>4.6837607418514473</v>
      </c>
      <c r="CB19" s="22">
        <f t="shared" si="10"/>
        <v>32.182873617451598</v>
      </c>
      <c r="CC19" s="62">
        <f t="shared" si="11"/>
        <v>308.40509583967383</v>
      </c>
      <c r="CD19" s="62">
        <f ca="1">AVERAGE(OFFSET($CC$3,0,0,'Données projet'!$E$12+1,1))-AVERAGE(OFFSET($H$3,0,0,'Données projet'!$E$12+1,1))</f>
        <v>250.84814055099969</v>
      </c>
      <c r="CE19" s="62">
        <f t="shared" si="40"/>
        <v>226.15029417484465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20.166818389681932</v>
      </c>
      <c r="CV19" s="14">
        <f t="shared" si="41"/>
        <v>6.5513327797938032</v>
      </c>
      <c r="CW19" s="22">
        <f t="shared" si="13"/>
        <v>46.534113286836906</v>
      </c>
      <c r="CX19" s="62">
        <f t="shared" si="14"/>
        <v>322.75633550905911</v>
      </c>
      <c r="CY19" s="62">
        <f ca="1">AVERAGE(OFFSET($CX$3,0,0,'Données projet'!$E$13+1,1))-AVERAGE(OFFSET($H$3,0,0,'Données projet'!$E$13+1,1))</f>
        <v>385.00782828233201</v>
      </c>
      <c r="CZ19" s="62">
        <f t="shared" si="42"/>
        <v>216.22708298332475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278.58092826076489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118</v>
      </c>
      <c r="L20" s="13">
        <f>VLOOKUP(A20,'Données projet'!$A$35:$I$55,9,0)</f>
        <v>6.9411764705882355</v>
      </c>
      <c r="M20" s="13">
        <f t="array" ref="M20">INDEX(L:L,MIN(IF(ISNUMBER(L20:L216),ROW(L20:L216),"")))</f>
        <v>6.9411764705882355</v>
      </c>
      <c r="N20" s="14">
        <f>IF('Données projet'!$A$36&gt;35,N19+M20-V19,IF(A20&lt;'Données projet'!$A$36,$K$205^A20,IF(A20='Données projet'!$A$36,'Données projet'!$B$36,N19+M20-V19)))</f>
        <v>118</v>
      </c>
      <c r="O20" s="14">
        <f>N20*VLOOKUP('Données projet'!$B$9,Paramètres!$A$1:$I$89,3,0)*VLOOKUP('Données projet'!$B$9,Paramètres!$A$1:$I$89,5,0)</f>
        <v>70.564000000000007</v>
      </c>
      <c r="P20" s="14">
        <f t="shared" si="33"/>
        <v>19.813453167086163</v>
      </c>
      <c r="Q20" s="22">
        <f t="shared" si="2"/>
        <v>157.40739759934175</v>
      </c>
      <c r="R20" s="62">
        <f t="shared" si="0"/>
        <v>434.85184204378618</v>
      </c>
      <c r="S20" s="62">
        <f ca="1">AVERAGE(OFFSET($R$3,0,0,'Données projet'!$E$9+1,1))-AVERAGE(OFFSET($H$3,0,0,'Données projet'!$E$9+1,1))</f>
        <v>327.17622590628559</v>
      </c>
      <c r="T20" s="62">
        <f t="shared" si="34"/>
        <v>379.61248288852113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10.559463522505677</v>
      </c>
      <c r="AK20" s="14">
        <f t="shared" si="35"/>
        <v>3.6986395328072152</v>
      </c>
      <c r="AL20" s="22">
        <f t="shared" si="4"/>
        <v>24.832862821336619</v>
      </c>
      <c r="AM20" s="62">
        <f t="shared" si="5"/>
        <v>302.27730726578108</v>
      </c>
      <c r="AN20" s="62">
        <f ca="1">AVERAGE(OFFSET($AM$3,0,0,'Données projet'!$E$10+1,1))-AVERAGE(OFFSET($H$3,0,0,'Données projet'!$E$10+1,1))</f>
        <v>276.87402314479681</v>
      </c>
      <c r="AO20" s="62">
        <f t="shared" si="36"/>
        <v>125.27302863901997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7.4799999999999995</v>
      </c>
      <c r="BD20" s="13">
        <f>IF('Données projet'!$A$88&gt;35,BD19+BC20-BL19,IF(A20&lt;'Données projet'!$A$88,$BA$205^A20,IF(A20='Données projet'!$A$88,'Données projet'!$B$88,BD19+BC20-BL19)))</f>
        <v>66.86</v>
      </c>
      <c r="BE20" s="14">
        <f>BD20*VLOOKUP('Données projet'!$B$11,Paramètres!$A$1:$I$89,3,0)*VLOOKUP('Données projet'!$B$11,Paramètres!$A$1:$I$89,5,0)</f>
        <v>54.236832000000007</v>
      </c>
      <c r="BF20" s="14">
        <f t="shared" si="37"/>
        <v>15.702706774459386</v>
      </c>
      <c r="BG20" s="22">
        <f t="shared" si="7"/>
        <v>121.81136336551678</v>
      </c>
      <c r="BH20" s="62">
        <f t="shared" si="8"/>
        <v>399.25580780996125</v>
      </c>
      <c r="BI20" s="62">
        <f ca="1">AVERAGE(OFFSET($BH$3,0,0,'Données projet'!$E$11+1,1))-AVERAGE(OFFSET($H$3,0,0,'Données projet'!$E$11+1,1))</f>
        <v>236.29093866505224</v>
      </c>
      <c r="BJ20" s="62">
        <f t="shared" si="38"/>
        <v>258.22911730540892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3.56</v>
      </c>
      <c r="BY20" s="13">
        <f>IF('Données projet'!$A$114&gt;35,BY19+BX20-CG19,IF(A20&lt;'Données projet'!$A$114,$BV$205^A20,IF(A20='Données projet'!$A$114,'Données projet'!$B$114,BY19+BX20-CG19)))</f>
        <v>21.163388504175224</v>
      </c>
      <c r="BZ20" s="14">
        <f>BY20*VLOOKUP('Données projet'!$B$12,Paramètres!$A$1:$I$89,3,0)*VLOOKUP('Données projet'!$B$12,Paramètres!$A$1:$I$89,5,0)</f>
        <v>16.507443033256674</v>
      </c>
      <c r="CA20" s="14">
        <f t="shared" si="39"/>
        <v>5.4890089955831698</v>
      </c>
      <c r="CB20" s="22">
        <f t="shared" si="10"/>
        <v>38.310487283562729</v>
      </c>
      <c r="CC20" s="62">
        <f t="shared" si="11"/>
        <v>315.75493172800719</v>
      </c>
      <c r="CD20" s="62">
        <f ca="1">AVERAGE(OFFSET($CC$3,0,0,'Données projet'!$E$12+1,1))-AVERAGE(OFFSET($H$3,0,0,'Données projet'!$E$12+1,1))</f>
        <v>250.84814055099969</v>
      </c>
      <c r="CE20" s="62">
        <f t="shared" si="40"/>
        <v>226.15029417484465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24.31083366209619</v>
      </c>
      <c r="CV20" s="14">
        <f t="shared" si="41"/>
        <v>7.7276032052466093</v>
      </c>
      <c r="CW20" s="22">
        <f t="shared" si="13"/>
        <v>55.800277543955367</v>
      </c>
      <c r="CX20" s="62">
        <f t="shared" si="14"/>
        <v>333.24472198839982</v>
      </c>
      <c r="CY20" s="62">
        <f ca="1">AVERAGE(OFFSET($CX$3,0,0,'Données projet'!$E$13+1,1))-AVERAGE(OFFSET($H$3,0,0,'Données projet'!$E$13+1,1))</f>
        <v>385.00782828233201</v>
      </c>
      <c r="CZ20" s="62">
        <f t="shared" si="42"/>
        <v>216.22708298332475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279.82964369567594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11.333333333333334</v>
      </c>
      <c r="N21" s="14">
        <f>IF('Données projet'!$A$36&gt;35,N20+M21-V20,IF(A21&lt;'Données projet'!$A$36,$K$205^A21,IF(A21='Données projet'!$A$36,'Données projet'!$B$36,N20+M21-V20)))</f>
        <v>129.33333333333334</v>
      </c>
      <c r="O21" s="14">
        <f>N21*VLOOKUP('Données projet'!$B$9,Paramètres!$A$1:$I$89,3,0)*VLOOKUP('Données projet'!$B$9,Paramètres!$A$1:$I$89,5,0)</f>
        <v>77.341333333333338</v>
      </c>
      <c r="P21" s="14">
        <f t="shared" si="33"/>
        <v>21.485853149316739</v>
      </c>
      <c r="Q21" s="22">
        <f t="shared" si="2"/>
        <v>172.12401645728221</v>
      </c>
      <c r="R21" s="62">
        <f t="shared" si="0"/>
        <v>450.7906831239489</v>
      </c>
      <c r="S21" s="62">
        <f ca="1">AVERAGE(OFFSET($R$3,0,0,'Données projet'!$E$9+1,1))-AVERAGE(OFFSET($H$3,0,0,'Données projet'!$E$9+1,1))</f>
        <v>327.17622590628559</v>
      </c>
      <c r="T21" s="62">
        <f t="shared" si="34"/>
        <v>379.61248288852113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12.098365604378504</v>
      </c>
      <c r="AK21" s="14">
        <f t="shared" si="35"/>
        <v>4.1710882728122609</v>
      </c>
      <c r="AL21" s="22">
        <f t="shared" si="4"/>
        <v>28.335965502773913</v>
      </c>
      <c r="AM21" s="62">
        <f t="shared" si="5"/>
        <v>307.00263216944057</v>
      </c>
      <c r="AN21" s="62">
        <f ca="1">AVERAGE(OFFSET($AM$3,0,0,'Données projet'!$E$10+1,1))-AVERAGE(OFFSET($H$3,0,0,'Données projet'!$E$10+1,1))</f>
        <v>276.87402314479681</v>
      </c>
      <c r="AO21" s="62">
        <f t="shared" si="36"/>
        <v>125.27302863901997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7.4799999999999995</v>
      </c>
      <c r="BD21" s="13">
        <f>IF('Données projet'!$A$88&gt;35,BD20+BC21-BL20,IF(A21&lt;'Données projet'!$A$88,$BA$205^A21,IF(A21='Données projet'!$A$88,'Données projet'!$B$88,BD20+BC21-BL20)))</f>
        <v>74.34</v>
      </c>
      <c r="BE21" s="14">
        <f>BD21*VLOOKUP('Données projet'!$B$11,Paramètres!$A$1:$I$89,3,0)*VLOOKUP('Données projet'!$B$11,Paramètres!$A$1:$I$89,5,0)</f>
        <v>60.304608000000009</v>
      </c>
      <c r="BF21" s="14">
        <f t="shared" si="37"/>
        <v>17.245260759402161</v>
      </c>
      <c r="BG21" s="22">
        <f t="shared" si="7"/>
        <v>135.06602142262543</v>
      </c>
      <c r="BH21" s="62">
        <f t="shared" si="8"/>
        <v>413.73268808929208</v>
      </c>
      <c r="BI21" s="62">
        <f ca="1">AVERAGE(OFFSET($BH$3,0,0,'Données projet'!$E$11+1,1))-AVERAGE(OFFSET($H$3,0,0,'Données projet'!$E$11+1,1))</f>
        <v>236.29093866505224</v>
      </c>
      <c r="BJ21" s="62">
        <f t="shared" si="38"/>
        <v>258.22911730540892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3.56</v>
      </c>
      <c r="BY21" s="13">
        <f>IF('Données projet'!$A$114&gt;35,BY20+BX21-CG20,IF(A21&lt;'Données projet'!$A$114,$BV$205^A21,IF(A21='Données projet'!$A$114,'Données projet'!$B$114,BY20+BX21-CG20)))</f>
        <v>25.325661904683113</v>
      </c>
      <c r="BZ21" s="14">
        <f>BY21*VLOOKUP('Données projet'!$B$12,Paramètres!$A$1:$I$89,3,0)*VLOOKUP('Données projet'!$B$12,Paramètres!$A$1:$I$89,5,0)</f>
        <v>19.754016285652828</v>
      </c>
      <c r="CA21" s="14">
        <f t="shared" si="39"/>
        <v>6.4326982982660121</v>
      </c>
      <c r="CB21" s="22">
        <f t="shared" si="10"/>
        <v>45.608527900325306</v>
      </c>
      <c r="CC21" s="62">
        <f t="shared" si="11"/>
        <v>324.27519456699201</v>
      </c>
      <c r="CD21" s="62">
        <f ca="1">AVERAGE(OFFSET($CC$3,0,0,'Données projet'!$E$12+1,1))-AVERAGE(OFFSET($H$3,0,0,'Données projet'!$E$12+1,1))</f>
        <v>250.84814055099969</v>
      </c>
      <c r="CE21" s="62">
        <f t="shared" si="40"/>
        <v>226.15029417484465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29.306389432677911</v>
      </c>
      <c r="CV21" s="14">
        <f t="shared" si="41"/>
        <v>9.1150691477493808</v>
      </c>
      <c r="CW21" s="22">
        <f t="shared" si="13"/>
        <v>66.917373694244205</v>
      </c>
      <c r="CX21" s="62">
        <f t="shared" si="14"/>
        <v>345.58404036091088</v>
      </c>
      <c r="CY21" s="62">
        <f ca="1">AVERAGE(OFFSET($CX$3,0,0,'Données projet'!$E$13+1,1))-AVERAGE(OFFSET($H$3,0,0,'Données projet'!$E$13+1,1))</f>
        <v>385.00782828233201</v>
      </c>
      <c r="CZ21" s="62">
        <f t="shared" si="42"/>
        <v>216.22708298332475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281.07643875057323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11.333333333333334</v>
      </c>
      <c r="N22" s="14">
        <f>IF('Données projet'!$A$36&gt;35,N21+M22-V21,IF(A22&lt;'Données projet'!$A$36,$K$205^A22,IF(A22='Données projet'!$A$36,'Données projet'!$B$36,N21+M22-V21)))</f>
        <v>140.66666666666669</v>
      </c>
      <c r="O22" s="14">
        <f>N22*VLOOKUP('Données projet'!$B$9,Paramètres!$A$1:$I$89,3,0)*VLOOKUP('Données projet'!$B$9,Paramètres!$A$1:$I$89,5,0)</f>
        <v>84.118666666666684</v>
      </c>
      <c r="P22" s="14">
        <f t="shared" si="33"/>
        <v>23.141258413604429</v>
      </c>
      <c r="Q22" s="22">
        <f t="shared" si="2"/>
        <v>186.81103618147219</v>
      </c>
      <c r="R22" s="62">
        <f t="shared" si="0"/>
        <v>466.69992507036102</v>
      </c>
      <c r="S22" s="62">
        <f ca="1">AVERAGE(OFFSET($R$3,0,0,'Données projet'!$E$9+1,1))-AVERAGE(OFFSET($H$3,0,0,'Données projet'!$E$9+1,1))</f>
        <v>327.17622590628559</v>
      </c>
      <c r="T22" s="62">
        <f t="shared" si="34"/>
        <v>379.61248288852113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13.861542301391113</v>
      </c>
      <c r="AK22" s="14">
        <f t="shared" si="35"/>
        <v>4.7038856382922933</v>
      </c>
      <c r="AL22" s="22">
        <f t="shared" si="4"/>
        <v>32.334786994948594</v>
      </c>
      <c r="AM22" s="62">
        <f t="shared" si="5"/>
        <v>312.22367588383747</v>
      </c>
      <c r="AN22" s="62">
        <f ca="1">AVERAGE(OFFSET($AM$3,0,0,'Données projet'!$E$10+1,1))-AVERAGE(OFFSET($H$3,0,0,'Données projet'!$E$10+1,1))</f>
        <v>276.87402314479681</v>
      </c>
      <c r="AO22" s="62">
        <f t="shared" si="36"/>
        <v>125.27302863901997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7.4799999999999995</v>
      </c>
      <c r="BD22" s="13">
        <f>IF('Données projet'!$A$88&gt;35,BD21+BC22-BL21,IF(A22&lt;'Données projet'!$A$88,$BA$205^A22,IF(A22='Données projet'!$A$88,'Données projet'!$B$88,BD21+BC22-BL21)))</f>
        <v>81.820000000000007</v>
      </c>
      <c r="BE22" s="14">
        <f>BD22*VLOOKUP('Données projet'!$B$11,Paramètres!$A$1:$I$89,3,0)*VLOOKUP('Données projet'!$B$11,Paramètres!$A$1:$I$89,5,0)</f>
        <v>66.372384000000011</v>
      </c>
      <c r="BF22" s="14">
        <f t="shared" si="37"/>
        <v>18.769821678973006</v>
      </c>
      <c r="BG22" s="22">
        <f t="shared" si="7"/>
        <v>148.28934155754467</v>
      </c>
      <c r="BH22" s="62">
        <f t="shared" si="8"/>
        <v>428.17823044643353</v>
      </c>
      <c r="BI22" s="62">
        <f ca="1">AVERAGE(OFFSET($BH$3,0,0,'Données projet'!$E$11+1,1))-AVERAGE(OFFSET($H$3,0,0,'Données projet'!$E$11+1,1))</f>
        <v>236.29093866505224</v>
      </c>
      <c r="BJ22" s="62">
        <f t="shared" si="38"/>
        <v>258.22911730540892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3.56</v>
      </c>
      <c r="BY22" s="13">
        <f>IF('Données projet'!$A$114&gt;35,BY21+BX22-CG21,IF(A22&lt;'Données projet'!$A$114,$BV$205^A22,IF(A22='Données projet'!$A$114,'Données projet'!$B$114,BY21+BX22-CG21)))</f>
        <v>30.306543339398647</v>
      </c>
      <c r="BZ22" s="14">
        <f>BY22*VLOOKUP('Données projet'!$B$12,Paramètres!$A$1:$I$89,3,0)*VLOOKUP('Données projet'!$B$12,Paramètres!$A$1:$I$89,5,0)</f>
        <v>23.639103804730947</v>
      </c>
      <c r="CA22" s="14">
        <f t="shared" si="39"/>
        <v>7.5386299111208031</v>
      </c>
      <c r="CB22" s="22">
        <f t="shared" si="10"/>
        <v>54.301219555108467</v>
      </c>
      <c r="CC22" s="62">
        <f t="shared" si="11"/>
        <v>334.1901084439973</v>
      </c>
      <c r="CD22" s="62">
        <f ca="1">AVERAGE(OFFSET($CC$3,0,0,'Données projet'!$E$12+1,1))-AVERAGE(OFFSET($H$3,0,0,'Données projet'!$E$12+1,1))</f>
        <v>250.84814055099969</v>
      </c>
      <c r="CE22" s="62">
        <f t="shared" si="40"/>
        <v>226.15029417484465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35.328466045936516</v>
      </c>
      <c r="CV22" s="14">
        <f t="shared" si="41"/>
        <v>10.751650073316766</v>
      </c>
      <c r="CW22" s="22">
        <f t="shared" si="13"/>
        <v>80.256202241032796</v>
      </c>
      <c r="CX22" s="62">
        <f t="shared" si="14"/>
        <v>360.14509112992164</v>
      </c>
      <c r="CY22" s="62">
        <f ca="1">AVERAGE(OFFSET($CX$3,0,0,'Données projet'!$E$13+1,1))-AVERAGE(OFFSET($H$3,0,0,'Données projet'!$E$13+1,1))</f>
        <v>385.00782828233201</v>
      </c>
      <c r="CZ22" s="62">
        <f t="shared" si="42"/>
        <v>216.22708298332475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282.32142602462875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152</v>
      </c>
      <c r="L23" s="13">
        <f>VLOOKUP(A23,'Données projet'!$A$35:$I$55,9,0)</f>
        <v>11.333333333333334</v>
      </c>
      <c r="M23" s="13">
        <f t="array" ref="M23">INDEX(L:L,MIN(IF(ISNUMBER(L23:L219),ROW(L23:L219),"")))</f>
        <v>11.333333333333334</v>
      </c>
      <c r="N23" s="14">
        <f>IF('Données projet'!$A$36&gt;35,N22+M23-V22,IF(A23&lt;'Données projet'!$A$36,$K$205^A23,IF(A23='Données projet'!$A$36,'Données projet'!$B$36,N22+M23-V22)))</f>
        <v>152.00000000000003</v>
      </c>
      <c r="O23" s="14">
        <f>N23*VLOOKUP('Données projet'!$B$9,Paramètres!$A$1:$I$89,3,0)*VLOOKUP('Données projet'!$B$9,Paramètres!$A$1:$I$89,5,0)</f>
        <v>90.896000000000029</v>
      </c>
      <c r="P23" s="14">
        <f t="shared" si="33"/>
        <v>24.781193872187952</v>
      </c>
      <c r="Q23" s="22">
        <f t="shared" si="2"/>
        <v>201.47111266072739</v>
      </c>
      <c r="R23" s="62">
        <f t="shared" si="0"/>
        <v>482.58222377183853</v>
      </c>
      <c r="S23" s="62">
        <f ca="1">AVERAGE(OFFSET($R$3,0,0,'Données projet'!$E$9+1,1))-AVERAGE(OFFSET($H$3,0,0,'Données projet'!$E$9+1,1))</f>
        <v>327.17622590628559</v>
      </c>
      <c r="T23" s="62">
        <f t="shared" si="34"/>
        <v>379.61248288852113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15.881678671019593</v>
      </c>
      <c r="AK23" s="14">
        <f t="shared" si="35"/>
        <v>5.3047403101862871</v>
      </c>
      <c r="AL23" s="22">
        <f t="shared" si="4"/>
        <v>36.899679725600237</v>
      </c>
      <c r="AM23" s="62">
        <f t="shared" si="5"/>
        <v>318.01079083671141</v>
      </c>
      <c r="AN23" s="62">
        <f ca="1">AVERAGE(OFFSET($AM$3,0,0,'Données projet'!$E$10+1,1))-AVERAGE(OFFSET($H$3,0,0,'Données projet'!$E$10+1,1))</f>
        <v>276.87402314479681</v>
      </c>
      <c r="AO23" s="62">
        <f t="shared" si="36"/>
        <v>125.27302863901997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89.3</v>
      </c>
      <c r="BB23" s="13">
        <f>VLOOKUP(A23,'Données projet'!$A$87:$I$107,9,0)</f>
        <v>7.4799999999999995</v>
      </c>
      <c r="BC23" s="13">
        <f t="array" ref="BC23">INDEX(BB:BB,MIN(IF(ISNUMBER(BB23:BB219),ROW(BB23:BB219),"")))</f>
        <v>7.4799999999999995</v>
      </c>
      <c r="BD23" s="13">
        <f>IF('Données projet'!$A$88&gt;35,BD22+BC23-BL22,IF(A23&lt;'Données projet'!$A$88,$BA$205^A23,IF(A23='Données projet'!$A$88,'Données projet'!$B$88,BD22+BC23-BL22)))</f>
        <v>89.300000000000011</v>
      </c>
      <c r="BE23" s="14">
        <f>BD23*VLOOKUP('Données projet'!$B$11,Paramètres!$A$1:$I$89,3,0)*VLOOKUP('Données projet'!$B$11,Paramètres!$A$1:$I$89,5,0)</f>
        <v>72.44016000000002</v>
      </c>
      <c r="BF23" s="14">
        <f t="shared" si="37"/>
        <v>20.27822154299642</v>
      </c>
      <c r="BG23" s="22">
        <f t="shared" si="7"/>
        <v>161.48451452071879</v>
      </c>
      <c r="BH23" s="62">
        <f t="shared" si="8"/>
        <v>442.59562563182993</v>
      </c>
      <c r="BI23" s="62">
        <f ca="1">AVERAGE(OFFSET($BH$3,0,0,'Données projet'!$E$11+1,1))-AVERAGE(OFFSET($H$3,0,0,'Données projet'!$E$11+1,1))</f>
        <v>236.29093866505224</v>
      </c>
      <c r="BJ23" s="62">
        <f t="shared" si="38"/>
        <v>258.22911730540892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19.600000000000001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3.56</v>
      </c>
      <c r="BY23" s="13">
        <f>IF('Données projet'!$A$114&gt;35,BY22+BX23-CG22,IF(A23&lt;'Données projet'!$A$114,$BV$205^A23,IF(A23='Données projet'!$A$114,'Données projet'!$B$114,BY22+BX23-CG22)))</f>
        <v>36.267031149657967</v>
      </c>
      <c r="BZ23" s="14">
        <f>BY23*VLOOKUP('Données projet'!$B$12,Paramètres!$A$1:$I$89,3,0)*VLOOKUP('Données projet'!$B$12,Paramètres!$A$1:$I$89,5,0)</f>
        <v>28.288284296733217</v>
      </c>
      <c r="CA23" s="14">
        <f t="shared" si="39"/>
        <v>8.834697090047662</v>
      </c>
      <c r="CB23" s="22">
        <f t="shared" si="10"/>
        <v>64.655859248643353</v>
      </c>
      <c r="CC23" s="62">
        <f t="shared" si="11"/>
        <v>345.76697035975451</v>
      </c>
      <c r="CD23" s="62">
        <f ca="1">AVERAGE(OFFSET($CC$3,0,0,'Données projet'!$E$12+1,1))-AVERAGE(OFFSET($H$3,0,0,'Données projet'!$E$12+1,1))</f>
        <v>250.84814055099969</v>
      </c>
      <c r="CE23" s="62">
        <f t="shared" si="40"/>
        <v>226.15029417484465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42.588000000000001</v>
      </c>
      <c r="CV23" s="14">
        <f t="shared" si="41"/>
        <v>12.682073764365764</v>
      </c>
      <c r="CW23" s="22">
        <f t="shared" si="13"/>
        <v>96.262045139603686</v>
      </c>
      <c r="CX23" s="62">
        <f t="shared" si="14"/>
        <v>377.37315625071483</v>
      </c>
      <c r="CY23" s="62">
        <f ca="1">AVERAGE(OFFSET($CX$3,0,0,'Données projet'!$E$13+1,1))-AVERAGE(OFFSET($H$3,0,0,'Données projet'!$E$13+1,1))</f>
        <v>385.00782828233201</v>
      </c>
      <c r="CZ23" s="62">
        <f t="shared" si="42"/>
        <v>216.22708298332475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283.56470622103035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16.399999999999999</v>
      </c>
      <c r="N24" s="14">
        <f>IF('Données projet'!$A$36&gt;35,N23+M24-V23,IF(A24&lt;'Données projet'!$A$36,$K$205^A24,IF(A24='Données projet'!$A$36,'Données projet'!$B$36,N23+M24-V23)))</f>
        <v>138.40000000000003</v>
      </c>
      <c r="O24" s="14">
        <f>N24*VLOOKUP('Données projet'!$B$9,Paramètres!$A$1:$I$89,3,0)*VLOOKUP('Données projet'!$B$9,Paramètres!$A$1:$I$89,5,0)</f>
        <v>82.763200000000026</v>
      </c>
      <c r="P24" s="14">
        <f t="shared" si="33"/>
        <v>22.811459894537176</v>
      </c>
      <c r="Q24" s="22">
        <f t="shared" si="2"/>
        <v>183.87586598298563</v>
      </c>
      <c r="R24" s="62">
        <f t="shared" si="0"/>
        <v>466.20919931631897</v>
      </c>
      <c r="S24" s="62">
        <f ca="1">AVERAGE(OFFSET($R$3,0,0,'Données projet'!$E$9+1,1))-AVERAGE(OFFSET($H$3,0,0,'Données projet'!$E$9+1,1))</f>
        <v>327.17622590628559</v>
      </c>
      <c r="T24" s="62">
        <f t="shared" si="34"/>
        <v>379.61248288852113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18.196223185367025</v>
      </c>
      <c r="AK24" s="14">
        <f t="shared" si="35"/>
        <v>5.9823456440857257</v>
      </c>
      <c r="AL24" s="22">
        <f t="shared" si="4"/>
        <v>42.111007377963539</v>
      </c>
      <c r="AM24" s="62">
        <f t="shared" si="5"/>
        <v>324.44434071129683</v>
      </c>
      <c r="AN24" s="62">
        <f ca="1">AVERAGE(OFFSET($AM$3,0,0,'Données projet'!$E$10+1,1))-AVERAGE(OFFSET($H$3,0,0,'Données projet'!$E$10+1,1))</f>
        <v>276.87402314479681</v>
      </c>
      <c r="AO24" s="62">
        <f t="shared" si="36"/>
        <v>125.27302863901997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7.7000000000000028</v>
      </c>
      <c r="BD24" s="13">
        <f>IF('Données projet'!$A$88&gt;35,BD23+BC24-BL23,IF(A24&lt;'Données projet'!$A$88,$BA$205^A24,IF(A24='Données projet'!$A$88,'Données projet'!$B$88,BD23+BC24-BL23)))</f>
        <v>77.400000000000006</v>
      </c>
      <c r="BE24" s="14">
        <f>BD24*VLOOKUP('Données projet'!$B$11,Paramètres!$A$1:$I$89,3,0)*VLOOKUP('Données projet'!$B$11,Paramètres!$A$1:$I$89,5,0)</f>
        <v>62.786880000000011</v>
      </c>
      <c r="BF24" s="14">
        <f t="shared" si="37"/>
        <v>17.871007096321183</v>
      </c>
      <c r="BG24" s="22">
        <f t="shared" si="7"/>
        <v>140.47915335942608</v>
      </c>
      <c r="BH24" s="62">
        <f t="shared" si="8"/>
        <v>422.81248669275942</v>
      </c>
      <c r="BI24" s="62">
        <f ca="1">AVERAGE(OFFSET($BH$3,0,0,'Données projet'!$E$11+1,1))-AVERAGE(OFFSET($H$3,0,0,'Données projet'!$E$11+1,1))</f>
        <v>236.29093866505224</v>
      </c>
      <c r="BJ24" s="62">
        <f t="shared" si="38"/>
        <v>258.22911730540892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3.56</v>
      </c>
      <c r="BY24" s="13">
        <f>IF('Données projet'!$A$114&gt;35,BY23+BX24-CG23,IF(A24&lt;'Données projet'!$A$114,$BV$205^A24,IF(A24='Données projet'!$A$114,'Données projet'!$B$114,BY23+BX24-CG23)))</f>
        <v>43.399787751457886</v>
      </c>
      <c r="BZ24" s="14">
        <f>BY24*VLOOKUP('Données projet'!$B$12,Paramètres!$A$1:$I$89,3,0)*VLOOKUP('Données projet'!$B$12,Paramètres!$A$1:$I$89,5,0)</f>
        <v>33.851834446137154</v>
      </c>
      <c r="CA24" s="14">
        <f t="shared" si="39"/>
        <v>10.353588595423204</v>
      </c>
      <c r="CB24" s="22">
        <f t="shared" si="10"/>
        <v>76.991111797384278</v>
      </c>
      <c r="CC24" s="62">
        <f t="shared" si="11"/>
        <v>359.32444513071761</v>
      </c>
      <c r="CD24" s="62">
        <f ca="1">AVERAGE(OFFSET($CC$3,0,0,'Données projet'!$E$12+1,1))-AVERAGE(OFFSET($H$3,0,0,'Données projet'!$E$12+1,1))</f>
        <v>250.84814055099969</v>
      </c>
      <c r="CE24" s="62">
        <f t="shared" si="40"/>
        <v>226.15029417484465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48.266400000000004</v>
      </c>
      <c r="CV24" s="14">
        <f t="shared" si="41"/>
        <v>14.165134590154434</v>
      </c>
      <c r="CW24" s="22">
        <f t="shared" si="13"/>
        <v>108.73492274451898</v>
      </c>
      <c r="CX24" s="62">
        <f t="shared" si="14"/>
        <v>391.06825607785231</v>
      </c>
      <c r="CY24" s="62">
        <f ca="1">AVERAGE(OFFSET($CX$3,0,0,'Données projet'!$E$13+1,1))-AVERAGE(OFFSET($H$3,0,0,'Données projet'!$E$13+1,1))</f>
        <v>385.00782828233201</v>
      </c>
      <c r="CZ24" s="62">
        <f t="shared" si="42"/>
        <v>216.22708298332475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284.8063699102529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16.399999999999999</v>
      </c>
      <c r="N25" s="14">
        <f>IF('Données projet'!$A$36&gt;35,N24+M25-V24,IF(A25&lt;'Données projet'!$A$36,$K$205^A25,IF(A25='Données projet'!$A$36,'Données projet'!$B$36,N24+M25-V24)))</f>
        <v>154.80000000000004</v>
      </c>
      <c r="O25" s="14">
        <f>N25*VLOOKUP('Données projet'!$B$9,Paramètres!$A$1:$I$89,3,0)*VLOOKUP('Données projet'!$B$9,Paramètres!$A$1:$I$89,5,0)</f>
        <v>92.570400000000035</v>
      </c>
      <c r="P25" s="14">
        <f t="shared" si="33"/>
        <v>25.184123943972491</v>
      </c>
      <c r="Q25" s="22">
        <f t="shared" si="2"/>
        <v>205.0891292024188</v>
      </c>
      <c r="R25" s="62">
        <f t="shared" si="0"/>
        <v>488.64468475797435</v>
      </c>
      <c r="S25" s="62">
        <f ca="1">AVERAGE(OFFSET($R$3,0,0,'Données projet'!$E$9+1,1))-AVERAGE(OFFSET($H$3,0,0,'Données projet'!$E$9+1,1))</f>
        <v>327.17622590628559</v>
      </c>
      <c r="T25" s="62">
        <f t="shared" si="34"/>
        <v>379.61248288852113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20.848081935814147</v>
      </c>
      <c r="AK25" s="14">
        <f t="shared" si="35"/>
        <v>6.7465054484551477</v>
      </c>
      <c r="AL25" s="22">
        <f t="shared" si="4"/>
        <v>48.060573027602352</v>
      </c>
      <c r="AM25" s="62">
        <f t="shared" si="5"/>
        <v>331.61612858315789</v>
      </c>
      <c r="AN25" s="62">
        <f ca="1">AVERAGE(OFFSET($AM$3,0,0,'Données projet'!$E$10+1,1))-AVERAGE(OFFSET($H$3,0,0,'Données projet'!$E$10+1,1))</f>
        <v>276.87402314479681</v>
      </c>
      <c r="AO25" s="62">
        <f t="shared" si="36"/>
        <v>125.27302863901997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7.7000000000000028</v>
      </c>
      <c r="BD25" s="13">
        <f>IF('Données projet'!$A$88&gt;35,BD24+BC25-BL24,IF(A25&lt;'Données projet'!$A$88,$BA$205^A25,IF(A25='Données projet'!$A$88,'Données projet'!$B$88,BD24+BC25-BL24)))</f>
        <v>85.100000000000009</v>
      </c>
      <c r="BE25" s="14">
        <f>BD25*VLOOKUP('Données projet'!$B$11,Paramètres!$A$1:$I$89,3,0)*VLOOKUP('Données projet'!$B$11,Paramètres!$A$1:$I$89,5,0)</f>
        <v>69.033120000000011</v>
      </c>
      <c r="BF25" s="14">
        <f t="shared" si="37"/>
        <v>19.433153168039144</v>
      </c>
      <c r="BG25" s="22">
        <f t="shared" si="7"/>
        <v>154.07875910100151</v>
      </c>
      <c r="BH25" s="62">
        <f t="shared" si="8"/>
        <v>437.63431465655708</v>
      </c>
      <c r="BI25" s="62">
        <f ca="1">AVERAGE(OFFSET($BH$3,0,0,'Données projet'!$E$11+1,1))-AVERAGE(OFFSET($H$3,0,0,'Données projet'!$E$11+1,1))</f>
        <v>236.29093866505224</v>
      </c>
      <c r="BJ25" s="62">
        <f t="shared" si="38"/>
        <v>258.22911730540892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3.56</v>
      </c>
      <c r="BY25" s="13">
        <f>IF('Données projet'!$A$114&gt;35,BY24+BX25-CG24,IF(A25&lt;'Données projet'!$A$114,$BV$205^A25,IF(A25='Données projet'!$A$114,'Données projet'!$B$114,BY24+BX25-CG24)))</f>
        <v>51.935367113427411</v>
      </c>
      <c r="BZ25" s="14">
        <f>BY25*VLOOKUP('Données projet'!$B$12,Paramètres!$A$1:$I$89,3,0)*VLOOKUP('Données projet'!$B$12,Paramètres!$A$1:$I$89,5,0)</f>
        <v>40.509586348473384</v>
      </c>
      <c r="CA25" s="14">
        <f t="shared" si="39"/>
        <v>12.133613151721432</v>
      </c>
      <c r="CB25" s="22">
        <f t="shared" si="10"/>
        <v>91.686905796172638</v>
      </c>
      <c r="CC25" s="62">
        <f t="shared" si="11"/>
        <v>375.2424613517282</v>
      </c>
      <c r="CD25" s="62">
        <f ca="1">AVERAGE(OFFSET($CC$3,0,0,'Données projet'!$E$12+1,1))-AVERAGE(OFFSET($H$3,0,0,'Données projet'!$E$12+1,1))</f>
        <v>250.84814055099969</v>
      </c>
      <c r="CE25" s="62">
        <f t="shared" si="40"/>
        <v>226.15029417484465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53.944800000000008</v>
      </c>
      <c r="CV25" s="14">
        <f t="shared" si="41"/>
        <v>15.627975445731321</v>
      </c>
      <c r="CW25" s="22">
        <f t="shared" si="13"/>
        <v>121.17258390131538</v>
      </c>
      <c r="CX25" s="62">
        <f t="shared" si="14"/>
        <v>404.72813945687091</v>
      </c>
      <c r="CY25" s="62">
        <f ca="1">AVERAGE(OFFSET($CX$3,0,0,'Données projet'!$E$13+1,1))-AVERAGE(OFFSET($H$3,0,0,'Données projet'!$E$13+1,1))</f>
        <v>385.00782828233201</v>
      </c>
      <c r="CZ25" s="62">
        <f t="shared" si="42"/>
        <v>216.22708298332475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286.04649896367255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16.399999999999999</v>
      </c>
      <c r="N26" s="14">
        <f>IF('Données projet'!$A$36&gt;35,N25+M26-V25,IF(A26&lt;'Données projet'!$A$36,$K$205^A26,IF(A26='Données projet'!$A$36,'Données projet'!$B$36,N25+M26-V25)))</f>
        <v>171.20000000000005</v>
      </c>
      <c r="O26" s="14">
        <f>N26*VLOOKUP('Données projet'!$B$9,Paramètres!$A$1:$I$89,3,0)*VLOOKUP('Données projet'!$B$9,Paramètres!$A$1:$I$89,5,0)</f>
        <v>102.37760000000003</v>
      </c>
      <c r="P26" s="14">
        <f t="shared" si="33"/>
        <v>27.527651005505614</v>
      </c>
      <c r="Q26" s="22">
        <f t="shared" si="2"/>
        <v>226.25164550125567</v>
      </c>
      <c r="R26" s="62">
        <f t="shared" si="0"/>
        <v>511.02942327903344</v>
      </c>
      <c r="S26" s="62">
        <f ca="1">AVERAGE(OFFSET($R$3,0,0,'Données projet'!$E$9+1,1))-AVERAGE(OFFSET($H$3,0,0,'Données projet'!$E$9+1,1))</f>
        <v>327.17622590628559</v>
      </c>
      <c r="T26" s="62">
        <f t="shared" si="34"/>
        <v>379.61248288852113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23.886414008811979</v>
      </c>
      <c r="AK26" s="14">
        <f t="shared" si="35"/>
        <v>7.6082758292363835</v>
      </c>
      <c r="AL26" s="22">
        <f t="shared" si="4"/>
        <v>54.853251467934228</v>
      </c>
      <c r="AM26" s="62">
        <f t="shared" si="5"/>
        <v>339.631029245712</v>
      </c>
      <c r="AN26" s="62">
        <f ca="1">AVERAGE(OFFSET($AM$3,0,0,'Données projet'!$E$10+1,1))-AVERAGE(OFFSET($H$3,0,0,'Données projet'!$E$10+1,1))</f>
        <v>276.87402314479681</v>
      </c>
      <c r="AO26" s="62">
        <f t="shared" si="36"/>
        <v>125.27302863901997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7.7000000000000028</v>
      </c>
      <c r="BD26" s="13">
        <f>IF('Données projet'!$A$88&gt;35,BD25+BC26-BL25,IF(A26&lt;'Données projet'!$A$88,$BA$205^A26,IF(A26='Données projet'!$A$88,'Données projet'!$B$88,BD25+BC26-BL25)))</f>
        <v>92.800000000000011</v>
      </c>
      <c r="BE26" s="14">
        <f>BD26*VLOOKUP('Données projet'!$B$11,Paramètres!$A$1:$I$89,3,0)*VLOOKUP('Données projet'!$B$11,Paramètres!$A$1:$I$89,5,0)</f>
        <v>75.279360000000011</v>
      </c>
      <c r="BF26" s="14">
        <f t="shared" si="37"/>
        <v>20.978909341473841</v>
      </c>
      <c r="BG26" s="22">
        <f t="shared" si="7"/>
        <v>167.64981910306696</v>
      </c>
      <c r="BH26" s="62">
        <f t="shared" si="8"/>
        <v>452.4275968808447</v>
      </c>
      <c r="BI26" s="62">
        <f ca="1">AVERAGE(OFFSET($BH$3,0,0,'Données projet'!$E$11+1,1))-AVERAGE(OFFSET($H$3,0,0,'Données projet'!$E$11+1,1))</f>
        <v>236.29093866505224</v>
      </c>
      <c r="BJ26" s="62">
        <f t="shared" si="38"/>
        <v>258.22911730540892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3.56</v>
      </c>
      <c r="BY26" s="13">
        <f>IF('Données projet'!$A$114&gt;35,BY25+BX26-CG25,IF(A26&lt;'Données projet'!$A$114,$BV$205^A26,IF(A26='Données projet'!$A$114,'Données projet'!$B$114,BY25+BX26-CG25)))</f>
        <v>62.149667013426139</v>
      </c>
      <c r="BZ26" s="14">
        <f>BY26*VLOOKUP('Données projet'!$B$12,Paramètres!$A$1:$I$89,3,0)*VLOOKUP('Données projet'!$B$12,Paramètres!$A$1:$I$89,5,0)</f>
        <v>48.476740270472391</v>
      </c>
      <c r="CA26" s="14">
        <f t="shared" si="39"/>
        <v>14.219665651067873</v>
      </c>
      <c r="CB26" s="22">
        <f t="shared" si="10"/>
        <v>109.19624031334928</v>
      </c>
      <c r="CC26" s="62">
        <f t="shared" si="11"/>
        <v>393.97401809112705</v>
      </c>
      <c r="CD26" s="62">
        <f ca="1">AVERAGE(OFFSET($CC$3,0,0,'Données projet'!$E$12+1,1))-AVERAGE(OFFSET($H$3,0,0,'Données projet'!$E$12+1,1))</f>
        <v>250.84814055099969</v>
      </c>
      <c r="CE26" s="62">
        <f t="shared" si="40"/>
        <v>226.15029417484465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59.623200000000011</v>
      </c>
      <c r="CV26" s="14">
        <f t="shared" si="41"/>
        <v>17.072967249098898</v>
      </c>
      <c r="CW26" s="22">
        <f t="shared" si="13"/>
        <v>133.57915795884725</v>
      </c>
      <c r="CX26" s="62">
        <f t="shared" si="14"/>
        <v>418.35693573662502</v>
      </c>
      <c r="CY26" s="62">
        <f ca="1">AVERAGE(OFFSET($CX$3,0,0,'Données projet'!$E$13+1,1))-AVERAGE(OFFSET($H$3,0,0,'Données projet'!$E$13+1,1))</f>
        <v>385.00782828233201</v>
      </c>
      <c r="CZ26" s="62">
        <f t="shared" si="42"/>
        <v>216.22708298332475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287.28516773082151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16.399999999999999</v>
      </c>
      <c r="N27" s="14">
        <f>IF('Données projet'!$A$36&gt;35,N26+M27-V26,IF(A27&lt;'Données projet'!$A$36,$K$205^A27,IF(A27='Données projet'!$A$36,'Données projet'!$B$36,N26+M27-V26)))</f>
        <v>187.60000000000005</v>
      </c>
      <c r="O27" s="14">
        <f>N27*VLOOKUP('Données projet'!$B$9,Paramètres!$A$1:$I$89,3,0)*VLOOKUP('Données projet'!$B$9,Paramètres!$A$1:$I$89,5,0)</f>
        <v>112.18480000000002</v>
      </c>
      <c r="P27" s="14">
        <f t="shared" si="33"/>
        <v>29.845149809641946</v>
      </c>
      <c r="Q27" s="22">
        <f t="shared" si="2"/>
        <v>247.36882925179307</v>
      </c>
      <c r="R27" s="62">
        <f t="shared" si="0"/>
        <v>533.36882925179304</v>
      </c>
      <c r="S27" s="62">
        <f ca="1">AVERAGE(OFFSET($R$3,0,0,'Données projet'!$E$9+1,1))-AVERAGE(OFFSET($H$3,0,0,'Données projet'!$E$9+1,1))</f>
        <v>327.17622590628559</v>
      </c>
      <c r="T27" s="62">
        <f t="shared" si="34"/>
        <v>379.61248288852113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27.367542777171455</v>
      </c>
      <c r="AK27" s="14">
        <f t="shared" si="35"/>
        <v>8.5801251530890958</v>
      </c>
      <c r="AL27" s="22">
        <f t="shared" si="4"/>
        <v>62.608854978537124</v>
      </c>
      <c r="AM27" s="62">
        <f t="shared" si="5"/>
        <v>348.60885497853712</v>
      </c>
      <c r="AN27" s="62">
        <f ca="1">AVERAGE(OFFSET($AM$3,0,0,'Données projet'!$E$10+1,1))-AVERAGE(OFFSET($H$3,0,0,'Données projet'!$E$10+1,1))</f>
        <v>276.87402314479681</v>
      </c>
      <c r="AO27" s="62">
        <f t="shared" si="36"/>
        <v>125.27302863901997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7.7000000000000028</v>
      </c>
      <c r="BD27" s="13">
        <f>IF('Données projet'!$A$88&gt;35,BD26+BC27-BL26,IF(A27&lt;'Données projet'!$A$88,$BA$205^A27,IF(A27='Données projet'!$A$88,'Données projet'!$B$88,BD26+BC27-BL26)))</f>
        <v>100.50000000000001</v>
      </c>
      <c r="BE27" s="14">
        <f>BD27*VLOOKUP('Données projet'!$B$11,Paramètres!$A$1:$I$89,3,0)*VLOOKUP('Données projet'!$B$11,Paramètres!$A$1:$I$89,5,0)</f>
        <v>81.525600000000026</v>
      </c>
      <c r="BF27" s="14">
        <f t="shared" si="37"/>
        <v>22.509790166487399</v>
      </c>
      <c r="BG27" s="22">
        <f t="shared" si="7"/>
        <v>181.19497120663223</v>
      </c>
      <c r="BH27" s="62">
        <f t="shared" si="8"/>
        <v>467.1949712066322</v>
      </c>
      <c r="BI27" s="62">
        <f ca="1">AVERAGE(OFFSET($BH$3,0,0,'Données projet'!$E$11+1,1))-AVERAGE(OFFSET($H$3,0,0,'Données projet'!$E$11+1,1))</f>
        <v>236.29093866505224</v>
      </c>
      <c r="BJ27" s="62">
        <f t="shared" si="38"/>
        <v>258.22911730540892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3.56</v>
      </c>
      <c r="BY27" s="13">
        <f>IF('Données projet'!$A$114&gt;35,BY26+BX27-CG26,IF(A27&lt;'Données projet'!$A$114,$BV$205^A27,IF(A27='Données projet'!$A$114,'Données projet'!$B$114,BY26+BX27-CG26)))</f>
        <v>74.372846955020648</v>
      </c>
      <c r="BZ27" s="14">
        <f>BY27*VLOOKUP('Données projet'!$B$12,Paramètres!$A$1:$I$89,3,0)*VLOOKUP('Données projet'!$B$12,Paramètres!$A$1:$I$89,5,0)</f>
        <v>58.010820624916107</v>
      </c>
      <c r="CA27" s="14">
        <f t="shared" si="39"/>
        <v>16.664359469831368</v>
      </c>
      <c r="CB27" s="22">
        <f t="shared" si="10"/>
        <v>130.05927199835185</v>
      </c>
      <c r="CC27" s="62">
        <f t="shared" si="11"/>
        <v>416.05927199835185</v>
      </c>
      <c r="CD27" s="62">
        <f ca="1">AVERAGE(OFFSET($CC$3,0,0,'Données projet'!$E$12+1,1))-AVERAGE(OFFSET($H$3,0,0,'Données projet'!$E$12+1,1))</f>
        <v>250.84814055099969</v>
      </c>
      <c r="CE27" s="62">
        <f t="shared" si="40"/>
        <v>226.15029417484465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65.301600000000008</v>
      </c>
      <c r="CV27" s="14">
        <f t="shared" si="41"/>
        <v>18.502003309535596</v>
      </c>
      <c r="CW27" s="22">
        <f t="shared" si="13"/>
        <v>145.95794243077449</v>
      </c>
      <c r="CX27" s="62">
        <f t="shared" si="14"/>
        <v>431.95794243077449</v>
      </c>
      <c r="CY27" s="62">
        <f ca="1">AVERAGE(OFFSET($CX$3,0,0,'Données projet'!$E$13+1,1))-AVERAGE(OFFSET($H$3,0,0,'Données projet'!$E$13+1,1))</f>
        <v>385.00782828233201</v>
      </c>
      <c r="CZ27" s="62">
        <f t="shared" si="42"/>
        <v>216.22708298332475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288.52244401490464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204</v>
      </c>
      <c r="L28" s="13">
        <f>VLOOKUP(A28,'Données projet'!$A$35:$I$55,9,0)</f>
        <v>16.399999999999999</v>
      </c>
      <c r="M28" s="13">
        <f t="array" ref="M28">INDEX(L:L,MIN(IF(ISNUMBER(L28:L224),ROW(L28:L224),"")))</f>
        <v>16.399999999999999</v>
      </c>
      <c r="N28" s="14">
        <f>IF('Données projet'!$A$36&gt;35,N27+M28-V27,IF(A28&lt;'Données projet'!$A$36,$K$205^A28,IF(A28='Données projet'!$A$36,'Données projet'!$B$36,N27+M28-V27)))</f>
        <v>204.00000000000006</v>
      </c>
      <c r="O28" s="14">
        <f>N28*VLOOKUP('Données projet'!$B$9,Paramètres!$A$1:$I$89,3,0)*VLOOKUP('Données projet'!$B$9,Paramètres!$A$1:$I$89,5,0)</f>
        <v>121.99200000000005</v>
      </c>
      <c r="P28" s="14">
        <f t="shared" si="33"/>
        <v>32.139154469866327</v>
      </c>
      <c r="Q28" s="22">
        <f t="shared" si="2"/>
        <v>268.44509403501723</v>
      </c>
      <c r="R28" s="62">
        <f t="shared" si="0"/>
        <v>555.66731625723946</v>
      </c>
      <c r="S28" s="62">
        <f ca="1">AVERAGE(OFFSET($R$3,0,0,'Données projet'!$E$9+1,1))-AVERAGE(OFFSET($H$3,0,0,'Données projet'!$E$9+1,1))</f>
        <v>327.17622590628559</v>
      </c>
      <c r="T28" s="62">
        <f t="shared" si="34"/>
        <v>379.61248288852113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31.356000000000002</v>
      </c>
      <c r="AK28" s="14">
        <f t="shared" si="35"/>
        <v>9.6761144436663891</v>
      </c>
      <c r="AL28" s="22">
        <f t="shared" si="4"/>
        <v>71.464265989385623</v>
      </c>
      <c r="AM28" s="62">
        <f t="shared" si="5"/>
        <v>358.68648821160787</v>
      </c>
      <c r="AN28" s="62">
        <f ca="1">AVERAGE(OFFSET($AM$3,0,0,'Données projet'!$E$10+1,1))-AVERAGE(OFFSET($H$3,0,0,'Données projet'!$E$10+1,1))</f>
        <v>276.87402314479681</v>
      </c>
      <c r="AO28" s="62">
        <f t="shared" si="36"/>
        <v>125.27302863901997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108.2</v>
      </c>
      <c r="BB28" s="13">
        <f>VLOOKUP(A28,'Données projet'!$A$87:$I$107,9,0)</f>
        <v>7.7000000000000028</v>
      </c>
      <c r="BC28" s="13">
        <f t="array" ref="BC28">INDEX(BB:BB,MIN(IF(ISNUMBER(BB28:BB224),ROW(BB28:BB224),"")))</f>
        <v>7.7000000000000028</v>
      </c>
      <c r="BD28" s="13">
        <f>IF('Données projet'!$A$88&gt;35,BD27+BC28-BL27,IF(A28&lt;'Données projet'!$A$88,$BA$205^A28,IF(A28='Données projet'!$A$88,'Données projet'!$B$88,BD27+BC28-BL27)))</f>
        <v>108.20000000000002</v>
      </c>
      <c r="BE28" s="14">
        <f>BD28*VLOOKUP('Données projet'!$B$11,Paramètres!$A$1:$I$89,3,0)*VLOOKUP('Données projet'!$B$11,Paramètres!$A$1:$I$89,5,0)</f>
        <v>87.771840000000012</v>
      </c>
      <c r="BF28" s="14">
        <f t="shared" si="37"/>
        <v>24.027064931094877</v>
      </c>
      <c r="BG28" s="22">
        <f t="shared" si="7"/>
        <v>194.71642608832357</v>
      </c>
      <c r="BH28" s="62">
        <f t="shared" si="8"/>
        <v>481.93864831054577</v>
      </c>
      <c r="BI28" s="62">
        <f ca="1">AVERAGE(OFFSET($BH$3,0,0,'Données projet'!$E$11+1,1))-AVERAGE(OFFSET($H$3,0,0,'Données projet'!$E$11+1,1))</f>
        <v>236.29093866505224</v>
      </c>
      <c r="BJ28" s="62">
        <f t="shared" si="38"/>
        <v>258.22911730540892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89</v>
      </c>
      <c r="BW28" s="13">
        <f>VLOOKUP(A28,'Données projet'!$A$113:$I$133,9,0)</f>
        <v>3.56</v>
      </c>
      <c r="BX28" s="13">
        <f t="array" ref="BX28">INDEX(BW:BW,MIN(IF(ISNUMBER(BW28:BW224),ROW(BW28:BW224),"")))</f>
        <v>3.56</v>
      </c>
      <c r="BY28" s="13">
        <f>IF('Données projet'!$A$114&gt;35,BY27+BX28-CG27,IF(A28&lt;'Données projet'!$A$114,$BV$205^A28,IF(A28='Données projet'!$A$114,'Données projet'!$B$114,BY27+BX28-CG27)))</f>
        <v>89</v>
      </c>
      <c r="BZ28" s="14">
        <f>BY28*VLOOKUP('Données projet'!$B$12,Paramètres!$A$1:$I$89,3,0)*VLOOKUP('Données projet'!$B$12,Paramètres!$A$1:$I$89,5,0)</f>
        <v>69.42</v>
      </c>
      <c r="CA28" s="14">
        <f t="shared" si="39"/>
        <v>19.529353456978352</v>
      </c>
      <c r="CB28" s="22">
        <f t="shared" si="10"/>
        <v>154.92012393757065</v>
      </c>
      <c r="CC28" s="62">
        <f t="shared" si="11"/>
        <v>442.14234615979285</v>
      </c>
      <c r="CD28" s="62">
        <f ca="1">AVERAGE(OFFSET($CC$3,0,0,'Données projet'!$E$12+1,1))-AVERAGE(OFFSET($H$3,0,0,'Données projet'!$E$12+1,1))</f>
        <v>250.84814055099969</v>
      </c>
      <c r="CE28" s="62">
        <f t="shared" si="40"/>
        <v>226.15029417484465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70.98</v>
      </c>
      <c r="CV28" s="14">
        <f t="shared" si="41"/>
        <v>19.916628839746853</v>
      </c>
      <c r="CW28" s="22">
        <f t="shared" si="13"/>
        <v>158.31162856255909</v>
      </c>
      <c r="CX28" s="62">
        <f t="shared" si="14"/>
        <v>445.53385078478129</v>
      </c>
      <c r="CY28" s="62">
        <f ca="1">AVERAGE(OFFSET($CX$3,0,0,'Données projet'!$E$13+1,1))-AVERAGE(OFFSET($H$3,0,0,'Données projet'!$E$13+1,1))</f>
        <v>385.00782828233201</v>
      </c>
      <c r="CZ28" s="62">
        <f t="shared" si="42"/>
        <v>216.22708298332475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289.75838988784039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17.600000000000001</v>
      </c>
      <c r="N29" s="14">
        <f>IF('Données projet'!$A$36&gt;35,N28+M29-V28,IF(A29&lt;'Données projet'!$A$36,$K$205^A29,IF(A29='Données projet'!$A$36,'Données projet'!$B$36,N28+M29-V28)))</f>
        <v>221.60000000000005</v>
      </c>
      <c r="O29" s="14">
        <f>N29*VLOOKUP('Données projet'!$B$9,Paramètres!$A$1:$I$89,3,0)*VLOOKUP('Données projet'!$B$9,Paramètres!$A$1:$I$89,5,0)</f>
        <v>132.51680000000005</v>
      </c>
      <c r="P29" s="14">
        <f t="shared" si="33"/>
        <v>34.577267318112447</v>
      </c>
      <c r="Q29" s="22">
        <f t="shared" si="2"/>
        <v>291.02216724571252</v>
      </c>
      <c r="R29" s="62">
        <f t="shared" si="0"/>
        <v>579.46661169015692</v>
      </c>
      <c r="S29" s="62">
        <f ca="1">AVERAGE(OFFSET($R$3,0,0,'Données projet'!$E$9+1,1))-AVERAGE(OFFSET($H$3,0,0,'Données projet'!$E$9+1,1))</f>
        <v>327.17622590628559</v>
      </c>
      <c r="T29" s="62">
        <f t="shared" si="34"/>
        <v>379.61248288852113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36.372959999999999</v>
      </c>
      <c r="AK29" s="14">
        <f t="shared" si="35"/>
        <v>11.032046293563772</v>
      </c>
      <c r="AL29" s="22">
        <f t="shared" si="4"/>
        <v>82.563719294623567</v>
      </c>
      <c r="AM29" s="62">
        <f t="shared" si="5"/>
        <v>371.00816373906804</v>
      </c>
      <c r="AN29" s="62">
        <f ca="1">AVERAGE(OFFSET($AM$3,0,0,'Données projet'!$E$10+1,1))-AVERAGE(OFFSET($H$3,0,0,'Données projet'!$E$10+1,1))</f>
        <v>276.87402314479681</v>
      </c>
      <c r="AO29" s="62">
        <f t="shared" si="36"/>
        <v>125.27302863901997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7.4200000000000017</v>
      </c>
      <c r="BD29" s="13">
        <f>IF('Données projet'!$A$88&gt;35,BD28+BC29-BL28,IF(A29&lt;'Données projet'!$A$88,$BA$205^A29,IF(A29='Données projet'!$A$88,'Données projet'!$B$88,BD28+BC29-BL28)))</f>
        <v>115.62000000000002</v>
      </c>
      <c r="BE29" s="14">
        <f>BD29*VLOOKUP('Données projet'!$B$11,Paramètres!$A$1:$I$89,3,0)*VLOOKUP('Données projet'!$B$11,Paramètres!$A$1:$I$89,5,0)</f>
        <v>93.790944000000025</v>
      </c>
      <c r="BF29" s="14">
        <f t="shared" si="37"/>
        <v>25.477302423445057</v>
      </c>
      <c r="BG29" s="22">
        <f t="shared" si="7"/>
        <v>207.7255291875002</v>
      </c>
      <c r="BH29" s="62">
        <f t="shared" si="8"/>
        <v>496.16997363194469</v>
      </c>
      <c r="BI29" s="62">
        <f ca="1">AVERAGE(OFFSET($BH$3,0,0,'Données projet'!$E$11+1,1))-AVERAGE(OFFSET($H$3,0,0,'Données projet'!$E$11+1,1))</f>
        <v>236.29093866505224</v>
      </c>
      <c r="BJ29" s="62">
        <f t="shared" si="38"/>
        <v>258.22911730540892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75.2</v>
      </c>
      <c r="BZ29" s="14">
        <f>BY29*VLOOKUP('Données projet'!$B$12,Paramètres!$A$1:$I$89,3,0)*VLOOKUP('Données projet'!$B$12,Paramètres!$A$1:$I$89,5,0)</f>
        <v>58.656000000000006</v>
      </c>
      <c r="CA29" s="14">
        <f t="shared" si="39"/>
        <v>16.828016909929076</v>
      </c>
      <c r="CB29" s="22">
        <f t="shared" si="10"/>
        <v>131.46799611812648</v>
      </c>
      <c r="CC29" s="62">
        <f t="shared" si="11"/>
        <v>419.91244056257096</v>
      </c>
      <c r="CD29" s="62">
        <f ca="1">AVERAGE(OFFSET($CC$3,0,0,'Données projet'!$E$12+1,1))-AVERAGE(OFFSET($H$3,0,0,'Données projet'!$E$12+1,1))</f>
        <v>250.84814055099969</v>
      </c>
      <c r="CE29" s="62">
        <f t="shared" si="40"/>
        <v>226.15029417484465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69</v>
      </c>
      <c r="CU29" s="18">
        <f>CT29*VLOOKUP('Données projet'!$B$13,Paramètres!$A$1:$I$89,3,0)*VLOOKUP('Données projet'!$B$13,Paramètres!$A$1:$I$89,5,0)</f>
        <v>69.966000000000008</v>
      </c>
      <c r="CV29" s="14">
        <f t="shared" si="41"/>
        <v>19.665013934342461</v>
      </c>
      <c r="CW29" s="22">
        <f t="shared" si="13"/>
        <v>156.10734926897979</v>
      </c>
      <c r="CX29" s="62">
        <f t="shared" si="14"/>
        <v>444.55179371342422</v>
      </c>
      <c r="CY29" s="62">
        <f ca="1">AVERAGE(OFFSET($CX$3,0,0,'Données projet'!$E$13+1,1))-AVERAGE(OFFSET($H$3,0,0,'Données projet'!$E$13+1,1))</f>
        <v>385.00782828233201</v>
      </c>
      <c r="CZ29" s="62">
        <f t="shared" si="42"/>
        <v>216.22708298332475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290.99306237638319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17.600000000000001</v>
      </c>
      <c r="N30" s="14">
        <f>IF('Données projet'!$A$36&gt;35,N29+M30-V29,IF(A30&lt;'Données projet'!$A$36,$K$205^A30,IF(A30='Données projet'!$A$36,'Données projet'!$B$36,N29+M30-V29)))</f>
        <v>239.20000000000005</v>
      </c>
      <c r="O30" s="14">
        <f>N30*VLOOKUP('Données projet'!$B$9,Paramètres!$A$1:$I$89,3,0)*VLOOKUP('Données projet'!$B$9,Paramètres!$A$1:$I$89,5,0)</f>
        <v>143.04160000000005</v>
      </c>
      <c r="P30" s="14">
        <f t="shared" si="33"/>
        <v>36.992919341750572</v>
      </c>
      <c r="Q30" s="22">
        <f t="shared" si="2"/>
        <v>313.56012118688233</v>
      </c>
      <c r="R30" s="62">
        <f t="shared" si="0"/>
        <v>603.22678785354901</v>
      </c>
      <c r="S30" s="62">
        <f ca="1">AVERAGE(OFFSET($R$3,0,0,'Données projet'!$E$9+1,1))-AVERAGE(OFFSET($H$3,0,0,'Données projet'!$E$9+1,1))</f>
        <v>327.17622590628559</v>
      </c>
      <c r="T30" s="62">
        <f t="shared" si="34"/>
        <v>379.61248288852113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41.389919999999996</v>
      </c>
      <c r="AK30" s="14">
        <f t="shared" si="35"/>
        <v>12.366309791717869</v>
      </c>
      <c r="AL30" s="22">
        <f t="shared" si="4"/>
        <v>93.625433553908593</v>
      </c>
      <c r="AM30" s="62">
        <f t="shared" si="5"/>
        <v>383.29210022057526</v>
      </c>
      <c r="AN30" s="62">
        <f ca="1">AVERAGE(OFFSET($AM$3,0,0,'Données projet'!$E$10+1,1))-AVERAGE(OFFSET($H$3,0,0,'Données projet'!$E$10+1,1))</f>
        <v>276.87402314479681</v>
      </c>
      <c r="AO30" s="62">
        <f t="shared" si="36"/>
        <v>125.27302863901997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7.4200000000000017</v>
      </c>
      <c r="BD30" s="13">
        <f>IF('Données projet'!$A$88&gt;35,BD29+BC30-BL29,IF(A30&lt;'Données projet'!$A$88,$BA$205^A30,IF(A30='Données projet'!$A$88,'Données projet'!$B$88,BD29+BC30-BL29)))</f>
        <v>123.04000000000002</v>
      </c>
      <c r="BE30" s="14">
        <f>BD30*VLOOKUP('Données projet'!$B$11,Paramètres!$A$1:$I$89,3,0)*VLOOKUP('Données projet'!$B$11,Paramètres!$A$1:$I$89,5,0)</f>
        <v>99.810048000000023</v>
      </c>
      <c r="BF30" s="14">
        <f t="shared" si="37"/>
        <v>26.916739097323347</v>
      </c>
      <c r="BG30" s="22">
        <f t="shared" si="7"/>
        <v>220.71582086117152</v>
      </c>
      <c r="BH30" s="62">
        <f t="shared" si="8"/>
        <v>510.38248752783818</v>
      </c>
      <c r="BI30" s="62">
        <f ca="1">AVERAGE(OFFSET($BH$3,0,0,'Données projet'!$E$11+1,1))-AVERAGE(OFFSET($H$3,0,0,'Données projet'!$E$11+1,1))</f>
        <v>236.29093866505224</v>
      </c>
      <c r="BJ30" s="62">
        <f t="shared" si="38"/>
        <v>258.22911730540892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89.4</v>
      </c>
      <c r="BZ30" s="14">
        <f>BY30*VLOOKUP('Données projet'!$B$12,Paramètres!$A$1:$I$89,3,0)*VLOOKUP('Données projet'!$B$12,Paramètres!$A$1:$I$89,5,0)</f>
        <v>69.732000000000014</v>
      </c>
      <c r="CA30" s="14">
        <f t="shared" si="39"/>
        <v>19.606888874982506</v>
      </c>
      <c r="CB30" s="22">
        <f t="shared" si="10"/>
        <v>155.59856479059454</v>
      </c>
      <c r="CC30" s="62">
        <f t="shared" si="11"/>
        <v>445.26523145726122</v>
      </c>
      <c r="CD30" s="62">
        <f ca="1">AVERAGE(OFFSET($CC$3,0,0,'Données projet'!$E$12+1,1))-AVERAGE(OFFSET($H$3,0,0,'Données projet'!$E$12+1,1))</f>
        <v>250.84814055099969</v>
      </c>
      <c r="CE30" s="62">
        <f t="shared" si="40"/>
        <v>226.15029417484465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76</v>
      </c>
      <c r="CU30" s="18">
        <f>CT30*VLOOKUP('Données projet'!$B$13,Paramètres!$A$1:$I$89,3,0)*VLOOKUP('Données projet'!$B$13,Paramètres!$A$1:$I$89,5,0)</f>
        <v>77.064000000000007</v>
      </c>
      <c r="CV30" s="14">
        <f t="shared" si="41"/>
        <v>21.417762186678065</v>
      </c>
      <c r="CW30" s="22">
        <f t="shared" si="13"/>
        <v>171.52240247513097</v>
      </c>
      <c r="CX30" s="62">
        <f t="shared" si="14"/>
        <v>461.18906914179763</v>
      </c>
      <c r="CY30" s="62">
        <f ca="1">AVERAGE(OFFSET($CX$3,0,0,'Données projet'!$E$13+1,1))-AVERAGE(OFFSET($H$3,0,0,'Données projet'!$E$13+1,1))</f>
        <v>385.00782828233201</v>
      </c>
      <c r="CZ30" s="62">
        <f t="shared" si="42"/>
        <v>216.22708298332475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292.22651404374136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17.600000000000001</v>
      </c>
      <c r="N31" s="14">
        <f>IF('Données projet'!$A$36&gt;35,N30+M31-V30,IF(A31&lt;'Données projet'!$A$36,$K$205^A31,IF(A31='Données projet'!$A$36,'Données projet'!$B$36,N30+M31-V30)))</f>
        <v>256.80000000000007</v>
      </c>
      <c r="O31" s="14">
        <f>N31*VLOOKUP('Données projet'!$B$9,Paramètres!$A$1:$I$89,3,0)*VLOOKUP('Données projet'!$B$9,Paramètres!$A$1:$I$89,5,0)</f>
        <v>153.56640000000007</v>
      </c>
      <c r="P31" s="14">
        <f t="shared" si="33"/>
        <v>39.387951109795601</v>
      </c>
      <c r="Q31" s="22">
        <f t="shared" si="2"/>
        <v>336.06216151622743</v>
      </c>
      <c r="R31" s="62">
        <f t="shared" si="0"/>
        <v>626.95105040511635</v>
      </c>
      <c r="S31" s="62">
        <f ca="1">AVERAGE(OFFSET($R$3,0,0,'Données projet'!$E$9+1,1))-AVERAGE(OFFSET($H$3,0,0,'Données projet'!$E$9+1,1))</f>
        <v>327.17622590628559</v>
      </c>
      <c r="T31" s="62">
        <f t="shared" si="34"/>
        <v>379.61248288852113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46.406880000000001</v>
      </c>
      <c r="AK31" s="14">
        <f t="shared" si="35"/>
        <v>13.681831831168125</v>
      </c>
      <c r="AL31" s="22">
        <f t="shared" si="4"/>
        <v>104.65450643928448</v>
      </c>
      <c r="AM31" s="62">
        <f t="shared" si="5"/>
        <v>395.54339532817335</v>
      </c>
      <c r="AN31" s="62">
        <f ca="1">AVERAGE(OFFSET($AM$3,0,0,'Données projet'!$E$10+1,1))-AVERAGE(OFFSET($H$3,0,0,'Données projet'!$E$10+1,1))</f>
        <v>276.87402314479681</v>
      </c>
      <c r="AO31" s="62">
        <f t="shared" si="36"/>
        <v>125.27302863901997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7.4200000000000017</v>
      </c>
      <c r="BD31" s="13">
        <f>IF('Données projet'!$A$88&gt;35,BD30+BC31-BL30,IF(A31&lt;'Données projet'!$A$88,$BA$205^A31,IF(A31='Données projet'!$A$88,'Données projet'!$B$88,BD30+BC31-BL30)))</f>
        <v>130.46000000000004</v>
      </c>
      <c r="BE31" s="14">
        <f>BD31*VLOOKUP('Données projet'!$B$11,Paramètres!$A$1:$I$89,3,0)*VLOOKUP('Données projet'!$B$11,Paramètres!$A$1:$I$89,5,0)</f>
        <v>105.82915200000004</v>
      </c>
      <c r="BF31" s="14">
        <f t="shared" si="37"/>
        <v>28.346100478927195</v>
      </c>
      <c r="BG31" s="22">
        <f t="shared" si="7"/>
        <v>233.68856473413157</v>
      </c>
      <c r="BH31" s="62">
        <f t="shared" si="8"/>
        <v>524.57745362302046</v>
      </c>
      <c r="BI31" s="62">
        <f ca="1">AVERAGE(OFFSET($BH$3,0,0,'Données projet'!$E$11+1,1))-AVERAGE(OFFSET($H$3,0,0,'Données projet'!$E$11+1,1))</f>
        <v>236.29093866505224</v>
      </c>
      <c r="BJ31" s="62">
        <f t="shared" si="38"/>
        <v>258.22911730540892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103.60000000000001</v>
      </c>
      <c r="BZ31" s="14">
        <f>BY31*VLOOKUP('Données projet'!$B$12,Paramètres!$A$1:$I$89,3,0)*VLOOKUP('Données projet'!$B$12,Paramètres!$A$1:$I$89,5,0)</f>
        <v>80.808000000000007</v>
      </c>
      <c r="CA31" s="14">
        <f t="shared" si="39"/>
        <v>22.334628633536209</v>
      </c>
      <c r="CB31" s="22">
        <f t="shared" si="10"/>
        <v>179.64007820340893</v>
      </c>
      <c r="CC31" s="62">
        <f t="shared" si="11"/>
        <v>470.52896709229776</v>
      </c>
      <c r="CD31" s="62">
        <f ca="1">AVERAGE(OFFSET($CC$3,0,0,'Données projet'!$E$12+1,1))-AVERAGE(OFFSET($H$3,0,0,'Données projet'!$E$12+1,1))</f>
        <v>250.84814055099969</v>
      </c>
      <c r="CE31" s="62">
        <f t="shared" si="40"/>
        <v>226.15029417484465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83</v>
      </c>
      <c r="CU31" s="18">
        <f>CT31*VLOOKUP('Données projet'!$B$13,Paramètres!$A$1:$I$89,3,0)*VLOOKUP('Données projet'!$B$13,Paramètres!$A$1:$I$89,5,0)</f>
        <v>84.162000000000006</v>
      </c>
      <c r="CV31" s="14">
        <f t="shared" si="41"/>
        <v>23.151791590506594</v>
      </c>
      <c r="CW31" s="22">
        <f t="shared" si="13"/>
        <v>186.90485368679899</v>
      </c>
      <c r="CX31" s="62">
        <f t="shared" si="14"/>
        <v>477.79374257568782</v>
      </c>
      <c r="CY31" s="62">
        <f ca="1">AVERAGE(OFFSET($CX$3,0,0,'Données projet'!$E$13+1,1))-AVERAGE(OFFSET($H$3,0,0,'Données projet'!$E$13+1,1))</f>
        <v>385.00782828233201</v>
      </c>
      <c r="CZ31" s="62">
        <f t="shared" si="42"/>
        <v>216.22708298332475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293.45879348577108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17.600000000000001</v>
      </c>
      <c r="N32" s="14">
        <f>IF('Données projet'!$A$36&gt;35,N31+M32-V31,IF(A32&lt;'Données projet'!$A$36,$K$205^A32,IF(A32='Données projet'!$A$36,'Données projet'!$B$36,N31+M32-V31)))</f>
        <v>274.40000000000009</v>
      </c>
      <c r="O32" s="14">
        <f>N32*VLOOKUP('Données projet'!$B$9,Paramètres!$A$1:$I$89,3,0)*VLOOKUP('Données projet'!$B$9,Paramètres!$A$1:$I$89,5,0)</f>
        <v>164.09120000000007</v>
      </c>
      <c r="P32" s="14">
        <f t="shared" si="33"/>
        <v>41.763936620208121</v>
      </c>
      <c r="Q32" s="22">
        <f t="shared" si="2"/>
        <v>358.5310296135292</v>
      </c>
      <c r="R32" s="62">
        <f t="shared" si="0"/>
        <v>650.64214072464029</v>
      </c>
      <c r="S32" s="62">
        <f ca="1">AVERAGE(OFFSET($R$3,0,0,'Données projet'!$E$9+1,1))-AVERAGE(OFFSET($H$3,0,0,'Données projet'!$E$9+1,1))</f>
        <v>327.17622590628559</v>
      </c>
      <c r="T32" s="62">
        <f t="shared" si="34"/>
        <v>379.61248288852113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51.423839999999991</v>
      </c>
      <c r="AK32" s="14">
        <f t="shared" si="35"/>
        <v>14.980869486234537</v>
      </c>
      <c r="AL32" s="22">
        <f t="shared" si="4"/>
        <v>115.65486902185846</v>
      </c>
      <c r="AM32" s="62">
        <f t="shared" si="5"/>
        <v>407.76598013296962</v>
      </c>
      <c r="AN32" s="62">
        <f ca="1">AVERAGE(OFFSET($AM$3,0,0,'Données projet'!$E$10+1,1))-AVERAGE(OFFSET($H$3,0,0,'Données projet'!$E$10+1,1))</f>
        <v>276.87402314479681</v>
      </c>
      <c r="AO32" s="62">
        <f t="shared" si="36"/>
        <v>125.27302863901997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7.4200000000000017</v>
      </c>
      <c r="BD32" s="13">
        <f>IF('Données projet'!$A$88&gt;35,BD31+BC32-BL31,IF(A32&lt;'Données projet'!$A$88,$BA$205^A32,IF(A32='Données projet'!$A$88,'Données projet'!$B$88,BD31+BC32-BL31)))</f>
        <v>137.88000000000005</v>
      </c>
      <c r="BE32" s="14">
        <f>BD32*VLOOKUP('Données projet'!$B$11,Paramètres!$A$1:$I$89,3,0)*VLOOKUP('Données projet'!$B$11,Paramètres!$A$1:$I$89,5,0)</f>
        <v>111.84825600000003</v>
      </c>
      <c r="BF32" s="14">
        <f t="shared" si="37"/>
        <v>29.766024903433063</v>
      </c>
      <c r="BG32" s="22">
        <f t="shared" si="7"/>
        <v>246.64487257347926</v>
      </c>
      <c r="BH32" s="62">
        <f t="shared" si="8"/>
        <v>538.75598368459043</v>
      </c>
      <c r="BI32" s="62">
        <f ca="1">AVERAGE(OFFSET($BH$3,0,0,'Données projet'!$E$11+1,1))-AVERAGE(OFFSET($H$3,0,0,'Données projet'!$E$11+1,1))</f>
        <v>236.29093866505224</v>
      </c>
      <c r="BJ32" s="62">
        <f t="shared" si="38"/>
        <v>258.22911730540892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117.80000000000001</v>
      </c>
      <c r="BZ32" s="14">
        <f>BY32*VLOOKUP('Données projet'!$B$12,Paramètres!$A$1:$I$89,3,0)*VLOOKUP('Données projet'!$B$12,Paramètres!$A$1:$I$89,5,0)</f>
        <v>91.884000000000015</v>
      </c>
      <c r="CA32" s="14">
        <f t="shared" si="39"/>
        <v>25.019051117801563</v>
      </c>
      <c r="CB32" s="22">
        <f t="shared" si="10"/>
        <v>203.60614736350442</v>
      </c>
      <c r="CC32" s="62">
        <f t="shared" si="11"/>
        <v>495.71725847461556</v>
      </c>
      <c r="CD32" s="62">
        <f ca="1">AVERAGE(OFFSET($CC$3,0,0,'Données projet'!$E$12+1,1))-AVERAGE(OFFSET($H$3,0,0,'Données projet'!$E$12+1,1))</f>
        <v>250.84814055099969</v>
      </c>
      <c r="CE32" s="62">
        <f t="shared" si="40"/>
        <v>226.15029417484465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90</v>
      </c>
      <c r="CU32" s="18">
        <f>CT32*VLOOKUP('Données projet'!$B$13,Paramètres!$A$1:$I$89,3,0)*VLOOKUP('Données projet'!$B$13,Paramètres!$A$1:$I$89,5,0)</f>
        <v>91.26</v>
      </c>
      <c r="CV32" s="14">
        <f t="shared" si="41"/>
        <v>24.868860330902777</v>
      </c>
      <c r="CW32" s="22">
        <f t="shared" si="13"/>
        <v>202.25776507632233</v>
      </c>
      <c r="CX32" s="62">
        <f t="shared" si="14"/>
        <v>494.36887618743344</v>
      </c>
      <c r="CY32" s="62">
        <f ca="1">AVERAGE(OFFSET($CX$3,0,0,'Données projet'!$E$13+1,1))-AVERAGE(OFFSET($H$3,0,0,'Données projet'!$E$13+1,1))</f>
        <v>385.00782828233201</v>
      </c>
      <c r="CZ32" s="62">
        <f t="shared" si="42"/>
        <v>216.22708298332475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294.68994575680784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292</v>
      </c>
      <c r="L33" s="13">
        <f>VLOOKUP(A33,'Données projet'!$A$35:$I$55,9,0)</f>
        <v>17.600000000000001</v>
      </c>
      <c r="M33" s="13">
        <f t="array" ref="M33">INDEX(L:L,MIN(IF(ISNUMBER(L33:L229),ROW(L33:L229),"")))</f>
        <v>17.600000000000001</v>
      </c>
      <c r="N33" s="14">
        <f>IF('Données projet'!$A$36&gt;35,N32+M33-V32,IF(A33&lt;'Données projet'!$A$36,$K$205^A33,IF(A33='Données projet'!$A$36,'Données projet'!$B$36,N32+M33-V32)))</f>
        <v>292.00000000000011</v>
      </c>
      <c r="O33" s="14">
        <f>N33*VLOOKUP('Données projet'!$B$9,Paramètres!$A$1:$I$89,3,0)*VLOOKUP('Données projet'!$B$9,Paramètres!$A$1:$I$89,5,0)</f>
        <v>174.61600000000007</v>
      </c>
      <c r="P33" s="14">
        <f t="shared" si="33"/>
        <v>44.12223654277259</v>
      </c>
      <c r="Q33" s="22">
        <f t="shared" si="2"/>
        <v>380.96909531199572</v>
      </c>
      <c r="R33" s="62">
        <f t="shared" si="0"/>
        <v>674.30242864532897</v>
      </c>
      <c r="S33" s="62">
        <f ca="1">AVERAGE(OFFSET($R$3,0,0,'Données projet'!$E$9+1,1))-AVERAGE(OFFSET($H$3,0,0,'Données projet'!$E$9+1,1))</f>
        <v>327.17622590628559</v>
      </c>
      <c r="T33" s="62">
        <f t="shared" si="34"/>
        <v>379.61248288852113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90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60.936742252874389</v>
      </c>
      <c r="AC33" s="24">
        <f t="shared" si="3"/>
        <v>60.936742252874389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56.440799999999989</v>
      </c>
      <c r="AK33" s="14">
        <f t="shared" si="35"/>
        <v>16.265214007173903</v>
      </c>
      <c r="AL33" s="22">
        <f t="shared" si="4"/>
        <v>126.62964106249451</v>
      </c>
      <c r="AM33" s="62">
        <f t="shared" si="5"/>
        <v>419.96297439582781</v>
      </c>
      <c r="AN33" s="62">
        <f ca="1">AVERAGE(OFFSET($AM$3,0,0,'Données projet'!$E$10+1,1))-AVERAGE(OFFSET($H$3,0,0,'Données projet'!$E$10+1,1))</f>
        <v>276.87402314479681</v>
      </c>
      <c r="AO33" s="62">
        <f t="shared" si="36"/>
        <v>125.27302863901997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145.30000000000001</v>
      </c>
      <c r="BB33" s="13">
        <f>VLOOKUP(A33,'Données projet'!$A$87:$I$107,9,0)</f>
        <v>7.4200000000000017</v>
      </c>
      <c r="BC33" s="13">
        <f t="array" ref="BC33">INDEX(BB:BB,MIN(IF(ISNUMBER(BB33:BB229),ROW(BB33:BB229),"")))</f>
        <v>7.4200000000000017</v>
      </c>
      <c r="BD33" s="13">
        <f>IF('Données projet'!$A$88&gt;35,BD32+BC33-BL32,IF(A33&lt;'Données projet'!$A$88,$BA$205^A33,IF(A33='Données projet'!$A$88,'Données projet'!$B$88,BD32+BC33-BL32)))</f>
        <v>145.30000000000007</v>
      </c>
      <c r="BE33" s="14">
        <f>BD33*VLOOKUP('Données projet'!$B$11,Paramètres!$A$1:$I$89,3,0)*VLOOKUP('Données projet'!$B$11,Paramètres!$A$1:$I$89,5,0)</f>
        <v>117.86736000000006</v>
      </c>
      <c r="BF33" s="14">
        <f t="shared" si="37"/>
        <v>31.177078121846911</v>
      </c>
      <c r="BG33" s="22">
        <f t="shared" si="7"/>
        <v>259.58572972888351</v>
      </c>
      <c r="BH33" s="62">
        <f t="shared" si="8"/>
        <v>552.91906306221676</v>
      </c>
      <c r="BI33" s="62">
        <f ca="1">AVERAGE(OFFSET($BH$3,0,0,'Données projet'!$E$11+1,1))-AVERAGE(OFFSET($H$3,0,0,'Données projet'!$E$11+1,1))</f>
        <v>236.29093866505224</v>
      </c>
      <c r="BJ33" s="62">
        <f t="shared" si="38"/>
        <v>258.22911730540892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20.200000000000003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132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132</v>
      </c>
      <c r="BZ33" s="14">
        <f>BY33*VLOOKUP('Données projet'!$B$12,Paramètres!$A$1:$I$89,3,0)*VLOOKUP('Données projet'!$B$12,Paramètres!$A$1:$I$89,5,0)</f>
        <v>102.96000000000001</v>
      </c>
      <c r="CA33" s="14">
        <f t="shared" si="39"/>
        <v>27.665975080374633</v>
      </c>
      <c r="CB33" s="22">
        <f t="shared" si="10"/>
        <v>227.50690659831915</v>
      </c>
      <c r="CC33" s="62">
        <f t="shared" si="11"/>
        <v>520.84023993165249</v>
      </c>
      <c r="CD33" s="62">
        <f ca="1">AVERAGE(OFFSET($CC$3,0,0,'Données projet'!$E$12+1,1))-AVERAGE(OFFSET($H$3,0,0,'Données projet'!$E$12+1,1))</f>
        <v>250.84814055099969</v>
      </c>
      <c r="CE33" s="62">
        <f t="shared" si="40"/>
        <v>226.15029417484465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97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97</v>
      </c>
      <c r="CU33" s="18">
        <f>CT33*VLOOKUP('Données projet'!$B$13,Paramètres!$A$1:$I$89,3,0)*VLOOKUP('Données projet'!$B$13,Paramètres!$A$1:$I$89,5,0)</f>
        <v>98.358000000000004</v>
      </c>
      <c r="CV33" s="14">
        <f t="shared" si="41"/>
        <v>26.570437554143126</v>
      </c>
      <c r="CW33" s="22">
        <f t="shared" si="13"/>
        <v>217.58369540679928</v>
      </c>
      <c r="CX33" s="62">
        <f t="shared" si="14"/>
        <v>510.91702874013259</v>
      </c>
      <c r="CY33" s="62">
        <f ca="1">AVERAGE(OFFSET($CX$3,0,0,'Données projet'!$E$13+1,1))-AVERAGE(OFFSET($H$3,0,0,'Données projet'!$E$13+1,1))</f>
        <v>385.00782828233201</v>
      </c>
      <c r="CZ33" s="62">
        <f t="shared" si="42"/>
        <v>216.22708298332475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295.92001273712469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18.8</v>
      </c>
      <c r="N34" s="14">
        <f>IF('Données projet'!$A$36&gt;35,N33+M34-V33,IF(A34&lt;'Données projet'!$A$36,$K$205^A34,IF(A34='Données projet'!$A$36,'Données projet'!$B$36,N33+M34-V33)))</f>
        <v>220.80000000000013</v>
      </c>
      <c r="O34" s="14">
        <f>N34*VLOOKUP('Données projet'!$B$9,Paramètres!$A$1:$I$89,3,0)*VLOOKUP('Données projet'!$B$9,Paramètres!$A$1:$I$89,5,0)</f>
        <v>132.03840000000008</v>
      </c>
      <c r="P34" s="14">
        <f t="shared" si="33"/>
        <v>34.466946374534373</v>
      </c>
      <c r="Q34" s="22">
        <f t="shared" si="2"/>
        <v>289.99681160231415</v>
      </c>
      <c r="R34" s="62">
        <f t="shared" si="0"/>
        <v>583.33014493564747</v>
      </c>
      <c r="S34" s="62">
        <f ca="1">AVERAGE(OFFSET($R$3,0,0,'Données projet'!$E$9+1,1))-AVERAGE(OFFSET($H$3,0,0,'Données projet'!$E$9+1,1))</f>
        <v>327.17622590628559</v>
      </c>
      <c r="T34" s="62">
        <f t="shared" si="34"/>
        <v>379.61248288852113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43.088783670424299</v>
      </c>
      <c r="AC34" s="24">
        <f t="shared" si="3"/>
        <v>43.088783670424299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61.666799999999995</v>
      </c>
      <c r="AK34" s="14">
        <f t="shared" si="35"/>
        <v>17.589013941157731</v>
      </c>
      <c r="AL34" s="22">
        <f t="shared" si="4"/>
        <v>138.03720928084971</v>
      </c>
      <c r="AM34" s="62">
        <f t="shared" si="5"/>
        <v>431.37054261418302</v>
      </c>
      <c r="AN34" s="62">
        <f ca="1">AVERAGE(OFFSET($AM$3,0,0,'Données projet'!$E$10+1,1))-AVERAGE(OFFSET($H$3,0,0,'Données projet'!$E$10+1,1))</f>
        <v>276.87402314479681</v>
      </c>
      <c r="AO34" s="62">
        <f t="shared" si="36"/>
        <v>125.27302863901997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6.7799999999999985</v>
      </c>
      <c r="BD34" s="13">
        <f>IF('Données projet'!$A$88&gt;35,BD33+BC34-BL33,IF(A34&lt;'Données projet'!$A$88,$BA$205^A34,IF(A34='Données projet'!$A$88,'Données projet'!$B$88,BD33+BC34-BL33)))</f>
        <v>131.88000000000005</v>
      </c>
      <c r="BE34" s="14">
        <f>BD34*VLOOKUP('Données projet'!$B$11,Paramètres!$A$1:$I$89,3,0)*VLOOKUP('Données projet'!$B$11,Paramètres!$A$1:$I$89,5,0)</f>
        <v>106.98105600000005</v>
      </c>
      <c r="BF34" s="14">
        <f t="shared" si="37"/>
        <v>28.618549908915636</v>
      </c>
      <c r="BG34" s="22">
        <f t="shared" si="7"/>
        <v>236.16931362469481</v>
      </c>
      <c r="BH34" s="62">
        <f t="shared" si="8"/>
        <v>529.50264695802809</v>
      </c>
      <c r="BI34" s="62">
        <f ca="1">AVERAGE(OFFSET($BH$3,0,0,'Données projet'!$E$11+1,1))-AVERAGE(OFFSET($H$3,0,0,'Données projet'!$E$11+1,1))</f>
        <v>236.29093866505224</v>
      </c>
      <c r="BJ34" s="62">
        <f t="shared" si="38"/>
        <v>258.22911730540892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</v>
      </c>
      <c r="BY34" s="13">
        <f>IF('Données projet'!$A$114&gt;35,BY33+BX34-CG33,IF(A34&lt;'Données projet'!$A$114,$BV$205^A34,IF(A34='Données projet'!$A$114,'Données projet'!$B$114,BY33+BX34-CG33)))</f>
        <v>145</v>
      </c>
      <c r="BZ34" s="14">
        <f>BY34*VLOOKUP('Données projet'!$B$12,Paramètres!$A$1:$I$89,3,0)*VLOOKUP('Données projet'!$B$12,Paramètres!$A$1:$I$89,5,0)</f>
        <v>113.10000000000001</v>
      </c>
      <c r="CA34" s="14">
        <f t="shared" si="39"/>
        <v>30.060183168217279</v>
      </c>
      <c r="CB34" s="22">
        <f t="shared" si="10"/>
        <v>249.33731901797844</v>
      </c>
      <c r="CC34" s="62">
        <f t="shared" si="11"/>
        <v>542.67065235131179</v>
      </c>
      <c r="CD34" s="62">
        <f ca="1">AVERAGE(OFFSET($CC$3,0,0,'Données projet'!$E$12+1,1))-AVERAGE(OFFSET($H$3,0,0,'Données projet'!$E$12+1,1))</f>
        <v>250.84814055099969</v>
      </c>
      <c r="CE34" s="62">
        <f t="shared" si="40"/>
        <v>226.15029417484465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105.6</v>
      </c>
      <c r="CU34" s="18">
        <f>CT34*VLOOKUP('Données projet'!$B$13,Paramètres!$A$1:$I$89,3,0)*VLOOKUP('Données projet'!$B$13,Paramètres!$A$1:$I$89,5,0)</f>
        <v>107.0784</v>
      </c>
      <c r="CV34" s="14">
        <f t="shared" si="41"/>
        <v>28.641558109101805</v>
      </c>
      <c r="CW34" s="22">
        <f t="shared" si="13"/>
        <v>236.37892704001897</v>
      </c>
      <c r="CX34" s="62">
        <f t="shared" si="14"/>
        <v>529.71226037335225</v>
      </c>
      <c r="CY34" s="62">
        <f ca="1">AVERAGE(OFFSET($CX$3,0,0,'Données projet'!$E$13+1,1))-AVERAGE(OFFSET($H$3,0,0,'Données projet'!$E$13+1,1))</f>
        <v>385.00782828233201</v>
      </c>
      <c r="CZ34" s="62">
        <f t="shared" si="42"/>
        <v>216.22708298332475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297.14903345164504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18.8</v>
      </c>
      <c r="N35" s="14">
        <f>IF('Données projet'!$A$36&gt;35,N34+M35-V34,IF(A35&lt;'Données projet'!$A$36,$K$205^A35,IF(A35='Données projet'!$A$36,'Données projet'!$B$36,N34+M35-V34)))</f>
        <v>239.60000000000014</v>
      </c>
      <c r="O35" s="14">
        <f>N35*VLOOKUP('Données projet'!$B$9,Paramètres!$A$1:$I$89,3,0)*VLOOKUP('Données projet'!$B$9,Paramètres!$A$1:$I$89,5,0)</f>
        <v>143.28080000000008</v>
      </c>
      <c r="P35" s="14">
        <f t="shared" si="33"/>
        <v>37.047574465948976</v>
      </c>
      <c r="Q35" s="22">
        <f t="shared" ref="Q35:Q66" si="53">(O35+P35)*0.475*44/12</f>
        <v>314.07191886152793</v>
      </c>
      <c r="R35" s="62">
        <f t="shared" si="0"/>
        <v>607.4052521948613</v>
      </c>
      <c r="S35" s="62">
        <f ca="1">AVERAGE(OFFSET($R$3,0,0,'Données projet'!$E$9+1,1))-AVERAGE(OFFSET($H$3,0,0,'Données projet'!$E$9+1,1))</f>
        <v>327.17622590628559</v>
      </c>
      <c r="T35" s="62">
        <f t="shared" si="34"/>
        <v>379.61248288852113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30.468371126437198</v>
      </c>
      <c r="AC35" s="24">
        <f t="shared" si="3"/>
        <v>30.468371126437198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66.892799999999994</v>
      </c>
      <c r="AK35" s="14">
        <f t="shared" si="35"/>
        <v>18.899803142639634</v>
      </c>
      <c r="AL35" s="22">
        <f t="shared" si="4"/>
        <v>149.42211714009736</v>
      </c>
      <c r="AM35" s="62">
        <f t="shared" si="5"/>
        <v>442.75545047343064</v>
      </c>
      <c r="AN35" s="62">
        <f ca="1">AVERAGE(OFFSET($AM$3,0,0,'Données projet'!$E$10+1,1))-AVERAGE(OFFSET($H$3,0,0,'Données projet'!$E$10+1,1))</f>
        <v>276.87402314479681</v>
      </c>
      <c r="AO35" s="62">
        <f t="shared" si="36"/>
        <v>125.27302863901997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6.7799999999999985</v>
      </c>
      <c r="BD35" s="13">
        <f>IF('Données projet'!$A$88&gt;35,BD34+BC35-BL34,IF(A35&lt;'Données projet'!$A$88,$BA$205^A35,IF(A35='Données projet'!$A$88,'Données projet'!$B$88,BD34+BC35-BL34)))</f>
        <v>138.66000000000005</v>
      </c>
      <c r="BE35" s="14">
        <f>BD35*VLOOKUP('Données projet'!$B$11,Paramètres!$A$1:$I$89,3,0)*VLOOKUP('Données projet'!$B$11,Paramètres!$A$1:$I$89,5,0)</f>
        <v>112.48099200000004</v>
      </c>
      <c r="BF35" s="14">
        <f t="shared" si="37"/>
        <v>29.914764693525061</v>
      </c>
      <c r="BG35" s="22">
        <f t="shared" si="7"/>
        <v>248.00594290788953</v>
      </c>
      <c r="BH35" s="62">
        <f t="shared" si="8"/>
        <v>541.33927624122282</v>
      </c>
      <c r="BI35" s="62">
        <f ca="1">AVERAGE(OFFSET($BH$3,0,0,'Données projet'!$E$11+1,1))-AVERAGE(OFFSET($H$3,0,0,'Données projet'!$E$11+1,1))</f>
        <v>236.29093866505224</v>
      </c>
      <c r="BJ35" s="62">
        <f t="shared" si="38"/>
        <v>258.22911730540892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</v>
      </c>
      <c r="BY35" s="13">
        <f>IF('Données projet'!$A$114&gt;35,BY34+BX35-CG34,IF(A35&lt;'Données projet'!$A$114,$BV$205^A35,IF(A35='Données projet'!$A$114,'Données projet'!$B$114,BY34+BX35-CG34)))</f>
        <v>158</v>
      </c>
      <c r="BZ35" s="14">
        <f>BY35*VLOOKUP('Données projet'!$B$12,Paramètres!$A$1:$I$89,3,0)*VLOOKUP('Données projet'!$B$12,Paramètres!$A$1:$I$89,5,0)</f>
        <v>123.24000000000001</v>
      </c>
      <c r="CA35" s="14">
        <f t="shared" si="39"/>
        <v>32.429500380369085</v>
      </c>
      <c r="CB35" s="22">
        <f t="shared" si="10"/>
        <v>271.12437982914287</v>
      </c>
      <c r="CC35" s="62">
        <f t="shared" si="11"/>
        <v>564.45771316247624</v>
      </c>
      <c r="CD35" s="62">
        <f ca="1">AVERAGE(OFFSET($CC$3,0,0,'Données projet'!$E$12+1,1))-AVERAGE(OFFSET($H$3,0,0,'Données projet'!$E$12+1,1))</f>
        <v>250.84814055099969</v>
      </c>
      <c r="CE35" s="62">
        <f t="shared" si="40"/>
        <v>226.15029417484465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114.19999999999999</v>
      </c>
      <c r="CU35" s="18">
        <f>CT35*VLOOKUP('Données projet'!$B$13,Paramètres!$A$1:$I$89,3,0)*VLOOKUP('Données projet'!$B$13,Paramètres!$A$1:$I$89,5,0)</f>
        <v>115.79879999999999</v>
      </c>
      <c r="CV35" s="14">
        <f t="shared" si="41"/>
        <v>30.693115334311045</v>
      </c>
      <c r="CW35" s="22">
        <f t="shared" si="13"/>
        <v>255.14008587392505</v>
      </c>
      <c r="CX35" s="62">
        <f t="shared" si="14"/>
        <v>548.4734192072583</v>
      </c>
      <c r="CY35" s="62">
        <f ca="1">AVERAGE(OFFSET($CX$3,0,0,'Données projet'!$E$13+1,1))-AVERAGE(OFFSET($H$3,0,0,'Données projet'!$E$13+1,1))</f>
        <v>385.00782828233201</v>
      </c>
      <c r="CZ35" s="62">
        <f t="shared" si="42"/>
        <v>216.22708298332475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298.37704434769694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18.8</v>
      </c>
      <c r="N36" s="14">
        <f>IF('Données projet'!$A$36&gt;35,N35+M36-V35,IF(A36&lt;'Données projet'!$A$36,$K$205^A36,IF(A36='Données projet'!$A$36,'Données projet'!$B$36,N35+M36-V35)))</f>
        <v>258.40000000000015</v>
      </c>
      <c r="O36" s="14">
        <f>N36*VLOOKUP('Données projet'!$B$9,Paramètres!$A$1:$I$89,3,0)*VLOOKUP('Données projet'!$B$9,Paramètres!$A$1:$I$89,5,0)</f>
        <v>154.52320000000012</v>
      </c>
      <c r="P36" s="14">
        <f t="shared" si="33"/>
        <v>39.604714988562876</v>
      </c>
      <c r="Q36" s="22">
        <f t="shared" si="53"/>
        <v>338.1061186050805</v>
      </c>
      <c r="R36" s="62">
        <f t="shared" si="0"/>
        <v>631.43945193841387</v>
      </c>
      <c r="S36" s="62">
        <f ca="1">AVERAGE(OFFSET($R$3,0,0,'Données projet'!$E$9+1,1))-AVERAGE(OFFSET($H$3,0,0,'Données projet'!$E$9+1,1))</f>
        <v>327.17622590628559</v>
      </c>
      <c r="T36" s="62">
        <f t="shared" si="34"/>
        <v>379.61248288852113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21.544391835212153</v>
      </c>
      <c r="AC36" s="24">
        <f t="shared" si="3"/>
        <v>21.544391835212153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72.118799999999993</v>
      </c>
      <c r="AK36" s="14">
        <f t="shared" si="35"/>
        <v>20.198713641862817</v>
      </c>
      <c r="AL36" s="22">
        <f t="shared" si="4"/>
        <v>160.78633625957769</v>
      </c>
      <c r="AM36" s="62">
        <f t="shared" si="5"/>
        <v>454.11966959291101</v>
      </c>
      <c r="AN36" s="62">
        <f ca="1">AVERAGE(OFFSET($AM$3,0,0,'Données projet'!$E$10+1,1))-AVERAGE(OFFSET($H$3,0,0,'Données projet'!$E$10+1,1))</f>
        <v>276.87402314479681</v>
      </c>
      <c r="AO36" s="62">
        <f t="shared" si="36"/>
        <v>125.27302863901997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6.7799999999999985</v>
      </c>
      <c r="BD36" s="13">
        <f>IF('Données projet'!$A$88&gt;35,BD35+BC36-BL35,IF(A36&lt;'Données projet'!$A$88,$BA$205^A36,IF(A36='Données projet'!$A$88,'Données projet'!$B$88,BD35+BC36-BL35)))</f>
        <v>145.44000000000005</v>
      </c>
      <c r="BE36" s="14">
        <f>BD36*VLOOKUP('Données projet'!$B$11,Paramètres!$A$1:$I$89,3,0)*VLOOKUP('Données projet'!$B$11,Paramètres!$A$1:$I$89,5,0)</f>
        <v>117.98092800000005</v>
      </c>
      <c r="BF36" s="14">
        <f t="shared" si="37"/>
        <v>31.203619849826058</v>
      </c>
      <c r="BG36" s="22">
        <f t="shared" si="7"/>
        <v>259.82975417178051</v>
      </c>
      <c r="BH36" s="62">
        <f t="shared" si="8"/>
        <v>553.16308750511382</v>
      </c>
      <c r="BI36" s="62">
        <f ca="1">AVERAGE(OFFSET($BH$3,0,0,'Données projet'!$E$11+1,1))-AVERAGE(OFFSET($H$3,0,0,'Données projet'!$E$11+1,1))</f>
        <v>236.29093866505224</v>
      </c>
      <c r="BJ36" s="62">
        <f t="shared" si="38"/>
        <v>258.22911730540892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</v>
      </c>
      <c r="BY36" s="13">
        <f>IF('Données projet'!$A$114&gt;35,BY35+BX36-CG35,IF(A36&lt;'Données projet'!$A$114,$BV$205^A36,IF(A36='Données projet'!$A$114,'Données projet'!$B$114,BY35+BX36-CG35)))</f>
        <v>171</v>
      </c>
      <c r="BZ36" s="14">
        <f>BY36*VLOOKUP('Données projet'!$B$12,Paramètres!$A$1:$I$89,3,0)*VLOOKUP('Données projet'!$B$12,Paramètres!$A$1:$I$89,5,0)</f>
        <v>133.38</v>
      </c>
      <c r="CA36" s="14">
        <f t="shared" si="39"/>
        <v>34.776207535548991</v>
      </c>
      <c r="CB36" s="22">
        <f t="shared" si="10"/>
        <v>292.8720614577478</v>
      </c>
      <c r="CC36" s="62">
        <f t="shared" si="11"/>
        <v>586.20539479108106</v>
      </c>
      <c r="CD36" s="62">
        <f ca="1">AVERAGE(OFFSET($CC$3,0,0,'Données projet'!$E$12+1,1))-AVERAGE(OFFSET($H$3,0,0,'Données projet'!$E$12+1,1))</f>
        <v>250.84814055099969</v>
      </c>
      <c r="CE36" s="62">
        <f t="shared" si="40"/>
        <v>226.15029417484465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122.79999999999998</v>
      </c>
      <c r="CU36" s="18">
        <f>CT36*VLOOKUP('Données projet'!$B$13,Paramètres!$A$1:$I$89,3,0)*VLOOKUP('Données projet'!$B$13,Paramètres!$A$1:$I$89,5,0)</f>
        <v>124.5192</v>
      </c>
      <c r="CV36" s="14">
        <f t="shared" si="41"/>
        <v>32.726749993106417</v>
      </c>
      <c r="CW36" s="22">
        <f t="shared" si="13"/>
        <v>273.870029571327</v>
      </c>
      <c r="CX36" s="62">
        <f t="shared" si="14"/>
        <v>567.20336290466025</v>
      </c>
      <c r="CY36" s="62">
        <f ca="1">AVERAGE(OFFSET($CX$3,0,0,'Données projet'!$E$13+1,1))-AVERAGE(OFFSET($H$3,0,0,'Données projet'!$E$13+1,1))</f>
        <v>385.00782828233201</v>
      </c>
      <c r="CZ36" s="62">
        <f t="shared" si="42"/>
        <v>216.22708298332475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299.60407953815456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18.8</v>
      </c>
      <c r="N37" s="14">
        <f>IF('Données projet'!$A$36&gt;35,N36+M37-V36,IF(A37&lt;'Données projet'!$A$36,$K$205^A37,IF(A37='Données projet'!$A$36,'Données projet'!$B$36,N36+M37-V36)))</f>
        <v>277.20000000000016</v>
      </c>
      <c r="O37" s="14">
        <f>N37*VLOOKUP('Données projet'!$B$9,Paramètres!$A$1:$I$89,3,0)*VLOOKUP('Données projet'!$B$9,Paramètres!$A$1:$I$89,5,0)</f>
        <v>165.76560000000012</v>
      </c>
      <c r="P37" s="14">
        <f t="shared" si="33"/>
        <v>42.140271125684301</v>
      </c>
      <c r="Q37" s="22">
        <f t="shared" si="53"/>
        <v>362.10272554390036</v>
      </c>
      <c r="R37" s="62">
        <f t="shared" si="0"/>
        <v>655.43605887723368</v>
      </c>
      <c r="S37" s="62">
        <f ca="1">AVERAGE(OFFSET($R$3,0,0,'Données projet'!$E$9+1,1))-AVERAGE(OFFSET($H$3,0,0,'Données projet'!$E$9+1,1))</f>
        <v>327.17622590628559</v>
      </c>
      <c r="T37" s="62">
        <f t="shared" si="34"/>
        <v>379.61248288852113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15.234185563218603</v>
      </c>
      <c r="AC37" s="24">
        <f t="shared" si="3"/>
        <v>15.234185563218603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77.344799999999992</v>
      </c>
      <c r="AK37" s="14">
        <f t="shared" si="35"/>
        <v>21.486704106300962</v>
      </c>
      <c r="AL37" s="22">
        <f t="shared" si="4"/>
        <v>172.13153631847419</v>
      </c>
      <c r="AM37" s="62">
        <f t="shared" si="5"/>
        <v>465.46486965180748</v>
      </c>
      <c r="AN37" s="62">
        <f ca="1">AVERAGE(OFFSET($AM$3,0,0,'Données projet'!$E$10+1,1))-AVERAGE(OFFSET($H$3,0,0,'Données projet'!$E$10+1,1))</f>
        <v>276.87402314479681</v>
      </c>
      <c r="AO37" s="62">
        <f t="shared" si="36"/>
        <v>125.27302863901997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6.7799999999999985</v>
      </c>
      <c r="BD37" s="13">
        <f>IF('Données projet'!$A$88&gt;35,BD36+BC37-BL36,IF(A37&lt;'Données projet'!$A$88,$BA$205^A37,IF(A37='Données projet'!$A$88,'Données projet'!$B$88,BD36+BC37-BL36)))</f>
        <v>152.22000000000006</v>
      </c>
      <c r="BE37" s="14">
        <f>BD37*VLOOKUP('Données projet'!$B$11,Paramètres!$A$1:$I$89,3,0)*VLOOKUP('Données projet'!$B$11,Paramètres!$A$1:$I$89,5,0)</f>
        <v>123.48086400000007</v>
      </c>
      <c r="BF37" s="14">
        <f t="shared" si="37"/>
        <v>32.485497643682045</v>
      </c>
      <c r="BG37" s="22">
        <f t="shared" si="7"/>
        <v>271.64141319607967</v>
      </c>
      <c r="BH37" s="62">
        <f t="shared" si="8"/>
        <v>564.97474652941298</v>
      </c>
      <c r="BI37" s="62">
        <f ca="1">AVERAGE(OFFSET($BH$3,0,0,'Données projet'!$E$11+1,1))-AVERAGE(OFFSET($H$3,0,0,'Données projet'!$E$11+1,1))</f>
        <v>236.29093866505224</v>
      </c>
      <c r="BJ37" s="62">
        <f t="shared" si="38"/>
        <v>258.22911730540892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</v>
      </c>
      <c r="BY37" s="13">
        <f>IF('Données projet'!$A$114&gt;35,BY36+BX37-CG36,IF(A37&lt;'Données projet'!$A$114,$BV$205^A37,IF(A37='Données projet'!$A$114,'Données projet'!$B$114,BY36+BX37-CG36)))</f>
        <v>184</v>
      </c>
      <c r="BZ37" s="14">
        <f>BY37*VLOOKUP('Données projet'!$B$12,Paramètres!$A$1:$I$89,3,0)*VLOOKUP('Données projet'!$B$12,Paramètres!$A$1:$I$89,5,0)</f>
        <v>143.52000000000001</v>
      </c>
      <c r="CA37" s="14">
        <f t="shared" si="39"/>
        <v>37.102218970378601</v>
      </c>
      <c r="CB37" s="22">
        <f t="shared" si="10"/>
        <v>314.58369804007606</v>
      </c>
      <c r="CC37" s="62">
        <f t="shared" si="11"/>
        <v>607.91703137340937</v>
      </c>
      <c r="CD37" s="62">
        <f ca="1">AVERAGE(OFFSET($CC$3,0,0,'Données projet'!$E$12+1,1))-AVERAGE(OFFSET($H$3,0,0,'Données projet'!$E$12+1,1))</f>
        <v>250.84814055099969</v>
      </c>
      <c r="CE37" s="62">
        <f t="shared" si="40"/>
        <v>226.15029417484465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131.39999999999998</v>
      </c>
      <c r="CU37" s="18">
        <f>CT37*VLOOKUP('Données projet'!$B$13,Paramètres!$A$1:$I$89,3,0)*VLOOKUP('Données projet'!$B$13,Paramètres!$A$1:$I$89,5,0)</f>
        <v>133.23959999999997</v>
      </c>
      <c r="CV37" s="14">
        <f t="shared" si="41"/>
        <v>34.743860019521328</v>
      </c>
      <c r="CW37" s="22">
        <f t="shared" si="13"/>
        <v>292.57119286733285</v>
      </c>
      <c r="CX37" s="62">
        <f t="shared" si="14"/>
        <v>585.90452620066617</v>
      </c>
      <c r="CY37" s="62">
        <f ca="1">AVERAGE(OFFSET($CX$3,0,0,'Données projet'!$E$13+1,1))-AVERAGE(OFFSET($H$3,0,0,'Données projet'!$E$13+1,1))</f>
        <v>385.00782828233201</v>
      </c>
      <c r="CZ37" s="62">
        <f t="shared" si="42"/>
        <v>216.22708298332475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300.83017101517061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296</v>
      </c>
      <c r="L38" s="13">
        <f>VLOOKUP(A38,'Données projet'!$A$35:$I$55,9,0)</f>
        <v>18.8</v>
      </c>
      <c r="M38" s="13">
        <f t="array" ref="M38">INDEX(L:L,MIN(IF(ISNUMBER(L38:L234),ROW(L38:L234),"")))</f>
        <v>18.8</v>
      </c>
      <c r="N38" s="14">
        <f>IF('Données projet'!$A$36&gt;35,N37+M38-V37,IF(A38&lt;'Données projet'!$A$36,$K$205^A38,IF(A38='Données projet'!$A$36,'Données projet'!$B$36,N37+M38-V37)))</f>
        <v>296.00000000000017</v>
      </c>
      <c r="O38" s="14">
        <f>N38*VLOOKUP('Données projet'!$B$9,Paramètres!$A$1:$I$89,3,0)*VLOOKUP('Données projet'!$B$9,Paramètres!$A$1:$I$89,5,0)</f>
        <v>177.00800000000012</v>
      </c>
      <c r="P38" s="14">
        <f t="shared" si="33"/>
        <v>44.65587329900309</v>
      </c>
      <c r="Q38" s="22">
        <f t="shared" si="53"/>
        <v>386.06457932909728</v>
      </c>
      <c r="R38" s="62">
        <f t="shared" si="0"/>
        <v>679.3979126624306</v>
      </c>
      <c r="S38" s="62">
        <f ca="1">AVERAGE(OFFSET($R$3,0,0,'Données projet'!$E$9+1,1))-AVERAGE(OFFSET($H$3,0,0,'Données projet'!$E$9+1,1))</f>
        <v>327.17622590628559</v>
      </c>
      <c r="T38" s="62">
        <f t="shared" si="34"/>
        <v>379.61248288852113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10.772195917606078</v>
      </c>
      <c r="AC38" s="24">
        <f t="shared" si="3"/>
        <v>10.772195917606078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82.570799999999991</v>
      </c>
      <c r="AK38" s="14">
        <f t="shared" si="35"/>
        <v>22.764596322636297</v>
      </c>
      <c r="AL38" s="22">
        <f t="shared" si="4"/>
        <v>183.4591485952582</v>
      </c>
      <c r="AM38" s="62">
        <f t="shared" si="5"/>
        <v>476.79248192859154</v>
      </c>
      <c r="AN38" s="62">
        <f ca="1">AVERAGE(OFFSET($AM$3,0,0,'Données projet'!$E$10+1,1))-AVERAGE(OFFSET($H$3,0,0,'Données projet'!$E$10+1,1))</f>
        <v>276.87402314479681</v>
      </c>
      <c r="AO38" s="62">
        <f t="shared" si="36"/>
        <v>125.27302863901997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159</v>
      </c>
      <c r="BB38" s="13">
        <f>VLOOKUP(A38,'Données projet'!$A$87:$I$107,9,0)</f>
        <v>6.7799999999999985</v>
      </c>
      <c r="BC38" s="13">
        <f t="array" ref="BC38">INDEX(BB:BB,MIN(IF(ISNUMBER(BB38:BB234),ROW(BB38:BB234),"")))</f>
        <v>6.7799999999999985</v>
      </c>
      <c r="BD38" s="13">
        <f>IF('Données projet'!$A$88&gt;35,BD37+BC38-BL37,IF(A38&lt;'Données projet'!$A$88,$BA$205^A38,IF(A38='Données projet'!$A$88,'Données projet'!$B$88,BD37+BC38-BL37)))</f>
        <v>159.00000000000006</v>
      </c>
      <c r="BE38" s="14">
        <f>BD38*VLOOKUP('Données projet'!$B$11,Paramètres!$A$1:$I$89,3,0)*VLOOKUP('Données projet'!$B$11,Paramètres!$A$1:$I$89,5,0)</f>
        <v>128.98080000000007</v>
      </c>
      <c r="BF38" s="14">
        <f t="shared" si="37"/>
        <v>33.760744362869438</v>
      </c>
      <c r="BG38" s="22">
        <f t="shared" si="7"/>
        <v>283.44152309866439</v>
      </c>
      <c r="BH38" s="62">
        <f t="shared" si="8"/>
        <v>576.7748564319977</v>
      </c>
      <c r="BI38" s="62">
        <f ca="1">AVERAGE(OFFSET($BH$3,0,0,'Données projet'!$E$11+1,1))-AVERAGE(OFFSET($H$3,0,0,'Données projet'!$E$11+1,1))</f>
        <v>236.29093866505224</v>
      </c>
      <c r="BJ38" s="62">
        <f t="shared" si="38"/>
        <v>258.22911730540892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197</v>
      </c>
      <c r="BW38" s="13">
        <f>VLOOKUP(A38,'Données projet'!$A$113:$I$133,9,0)</f>
        <v>13</v>
      </c>
      <c r="BX38" s="13">
        <f t="array" ref="BX38">INDEX(BW:BW,MIN(IF(ISNUMBER(BW38:BW234),ROW(BW38:BW234),"")))</f>
        <v>13</v>
      </c>
      <c r="BY38" s="13">
        <f>IF('Données projet'!$A$114&gt;35,BY37+BX38-CG37,IF(A38&lt;'Données projet'!$A$114,$BV$205^A38,IF(A38='Données projet'!$A$114,'Données projet'!$B$114,BY37+BX38-CG37)))</f>
        <v>197</v>
      </c>
      <c r="BZ38" s="14">
        <f>BY38*VLOOKUP('Données projet'!$B$12,Paramètres!$A$1:$I$89,3,0)*VLOOKUP('Données projet'!$B$12,Paramètres!$A$1:$I$89,5,0)</f>
        <v>153.66</v>
      </c>
      <c r="CA38" s="14">
        <f t="shared" si="39"/>
        <v>39.409163193883444</v>
      </c>
      <c r="CB38" s="22">
        <f t="shared" si="10"/>
        <v>336.26212589601369</v>
      </c>
      <c r="CC38" s="62">
        <f t="shared" si="11"/>
        <v>629.59545922934694</v>
      </c>
      <c r="CD38" s="62">
        <f ca="1">AVERAGE(OFFSET($CC$3,0,0,'Données projet'!$E$12+1,1))-AVERAGE(OFFSET($H$3,0,0,'Données projet'!$E$12+1,1))</f>
        <v>250.84814055099969</v>
      </c>
      <c r="CE38" s="62">
        <f t="shared" si="40"/>
        <v>226.15029417484465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140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139.99999999999997</v>
      </c>
      <c r="CU38" s="18">
        <f>CT38*VLOOKUP('Données projet'!$B$13,Paramètres!$A$1:$I$89,3,0)*VLOOKUP('Données projet'!$B$13,Paramètres!$A$1:$I$89,5,0)</f>
        <v>141.95999999999998</v>
      </c>
      <c r="CV38" s="14">
        <f t="shared" si="41"/>
        <v>36.745650011720485</v>
      </c>
      <c r="CW38" s="22">
        <f t="shared" si="13"/>
        <v>311.24567377041313</v>
      </c>
      <c r="CX38" s="62">
        <f t="shared" si="14"/>
        <v>604.57900710374645</v>
      </c>
      <c r="CY38" s="62">
        <f ca="1">AVERAGE(OFFSET($CX$3,0,0,'Données projet'!$E$13+1,1))-AVERAGE(OFFSET($H$3,0,0,'Données projet'!$E$13+1,1))</f>
        <v>385.00782828233201</v>
      </c>
      <c r="CZ38" s="62">
        <f t="shared" si="42"/>
        <v>216.22708298332475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302.05534883879602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17.600000000000001</v>
      </c>
      <c r="N39" s="14">
        <f>IF('Données projet'!$A$36&gt;35,N38+M39-V38,IF(A39&lt;'Données projet'!$A$36,$K$205^A39,IF(A39='Données projet'!$A$36,'Données projet'!$B$36,N38+M39-V38)))</f>
        <v>313.60000000000019</v>
      </c>
      <c r="O39" s="14">
        <f>N39*VLOOKUP('Données projet'!$B$9,Paramètres!$A$1:$I$89,3,0)*VLOOKUP('Données projet'!$B$9,Paramètres!$A$1:$I$89,5,0)</f>
        <v>187.53280000000012</v>
      </c>
      <c r="P39" s="14">
        <f t="shared" si="33"/>
        <v>46.994075725880855</v>
      </c>
      <c r="Q39" s="22">
        <f t="shared" si="53"/>
        <v>408.46764188924271</v>
      </c>
      <c r="R39" s="62">
        <f t="shared" si="0"/>
        <v>701.80097522257597</v>
      </c>
      <c r="S39" s="62">
        <f ca="1">AVERAGE(OFFSET($R$3,0,0,'Données projet'!$E$9+1,1))-AVERAGE(OFFSET($H$3,0,0,'Données projet'!$E$9+1,1))</f>
        <v>327.17622590628559</v>
      </c>
      <c r="T39" s="62">
        <f t="shared" si="34"/>
        <v>379.61248288852113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7.6170927816093021</v>
      </c>
      <c r="AC39" s="24">
        <f t="shared" si="3"/>
        <v>7.6170927816093021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74.627279999999999</v>
      </c>
      <c r="AK39" s="14">
        <f t="shared" si="35"/>
        <v>20.81825843795977</v>
      </c>
      <c r="AL39" s="22">
        <f t="shared" si="4"/>
        <v>166.23431277944658</v>
      </c>
      <c r="AM39" s="62">
        <f t="shared" si="5"/>
        <v>459.56764611277993</v>
      </c>
      <c r="AN39" s="62">
        <f ca="1">AVERAGE(OFFSET($AM$3,0,0,'Données projet'!$E$10+1,1))-AVERAGE(OFFSET($H$3,0,0,'Données projet'!$E$10+1,1))</f>
        <v>276.87402314479681</v>
      </c>
      <c r="AO39" s="62">
        <f t="shared" si="36"/>
        <v>125.27302863901997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6.0200000000000049</v>
      </c>
      <c r="BD39" s="13">
        <f>IF('Données projet'!$A$88&gt;35,BD38+BC39-BL38,IF(A39&lt;'Données projet'!$A$88,$BA$205^A39,IF(A39='Données projet'!$A$88,'Données projet'!$B$88,BD38+BC39-BL38)))</f>
        <v>165.02000000000007</v>
      </c>
      <c r="BE39" s="14">
        <f>BD39*VLOOKUP('Données projet'!$B$11,Paramètres!$A$1:$I$89,3,0)*VLOOKUP('Données projet'!$B$11,Paramètres!$A$1:$I$89,5,0)</f>
        <v>133.86422400000006</v>
      </c>
      <c r="BF39" s="14">
        <f t="shared" si="37"/>
        <v>34.887740148302484</v>
      </c>
      <c r="BG39" s="22">
        <f t="shared" si="7"/>
        <v>293.90967089162689</v>
      </c>
      <c r="BH39" s="62">
        <f t="shared" si="8"/>
        <v>587.24300422496026</v>
      </c>
      <c r="BI39" s="62">
        <f ca="1">AVERAGE(OFFSET($BH$3,0,0,'Données projet'!$E$11+1,1))-AVERAGE(OFFSET($H$3,0,0,'Données projet'!$E$11+1,1))</f>
        <v>236.29093866505224</v>
      </c>
      <c r="BJ39" s="62">
        <f t="shared" si="38"/>
        <v>258.22911730540892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11.9</v>
      </c>
      <c r="BY39" s="13">
        <f>IF('Données projet'!$A$114&gt;35,BY38+BX39-CG38,IF(A39&lt;'Données projet'!$A$114,$BV$205^A39,IF(A39='Données projet'!$A$114,'Données projet'!$B$114,BY38+BX39-CG38)))</f>
        <v>157.9</v>
      </c>
      <c r="BZ39" s="14">
        <f>BY39*VLOOKUP('Données projet'!$B$12,Paramètres!$A$1:$I$89,3,0)*VLOOKUP('Données projet'!$B$12,Paramètres!$A$1:$I$89,5,0)</f>
        <v>123.16200000000001</v>
      </c>
      <c r="CA39" s="14">
        <f t="shared" si="39"/>
        <v>32.411363821955391</v>
      </c>
      <c r="CB39" s="22">
        <f t="shared" si="10"/>
        <v>270.95694198990566</v>
      </c>
      <c r="CC39" s="62">
        <f t="shared" si="11"/>
        <v>564.29027532323903</v>
      </c>
      <c r="CD39" s="62">
        <f ca="1">AVERAGE(OFFSET($CC$3,0,0,'Données projet'!$E$12+1,1))-AVERAGE(OFFSET($H$3,0,0,'Données projet'!$E$12+1,1))</f>
        <v>250.84814055099969</v>
      </c>
      <c r="CE39" s="62">
        <f t="shared" si="40"/>
        <v>226.15029417484465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7.8</v>
      </c>
      <c r="CT39" s="13">
        <f>IF('Données projet'!$A$140&gt;35,CT38+CS39-DB38,IF(A39&lt;'Données projet'!$A$140,$CQ$205^A39,IF(A39='Données projet'!$A$140,'Données projet'!$B$140,CT38+CS39-DB38)))</f>
        <v>105.79999999999998</v>
      </c>
      <c r="CU39" s="18">
        <f>CT39*VLOOKUP('Données projet'!$B$13,Paramètres!$A$1:$I$89,3,0)*VLOOKUP('Données projet'!$B$13,Paramètres!$A$1:$I$89,5,0)</f>
        <v>107.2812</v>
      </c>
      <c r="CV39" s="14">
        <f t="shared" si="41"/>
        <v>28.68948404302737</v>
      </c>
      <c r="CW39" s="22">
        <f t="shared" si="13"/>
        <v>236.81560804160597</v>
      </c>
      <c r="CX39" s="62">
        <f t="shared" si="14"/>
        <v>530.14894137493934</v>
      </c>
      <c r="CY39" s="62">
        <f ca="1">AVERAGE(OFFSET($CX$3,0,0,'Données projet'!$E$13+1,1))-AVERAGE(OFFSET($H$3,0,0,'Données projet'!$E$13+1,1))</f>
        <v>385.00782828233201</v>
      </c>
      <c r="CZ39" s="62">
        <f t="shared" si="42"/>
        <v>216.22708298332475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303.27964130405229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17.600000000000001</v>
      </c>
      <c r="N40" s="14">
        <f>IF('Données projet'!$A$36&gt;35,N39+M40-V39,IF(A40&lt;'Données projet'!$A$36,$K$205^A40,IF(A40='Données projet'!$A$36,'Données projet'!$B$36,N39+M40-V39)))</f>
        <v>331.20000000000022</v>
      </c>
      <c r="O40" s="14">
        <f>N40*VLOOKUP('Données projet'!$B$9,Paramètres!$A$1:$I$89,3,0)*VLOOKUP('Données projet'!$B$9,Paramètres!$A$1:$I$89,5,0)</f>
        <v>198.05760000000015</v>
      </c>
      <c r="P40" s="14">
        <f t="shared" si="33"/>
        <v>49.317044830035982</v>
      </c>
      <c r="Q40" s="22">
        <f t="shared" si="53"/>
        <v>430.84417307897957</v>
      </c>
      <c r="R40" s="62">
        <f t="shared" si="0"/>
        <v>724.17750641231282</v>
      </c>
      <c r="S40" s="62">
        <f ca="1">AVERAGE(OFFSET($R$3,0,0,'Données projet'!$E$9+1,1))-AVERAGE(OFFSET($H$3,0,0,'Données projet'!$E$9+1,1))</f>
        <v>327.17622590628559</v>
      </c>
      <c r="T40" s="62">
        <f t="shared" si="34"/>
        <v>379.61248288852113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5.38609795880304</v>
      </c>
      <c r="AC40" s="24">
        <f t="shared" si="3"/>
        <v>5.38609795880304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80.271360000000001</v>
      </c>
      <c r="AK40" s="14">
        <f t="shared" si="35"/>
        <v>22.203519977650487</v>
      </c>
      <c r="AL40" s="22">
        <f t="shared" si="4"/>
        <v>178.47708262774123</v>
      </c>
      <c r="AM40" s="62">
        <f t="shared" si="5"/>
        <v>471.81041596107457</v>
      </c>
      <c r="AN40" s="62">
        <f ca="1">AVERAGE(OFFSET($AM$3,0,0,'Données projet'!$E$10+1,1))-AVERAGE(OFFSET($H$3,0,0,'Données projet'!$E$10+1,1))</f>
        <v>276.87402314479681</v>
      </c>
      <c r="AO40" s="62">
        <f t="shared" si="36"/>
        <v>125.27302863901997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6.0200000000000049</v>
      </c>
      <c r="BD40" s="13">
        <f>IF('Données projet'!$A$88&gt;35,BD39+BC40-BL39,IF(A40&lt;'Données projet'!$A$88,$BA$205^A40,IF(A40='Données projet'!$A$88,'Données projet'!$B$88,BD39+BC40-BL39)))</f>
        <v>171.04000000000008</v>
      </c>
      <c r="BE40" s="14">
        <f>BD40*VLOOKUP('Données projet'!$B$11,Paramètres!$A$1:$I$89,3,0)*VLOOKUP('Données projet'!$B$11,Paramètres!$A$1:$I$89,5,0)</f>
        <v>138.74764800000005</v>
      </c>
      <c r="BF40" s="14">
        <f t="shared" si="37"/>
        <v>36.009959374226</v>
      </c>
      <c r="BG40" s="22">
        <f t="shared" si="7"/>
        <v>304.36949951011036</v>
      </c>
      <c r="BH40" s="62">
        <f t="shared" si="8"/>
        <v>597.70283284344373</v>
      </c>
      <c r="BI40" s="62">
        <f ca="1">AVERAGE(OFFSET($BH$3,0,0,'Données projet'!$E$11+1,1))-AVERAGE(OFFSET($H$3,0,0,'Données projet'!$E$11+1,1))</f>
        <v>236.29093866505224</v>
      </c>
      <c r="BJ40" s="62">
        <f t="shared" si="38"/>
        <v>258.22911730540892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11.9</v>
      </c>
      <c r="BY40" s="13">
        <f>IF('Données projet'!$A$114&gt;35,BY39+BX40-CG39,IF(A40&lt;'Données projet'!$A$114,$BV$205^A40,IF(A40='Données projet'!$A$114,'Données projet'!$B$114,BY39+BX40-CG39)))</f>
        <v>169.8</v>
      </c>
      <c r="BZ40" s="14">
        <f>BY40*VLOOKUP('Données projet'!$B$12,Paramètres!$A$1:$I$89,3,0)*VLOOKUP('Données projet'!$B$12,Paramètres!$A$1:$I$89,5,0)</f>
        <v>132.44400000000002</v>
      </c>
      <c r="CA40" s="14">
        <f t="shared" si="39"/>
        <v>34.560482342975533</v>
      </c>
      <c r="CB40" s="22">
        <f t="shared" si="10"/>
        <v>290.86614008068244</v>
      </c>
      <c r="CC40" s="62">
        <f t="shared" si="11"/>
        <v>584.19947341401576</v>
      </c>
      <c r="CD40" s="62">
        <f ca="1">AVERAGE(OFFSET($CC$3,0,0,'Données projet'!$E$12+1,1))-AVERAGE(OFFSET($H$3,0,0,'Données projet'!$E$12+1,1))</f>
        <v>250.84814055099969</v>
      </c>
      <c r="CE40" s="62">
        <f t="shared" si="40"/>
        <v>226.15029417484465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7.8</v>
      </c>
      <c r="CT40" s="13">
        <f>IF('Données projet'!$A$140&gt;35,CT39+CS40-DB39,IF(A40&lt;'Données projet'!$A$140,$CQ$205^A40,IF(A40='Données projet'!$A$140,'Données projet'!$B$140,CT39+CS40-DB39)))</f>
        <v>113.59999999999998</v>
      </c>
      <c r="CU40" s="18">
        <f>CT40*VLOOKUP('Données projet'!$B$13,Paramètres!$A$1:$I$89,3,0)*VLOOKUP('Données projet'!$B$13,Paramètres!$A$1:$I$89,5,0)</f>
        <v>115.19039999999998</v>
      </c>
      <c r="CV40" s="14">
        <f t="shared" si="41"/>
        <v>30.550582519051947</v>
      </c>
      <c r="CW40" s="22">
        <f t="shared" si="13"/>
        <v>253.8322112206821</v>
      </c>
      <c r="CX40" s="62">
        <f t="shared" si="14"/>
        <v>547.16554455401547</v>
      </c>
      <c r="CY40" s="62">
        <f ca="1">AVERAGE(OFFSET($CX$3,0,0,'Données projet'!$E$13+1,1))-AVERAGE(OFFSET($H$3,0,0,'Données projet'!$E$13+1,1))</f>
        <v>385.00782828233201</v>
      </c>
      <c r="CZ40" s="62">
        <f t="shared" si="42"/>
        <v>216.22708298332475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304.50307508943433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17.600000000000001</v>
      </c>
      <c r="N41" s="14">
        <f>IF('Données projet'!$A$36&gt;35,N40+M41-V40,IF(A41&lt;'Données projet'!$A$36,$K$205^A41,IF(A41='Données projet'!$A$36,'Données projet'!$B$36,N40+M41-V40)))</f>
        <v>348.80000000000024</v>
      </c>
      <c r="O41" s="14">
        <f>N41*VLOOKUP('Données projet'!$B$9,Paramètres!$A$1:$I$89,3,0)*VLOOKUP('Données projet'!$B$9,Paramètres!$A$1:$I$89,5,0)</f>
        <v>208.58240000000018</v>
      </c>
      <c r="P41" s="14">
        <f t="shared" si="33"/>
        <v>51.625682419016947</v>
      </c>
      <c r="Q41" s="22">
        <f t="shared" si="53"/>
        <v>453.19574354645471</v>
      </c>
      <c r="R41" s="62">
        <f t="shared" si="0"/>
        <v>746.52907687978802</v>
      </c>
      <c r="S41" s="62">
        <f ca="1">AVERAGE(OFFSET($R$3,0,0,'Données projet'!$E$9+1,1))-AVERAGE(OFFSET($H$3,0,0,'Données projet'!$E$9+1,1))</f>
        <v>327.17622590628559</v>
      </c>
      <c r="T41" s="62">
        <f t="shared" si="34"/>
        <v>379.61248288852113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3.8085463908046515</v>
      </c>
      <c r="AC41" s="24">
        <f t="shared" si="3"/>
        <v>3.8085463908046515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85.915440000000018</v>
      </c>
      <c r="AK41" s="14">
        <f t="shared" si="35"/>
        <v>23.577480461041315</v>
      </c>
      <c r="AL41" s="22">
        <f t="shared" si="4"/>
        <v>190.70016980298033</v>
      </c>
      <c r="AM41" s="62">
        <f t="shared" si="5"/>
        <v>484.03350313631364</v>
      </c>
      <c r="AN41" s="62">
        <f ca="1">AVERAGE(OFFSET($AM$3,0,0,'Données projet'!$E$10+1,1))-AVERAGE(OFFSET($H$3,0,0,'Données projet'!$E$10+1,1))</f>
        <v>276.87402314479681</v>
      </c>
      <c r="AO41" s="62">
        <f t="shared" si="36"/>
        <v>125.27302863901997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6.0200000000000049</v>
      </c>
      <c r="BD41" s="13">
        <f>IF('Données projet'!$A$88&gt;35,BD40+BC41-BL40,IF(A41&lt;'Données projet'!$A$88,$BA$205^A41,IF(A41='Données projet'!$A$88,'Données projet'!$B$88,BD40+BC41-BL40)))</f>
        <v>177.06000000000009</v>
      </c>
      <c r="BE41" s="14">
        <f>BD41*VLOOKUP('Données projet'!$B$11,Paramètres!$A$1:$I$89,3,0)*VLOOKUP('Données projet'!$B$11,Paramètres!$A$1:$I$89,5,0)</f>
        <v>143.63107200000007</v>
      </c>
      <c r="BF41" s="14">
        <f t="shared" si="37"/>
        <v>37.127589422193964</v>
      </c>
      <c r="BG41" s="22">
        <f t="shared" si="7"/>
        <v>314.82133531032133</v>
      </c>
      <c r="BH41" s="62">
        <f t="shared" si="8"/>
        <v>608.15466864365465</v>
      </c>
      <c r="BI41" s="62">
        <f ca="1">AVERAGE(OFFSET($BH$3,0,0,'Données projet'!$E$11+1,1))-AVERAGE(OFFSET($H$3,0,0,'Données projet'!$E$11+1,1))</f>
        <v>236.29093866505224</v>
      </c>
      <c r="BJ41" s="62">
        <f t="shared" si="38"/>
        <v>258.22911730540892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11.9</v>
      </c>
      <c r="BY41" s="13">
        <f>IF('Données projet'!$A$114&gt;35,BY40+BX41-CG40,IF(A41&lt;'Données projet'!$A$114,$BV$205^A41,IF(A41='Données projet'!$A$114,'Données projet'!$B$114,BY40+BX41-CG40)))</f>
        <v>181.70000000000002</v>
      </c>
      <c r="BZ41" s="14">
        <f>BY41*VLOOKUP('Données projet'!$B$12,Paramètres!$A$1:$I$89,3,0)*VLOOKUP('Données projet'!$B$12,Paramètres!$A$1:$I$89,5,0)</f>
        <v>141.72600000000003</v>
      </c>
      <c r="CA41" s="14">
        <f t="shared" si="39"/>
        <v>36.692125440686915</v>
      </c>
      <c r="CB41" s="22">
        <f t="shared" si="10"/>
        <v>310.74490180919639</v>
      </c>
      <c r="CC41" s="62">
        <f t="shared" si="11"/>
        <v>604.07823514252971</v>
      </c>
      <c r="CD41" s="62">
        <f ca="1">AVERAGE(OFFSET($CC$3,0,0,'Données projet'!$E$12+1,1))-AVERAGE(OFFSET($H$3,0,0,'Données projet'!$E$12+1,1))</f>
        <v>250.84814055099969</v>
      </c>
      <c r="CE41" s="62">
        <f t="shared" si="40"/>
        <v>226.15029417484465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7.8</v>
      </c>
      <c r="CT41" s="13">
        <f>IF('Données projet'!$A$140&gt;35,CT40+CS41-DB40,IF(A41&lt;'Données projet'!$A$140,$CQ$205^A41,IF(A41='Données projet'!$A$140,'Données projet'!$B$140,CT40+CS41-DB40)))</f>
        <v>121.39999999999998</v>
      </c>
      <c r="CU41" s="18">
        <f>CT41*VLOOKUP('Données projet'!$B$13,Paramètres!$A$1:$I$89,3,0)*VLOOKUP('Données projet'!$B$13,Paramètres!$A$1:$I$89,5,0)</f>
        <v>123.09959999999998</v>
      </c>
      <c r="CV41" s="14">
        <f t="shared" si="41"/>
        <v>32.396853612606868</v>
      </c>
      <c r="CW41" s="22">
        <f t="shared" si="13"/>
        <v>270.82299004195693</v>
      </c>
      <c r="CX41" s="62">
        <f t="shared" si="14"/>
        <v>564.15632337529019</v>
      </c>
      <c r="CY41" s="62">
        <f ca="1">AVERAGE(OFFSET($CX$3,0,0,'Données projet'!$E$13+1,1))-AVERAGE(OFFSET($H$3,0,0,'Données projet'!$E$13+1,1))</f>
        <v>385.00782828233201</v>
      </c>
      <c r="CZ41" s="62">
        <f t="shared" si="42"/>
        <v>216.22708298332475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305.72567538934157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17.600000000000001</v>
      </c>
      <c r="N42" s="14">
        <f>IF('Données projet'!$A$36&gt;35,N41+M42-V41,IF(A42&lt;'Données projet'!$A$36,$K$205^A42,IF(A42='Données projet'!$A$36,'Données projet'!$B$36,N41+M42-V41)))</f>
        <v>366.40000000000026</v>
      </c>
      <c r="O42" s="14">
        <f>N42*VLOOKUP('Données projet'!$B$9,Paramètres!$A$1:$I$89,3,0)*VLOOKUP('Données projet'!$B$9,Paramètres!$A$1:$I$89,5,0)</f>
        <v>219.10720000000018</v>
      </c>
      <c r="P42" s="14">
        <f t="shared" si="33"/>
        <v>53.92079415147974</v>
      </c>
      <c r="Q42" s="22">
        <f t="shared" si="53"/>
        <v>475.52375648049411</v>
      </c>
      <c r="R42" s="62">
        <f t="shared" si="0"/>
        <v>768.85708981382743</v>
      </c>
      <c r="S42" s="62">
        <f ca="1">AVERAGE(OFFSET($R$3,0,0,'Données projet'!$E$9+1,1))-AVERAGE(OFFSET($H$3,0,0,'Données projet'!$E$9+1,1))</f>
        <v>327.17622590628559</v>
      </c>
      <c r="T42" s="62">
        <f t="shared" si="34"/>
        <v>379.61248288852113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2.6930489794015204</v>
      </c>
      <c r="AC42" s="24">
        <f t="shared" si="3"/>
        <v>2.6930489794015204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91.55952000000002</v>
      </c>
      <c r="AK42" s="14">
        <f t="shared" si="35"/>
        <v>24.94096677672054</v>
      </c>
      <c r="AL42" s="22">
        <f t="shared" si="4"/>
        <v>202.90501446945498</v>
      </c>
      <c r="AM42" s="62">
        <f t="shared" si="5"/>
        <v>496.23834780278833</v>
      </c>
      <c r="AN42" s="62">
        <f ca="1">AVERAGE(OFFSET($AM$3,0,0,'Données projet'!$E$10+1,1))-AVERAGE(OFFSET($H$3,0,0,'Données projet'!$E$10+1,1))</f>
        <v>276.87402314479681</v>
      </c>
      <c r="AO42" s="62">
        <f t="shared" si="36"/>
        <v>125.27302863901997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6.0200000000000049</v>
      </c>
      <c r="BD42" s="13">
        <f>IF('Données projet'!$A$88&gt;35,BD41+BC42-BL41,IF(A42&lt;'Données projet'!$A$88,$BA$205^A42,IF(A42='Données projet'!$A$88,'Données projet'!$B$88,BD41+BC42-BL41)))</f>
        <v>183.0800000000001</v>
      </c>
      <c r="BE42" s="14">
        <f>BD42*VLOOKUP('Données projet'!$B$11,Paramètres!$A$1:$I$89,3,0)*VLOOKUP('Données projet'!$B$11,Paramètres!$A$1:$I$89,5,0)</f>
        <v>148.51449600000009</v>
      </c>
      <c r="BF42" s="14">
        <f t="shared" si="37"/>
        <v>38.240804209074824</v>
      </c>
      <c r="BG42" s="22">
        <f t="shared" si="7"/>
        <v>325.26548119747213</v>
      </c>
      <c r="BH42" s="62">
        <f t="shared" si="8"/>
        <v>618.59881453080538</v>
      </c>
      <c r="BI42" s="62">
        <f ca="1">AVERAGE(OFFSET($BH$3,0,0,'Données projet'!$E$11+1,1))-AVERAGE(OFFSET($H$3,0,0,'Données projet'!$E$11+1,1))</f>
        <v>236.29093866505224</v>
      </c>
      <c r="BJ42" s="62">
        <f t="shared" si="38"/>
        <v>258.22911730540892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11.9</v>
      </c>
      <c r="BY42" s="13">
        <f>IF('Données projet'!$A$114&gt;35,BY41+BX42-CG41,IF(A42&lt;'Données projet'!$A$114,$BV$205^A42,IF(A42='Données projet'!$A$114,'Données projet'!$B$114,BY41+BX42-CG41)))</f>
        <v>193.60000000000002</v>
      </c>
      <c r="BZ42" s="14">
        <f>BY42*VLOOKUP('Données projet'!$B$12,Paramètres!$A$1:$I$89,3,0)*VLOOKUP('Données projet'!$B$12,Paramètres!$A$1:$I$89,5,0)</f>
        <v>151.00800000000001</v>
      </c>
      <c r="CA42" s="14">
        <f t="shared" si="39"/>
        <v>38.807567870348514</v>
      </c>
      <c r="CB42" s="22">
        <f t="shared" si="10"/>
        <v>330.59544737419031</v>
      </c>
      <c r="CC42" s="62">
        <f t="shared" si="11"/>
        <v>623.92878070752363</v>
      </c>
      <c r="CD42" s="62">
        <f ca="1">AVERAGE(OFFSET($CC$3,0,0,'Données projet'!$E$12+1,1))-AVERAGE(OFFSET($H$3,0,0,'Données projet'!$E$12+1,1))</f>
        <v>250.84814055099969</v>
      </c>
      <c r="CE42" s="62">
        <f t="shared" si="40"/>
        <v>226.15029417484465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7.8</v>
      </c>
      <c r="CT42" s="13">
        <f>IF('Données projet'!$A$140&gt;35,CT41+CS42-DB41,IF(A42&lt;'Données projet'!$A$140,$CQ$205^A42,IF(A42='Données projet'!$A$140,'Données projet'!$B$140,CT41+CS42-DB41)))</f>
        <v>129.19999999999999</v>
      </c>
      <c r="CU42" s="18">
        <f>CT42*VLOOKUP('Données projet'!$B$13,Paramètres!$A$1:$I$89,3,0)*VLOOKUP('Données projet'!$B$13,Paramètres!$A$1:$I$89,5,0)</f>
        <v>131.00879999999998</v>
      </c>
      <c r="CV42" s="14">
        <f t="shared" si="41"/>
        <v>34.229358418772243</v>
      </c>
      <c r="CW42" s="22">
        <f t="shared" si="13"/>
        <v>287.78979257936163</v>
      </c>
      <c r="CX42" s="62">
        <f t="shared" si="14"/>
        <v>581.12312591269495</v>
      </c>
      <c r="CY42" s="62">
        <f ca="1">AVERAGE(OFFSET($CX$3,0,0,'Données projet'!$E$13+1,1))-AVERAGE(OFFSET($H$3,0,0,'Données projet'!$E$13+1,1))</f>
        <v>385.00782828233201</v>
      </c>
      <c r="CZ42" s="62">
        <f t="shared" si="42"/>
        <v>216.22708298332475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306.9474660325443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384</v>
      </c>
      <c r="L43" s="13">
        <f>VLOOKUP(A43,'Données projet'!$A$35:$I$55,9,0)</f>
        <v>17.600000000000001</v>
      </c>
      <c r="M43" s="13">
        <f t="array" ref="M43">INDEX(L:L,MIN(IF(ISNUMBER(L43:L239),ROW(L43:L239),"")))</f>
        <v>17.600000000000001</v>
      </c>
      <c r="N43" s="14">
        <f>IF('Données projet'!$A$36&gt;35,N42+M43-V42,IF(A43&lt;'Données projet'!$A$36,$K$205^A43,IF(A43='Données projet'!$A$36,'Données projet'!$B$36,N42+M43-V42)))</f>
        <v>384.00000000000028</v>
      </c>
      <c r="O43" s="14">
        <f>N43*VLOOKUP('Données projet'!$B$9,Paramètres!$A$1:$I$89,3,0)*VLOOKUP('Données projet'!$B$9,Paramètres!$A$1:$I$89,5,0)</f>
        <v>229.63200000000018</v>
      </c>
      <c r="P43" s="14">
        <f t="shared" si="33"/>
        <v>56.20310391330672</v>
      </c>
      <c r="Q43" s="22">
        <f t="shared" si="53"/>
        <v>497.82947264900946</v>
      </c>
      <c r="R43" s="62">
        <f t="shared" si="0"/>
        <v>791.16280598234277</v>
      </c>
      <c r="S43" s="62">
        <f ca="1">AVERAGE(OFFSET($R$3,0,0,'Données projet'!$E$9+1,1))-AVERAGE(OFFSET($H$3,0,0,'Données projet'!$E$9+1,1))</f>
        <v>327.17622590628559</v>
      </c>
      <c r="T43" s="62">
        <f t="shared" si="34"/>
        <v>379.61248288852113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100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1.9042731954023262</v>
      </c>
      <c r="AC43" s="24">
        <f t="shared" si="3"/>
        <v>1.9042731954023262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97.203600000000023</v>
      </c>
      <c r="AK43" s="14">
        <f t="shared" si="35"/>
        <v>26.294698107005349</v>
      </c>
      <c r="AL43" s="22">
        <f t="shared" si="4"/>
        <v>215.09286920303433</v>
      </c>
      <c r="AM43" s="62">
        <f t="shared" si="5"/>
        <v>508.42620253636767</v>
      </c>
      <c r="AN43" s="62">
        <f ca="1">AVERAGE(OFFSET($AM$3,0,0,'Données projet'!$E$10+1,1))-AVERAGE(OFFSET($H$3,0,0,'Données projet'!$E$10+1,1))</f>
        <v>276.87402314479681</v>
      </c>
      <c r="AO43" s="62">
        <f t="shared" si="36"/>
        <v>125.27302863901997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189.10000000000002</v>
      </c>
      <c r="BB43" s="13">
        <f>VLOOKUP(A43,'Données projet'!$A$87:$I$107,9,0)</f>
        <v>6.0200000000000049</v>
      </c>
      <c r="BC43" s="13">
        <f t="array" ref="BC43">INDEX(BB:BB,MIN(IF(ISNUMBER(BB43:BB239),ROW(BB43:BB239),"")))</f>
        <v>6.0200000000000049</v>
      </c>
      <c r="BD43" s="13">
        <f>IF('Données projet'!$A$88&gt;35,BD42+BC43-BL42,IF(A43&lt;'Données projet'!$A$88,$BA$205^A43,IF(A43='Données projet'!$A$88,'Données projet'!$B$88,BD42+BC43-BL42)))</f>
        <v>189.10000000000011</v>
      </c>
      <c r="BE43" s="14">
        <f>BD43*VLOOKUP('Données projet'!$B$11,Paramètres!$A$1:$I$89,3,0)*VLOOKUP('Données projet'!$B$11,Paramètres!$A$1:$I$89,5,0)</f>
        <v>153.39792000000011</v>
      </c>
      <c r="BF43" s="14">
        <f t="shared" si="37"/>
        <v>39.349765565193408</v>
      </c>
      <c r="BG43" s="22">
        <f t="shared" si="7"/>
        <v>335.70221902604538</v>
      </c>
      <c r="BH43" s="62">
        <f t="shared" si="8"/>
        <v>629.0355523593787</v>
      </c>
      <c r="BI43" s="62">
        <f ca="1">AVERAGE(OFFSET($BH$3,0,0,'Données projet'!$E$11+1,1))-AVERAGE(OFFSET($H$3,0,0,'Données projet'!$E$11+1,1))</f>
        <v>236.29093866505224</v>
      </c>
      <c r="BJ43" s="62">
        <f t="shared" si="38"/>
        <v>258.22911730540892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16.5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11.9</v>
      </c>
      <c r="BY43" s="13">
        <f>IF('Données projet'!$A$114&gt;35,BY42+BX43-CG42,IF(A43&lt;'Données projet'!$A$114,$BV$205^A43,IF(A43='Données projet'!$A$114,'Données projet'!$B$114,BY42+BX43-CG42)))</f>
        <v>205.50000000000003</v>
      </c>
      <c r="BZ43" s="14">
        <f>BY43*VLOOKUP('Données projet'!$B$12,Paramètres!$A$1:$I$89,3,0)*VLOOKUP('Données projet'!$B$12,Paramètres!$A$1:$I$89,5,0)</f>
        <v>160.29000000000002</v>
      </c>
      <c r="CA43" s="14">
        <f t="shared" si="39"/>
        <v>40.907918820862015</v>
      </c>
      <c r="CB43" s="22">
        <f t="shared" si="10"/>
        <v>350.41970861300138</v>
      </c>
      <c r="CC43" s="62">
        <f t="shared" si="11"/>
        <v>643.75304194633463</v>
      </c>
      <c r="CD43" s="62">
        <f ca="1">AVERAGE(OFFSET($CC$3,0,0,'Données projet'!$E$12+1,1))-AVERAGE(OFFSET($H$3,0,0,'Données projet'!$E$12+1,1))</f>
        <v>250.84814055099969</v>
      </c>
      <c r="CE43" s="62">
        <f t="shared" si="40"/>
        <v>226.15029417484465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7.8</v>
      </c>
      <c r="CS43" s="13">
        <f t="array" ref="CS43">INDEX(CR:CR,MIN(IF(ISNUMBER(CR43:CR239),ROW(CR43:CR239),"")))</f>
        <v>7.8</v>
      </c>
      <c r="CT43" s="13">
        <f>IF('Données projet'!$A$140&gt;35,CT42+CS43-DB42,IF(A43&lt;'Données projet'!$A$140,$CQ$205^A43,IF(A43='Données projet'!$A$140,'Données projet'!$B$140,CT42+CS43-DB42)))</f>
        <v>137</v>
      </c>
      <c r="CU43" s="18">
        <f>CT43*VLOOKUP('Données projet'!$B$13,Paramètres!$A$1:$I$89,3,0)*VLOOKUP('Données projet'!$B$13,Paramètres!$A$1:$I$89,5,0)</f>
        <v>138.91800000000001</v>
      </c>
      <c r="CV43" s="14">
        <f t="shared" si="41"/>
        <v>36.049022673886341</v>
      </c>
      <c r="CW43" s="22">
        <f t="shared" si="13"/>
        <v>304.73423115701871</v>
      </c>
      <c r="CX43" s="62">
        <f t="shared" si="14"/>
        <v>598.06756449035197</v>
      </c>
      <c r="CY43" s="62">
        <f ca="1">AVERAGE(OFFSET($CX$3,0,0,'Données projet'!$E$13+1,1))-AVERAGE(OFFSET($H$3,0,0,'Données projet'!$E$13+1,1))</f>
        <v>385.00782828233201</v>
      </c>
      <c r="CZ43" s="62">
        <f t="shared" si="42"/>
        <v>216.22708298332475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308.16846958846969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</v>
      </c>
      <c r="N44" s="14">
        <f>IF('Données projet'!$A$36&gt;35,N43+M44-V43,IF(A44&lt;'Données projet'!$A$36,$K$205^A44,IF(A44='Données projet'!$A$36,'Données projet'!$B$36,N43+M44-V43)))</f>
        <v>304.00000000000028</v>
      </c>
      <c r="O44" s="14">
        <f>N44*VLOOKUP('Données projet'!$B$9,Paramètres!$A$1:$I$89,3,0)*VLOOKUP('Données projet'!$B$9,Paramètres!$A$1:$I$89,5,0)</f>
        <v>181.7920000000002</v>
      </c>
      <c r="P44" s="14">
        <f t="shared" si="33"/>
        <v>45.720642997712574</v>
      </c>
      <c r="Q44" s="22">
        <f t="shared" si="53"/>
        <v>396.25118655434972</v>
      </c>
      <c r="R44" s="62">
        <f t="shared" si="0"/>
        <v>689.58451988768297</v>
      </c>
      <c r="S44" s="62">
        <f ca="1">AVERAGE(OFFSET($R$3,0,0,'Données projet'!$E$9+1,1))-AVERAGE(OFFSET($H$3,0,0,'Données projet'!$E$9+1,1))</f>
        <v>327.17622590628559</v>
      </c>
      <c r="T44" s="62">
        <f t="shared" si="34"/>
        <v>379.61248288852113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1.3465244897007604</v>
      </c>
      <c r="AC44" s="24">
        <f t="shared" si="3"/>
        <v>1.3465244897007604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98.600000000000009</v>
      </c>
      <c r="AJ44" s="14">
        <f>AI44*VLOOKUP('Données projet'!$B$10,Paramètres!$A$1:$I$89,3,0)*VLOOKUP('Données projet'!$B$10,Paramètres!$A$1:$I$89,5,0)</f>
        <v>103.05672000000003</v>
      </c>
      <c r="AK44" s="14">
        <f t="shared" si="35"/>
        <v>27.688937926000623</v>
      </c>
      <c r="AL44" s="22">
        <f t="shared" si="4"/>
        <v>227.71535422111779</v>
      </c>
      <c r="AM44" s="62">
        <f t="shared" si="5"/>
        <v>521.04868755445113</v>
      </c>
      <c r="AN44" s="62">
        <f ca="1">AVERAGE(OFFSET($AM$3,0,0,'Données projet'!$E$10+1,1))-AVERAGE(OFFSET($H$3,0,0,'Données projet'!$E$10+1,1))</f>
        <v>276.87402314479681</v>
      </c>
      <c r="AO44" s="62">
        <f t="shared" si="36"/>
        <v>125.27302863901997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5.1799999999999953</v>
      </c>
      <c r="BD44" s="13">
        <f>IF('Données projet'!$A$88&gt;35,BD43+BC44-BL43,IF(A44&lt;'Données projet'!$A$88,$BA$205^A44,IF(A44='Données projet'!$A$88,'Données projet'!$B$88,BD43+BC44-BL43)))</f>
        <v>177.78000000000011</v>
      </c>
      <c r="BE44" s="14">
        <f>BD44*VLOOKUP('Données projet'!$B$11,Paramètres!$A$1:$I$89,3,0)*VLOOKUP('Données projet'!$B$11,Paramètres!$A$1:$I$89,5,0)</f>
        <v>144.21513600000011</v>
      </c>
      <c r="BF44" s="14">
        <f t="shared" si="37"/>
        <v>37.260960560257899</v>
      </c>
      <c r="BG44" s="22">
        <f t="shared" si="7"/>
        <v>316.07086817578272</v>
      </c>
      <c r="BH44" s="62">
        <f t="shared" si="8"/>
        <v>609.40420150911609</v>
      </c>
      <c r="BI44" s="62">
        <f ca="1">AVERAGE(OFFSET($BH$3,0,0,'Données projet'!$E$11+1,1))-AVERAGE(OFFSET($H$3,0,0,'Données projet'!$E$11+1,1))</f>
        <v>236.29093866505224</v>
      </c>
      <c r="BJ44" s="62">
        <f t="shared" si="38"/>
        <v>258.22911730540892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11.9</v>
      </c>
      <c r="BY44" s="13">
        <f>IF('Données projet'!$A$114&gt;35,BY43+BX44-CG43,IF(A44&lt;'Données projet'!$A$114,$BV$205^A44,IF(A44='Données projet'!$A$114,'Données projet'!$B$114,BY43+BX44-CG43)))</f>
        <v>217.40000000000003</v>
      </c>
      <c r="BZ44" s="14">
        <f>BY44*VLOOKUP('Données projet'!$B$12,Paramètres!$A$1:$I$89,3,0)*VLOOKUP('Données projet'!$B$12,Paramètres!$A$1:$I$89,5,0)</f>
        <v>169.57200000000003</v>
      </c>
      <c r="CA44" s="14">
        <f t="shared" si="39"/>
        <v>42.994151764076129</v>
      </c>
      <c r="CB44" s="22">
        <f t="shared" si="10"/>
        <v>370.21938098909931</v>
      </c>
      <c r="CC44" s="62">
        <f t="shared" si="11"/>
        <v>663.55271432243262</v>
      </c>
      <c r="CD44" s="62">
        <f ca="1">AVERAGE(OFFSET($CC$3,0,0,'Données projet'!$E$12+1,1))-AVERAGE(OFFSET($H$3,0,0,'Données projet'!$E$12+1,1))</f>
        <v>250.84814055099969</v>
      </c>
      <c r="CE44" s="62">
        <f t="shared" si="40"/>
        <v>226.15029417484465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145.4</v>
      </c>
      <c r="CU44" s="18">
        <f>CT44*VLOOKUP('Données projet'!$B$13,Paramètres!$A$1:$I$89,3,0)*VLOOKUP('Données projet'!$B$13,Paramètres!$A$1:$I$89,5,0)</f>
        <v>147.43560000000002</v>
      </c>
      <c r="CV44" s="14">
        <f t="shared" si="41"/>
        <v>37.99523294834102</v>
      </c>
      <c r="CW44" s="22">
        <f t="shared" si="13"/>
        <v>322.95870071836066</v>
      </c>
      <c r="CX44" s="62">
        <f t="shared" si="14"/>
        <v>616.29203405169392</v>
      </c>
      <c r="CY44" s="62">
        <f ca="1">AVERAGE(OFFSET($CX$3,0,0,'Données projet'!$E$13+1,1))-AVERAGE(OFFSET($H$3,0,0,'Données projet'!$E$13+1,1))</f>
        <v>385.00782828233201</v>
      </c>
      <c r="CZ44" s="62">
        <f t="shared" si="42"/>
        <v>216.22708298332475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309.38870746282663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</v>
      </c>
      <c r="N45" s="14">
        <f>IF('Données projet'!$A$36&gt;35,N44+M45-V44,IF(A45&lt;'Données projet'!$A$36,$K$205^A45,IF(A45='Données projet'!$A$36,'Données projet'!$B$36,N44+M45-V44)))</f>
        <v>324.00000000000028</v>
      </c>
      <c r="O45" s="14">
        <f>N45*VLOOKUP('Données projet'!$B$9,Paramètres!$A$1:$I$89,3,0)*VLOOKUP('Données projet'!$B$9,Paramètres!$A$1:$I$89,5,0)</f>
        <v>193.75200000000018</v>
      </c>
      <c r="P45" s="14">
        <f t="shared" si="33"/>
        <v>48.368520355376155</v>
      </c>
      <c r="Q45" s="22">
        <f t="shared" si="53"/>
        <v>421.69323961894708</v>
      </c>
      <c r="R45" s="62">
        <f t="shared" si="0"/>
        <v>715.02657295228039</v>
      </c>
      <c r="S45" s="62">
        <f ca="1">AVERAGE(OFFSET($R$3,0,0,'Données projet'!$E$9+1,1))-AVERAGE(OFFSET($H$3,0,0,'Données projet'!$E$9+1,1))</f>
        <v>327.17622590628559</v>
      </c>
      <c r="T45" s="62">
        <f t="shared" si="34"/>
        <v>379.61248288852113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0.95213659770116321</v>
      </c>
      <c r="AC45" s="24">
        <f t="shared" si="3"/>
        <v>0.95213659770116321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104.2</v>
      </c>
      <c r="AJ45" s="14">
        <f>AI45*VLOOKUP('Données projet'!$B$10,Paramètres!$A$1:$I$89,3,0)*VLOOKUP('Données projet'!$B$10,Paramètres!$A$1:$I$89,5,0)</f>
        <v>108.90984000000002</v>
      </c>
      <c r="AK45" s="14">
        <f t="shared" si="35"/>
        <v>29.073985674771698</v>
      </c>
      <c r="AL45" s="22">
        <f t="shared" si="4"/>
        <v>240.32182971689406</v>
      </c>
      <c r="AM45" s="62">
        <f t="shared" si="5"/>
        <v>533.65516305022743</v>
      </c>
      <c r="AN45" s="62">
        <f ca="1">AVERAGE(OFFSET($AM$3,0,0,'Données projet'!$E$10+1,1))-AVERAGE(OFFSET($H$3,0,0,'Données projet'!$E$10+1,1))</f>
        <v>276.87402314479681</v>
      </c>
      <c r="AO45" s="62">
        <f t="shared" si="36"/>
        <v>125.27302863901997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5.1799999999999953</v>
      </c>
      <c r="BD45" s="13">
        <f>IF('Données projet'!$A$88&gt;35,BD44+BC45-BL44,IF(A45&lt;'Données projet'!$A$88,$BA$205^A45,IF(A45='Données projet'!$A$88,'Données projet'!$B$88,BD44+BC45-BL44)))</f>
        <v>182.96000000000012</v>
      </c>
      <c r="BE45" s="14">
        <f>BD45*VLOOKUP('Données projet'!$B$11,Paramètres!$A$1:$I$89,3,0)*VLOOKUP('Données projet'!$B$11,Paramètres!$A$1:$I$89,5,0)</f>
        <v>148.41715200000013</v>
      </c>
      <c r="BF45" s="14">
        <f t="shared" si="37"/>
        <v>38.218655947838265</v>
      </c>
      <c r="BG45" s="22">
        <f t="shared" si="7"/>
        <v>325.05736550915185</v>
      </c>
      <c r="BH45" s="62">
        <f t="shared" si="8"/>
        <v>618.39069884248511</v>
      </c>
      <c r="BI45" s="62">
        <f ca="1">AVERAGE(OFFSET($BH$3,0,0,'Données projet'!$E$11+1,1))-AVERAGE(OFFSET($H$3,0,0,'Données projet'!$E$11+1,1))</f>
        <v>236.29093866505224</v>
      </c>
      <c r="BJ45" s="62">
        <f t="shared" si="38"/>
        <v>258.22911730540892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11.9</v>
      </c>
      <c r="BY45" s="13">
        <f>IF('Données projet'!$A$114&gt;35,BY44+BX45-CG44,IF(A45&lt;'Données projet'!$A$114,$BV$205^A45,IF(A45='Données projet'!$A$114,'Données projet'!$B$114,BY44+BX45-CG44)))</f>
        <v>229.30000000000004</v>
      </c>
      <c r="BZ45" s="14">
        <f>BY45*VLOOKUP('Données projet'!$B$12,Paramètres!$A$1:$I$89,3,0)*VLOOKUP('Données projet'!$B$12,Paramètres!$A$1:$I$89,5,0)</f>
        <v>178.85400000000004</v>
      </c>
      <c r="CA45" s="14">
        <f t="shared" si="39"/>
        <v>45.067127581452645</v>
      </c>
      <c r="CB45" s="22">
        <f t="shared" si="10"/>
        <v>389.99596387103003</v>
      </c>
      <c r="CC45" s="62">
        <f t="shared" si="11"/>
        <v>683.32929720436334</v>
      </c>
      <c r="CD45" s="62">
        <f ca="1">AVERAGE(OFFSET($CC$3,0,0,'Données projet'!$E$12+1,1))-AVERAGE(OFFSET($H$3,0,0,'Données projet'!$E$12+1,1))</f>
        <v>250.84814055099969</v>
      </c>
      <c r="CE45" s="62">
        <f t="shared" si="40"/>
        <v>226.15029417484465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153.80000000000001</v>
      </c>
      <c r="CU45" s="18">
        <f>CT45*VLOOKUP('Données projet'!$B$13,Paramètres!$A$1:$I$89,3,0)*VLOOKUP('Données projet'!$B$13,Paramètres!$A$1:$I$89,5,0)</f>
        <v>155.95320000000004</v>
      </c>
      <c r="CV45" s="14">
        <f t="shared" si="41"/>
        <v>39.928391937903875</v>
      </c>
      <c r="CW45" s="22">
        <f t="shared" si="13"/>
        <v>341.16043929184929</v>
      </c>
      <c r="CX45" s="62">
        <f t="shared" si="14"/>
        <v>634.4937726251826</v>
      </c>
      <c r="CY45" s="62">
        <f ca="1">AVERAGE(OFFSET($CX$3,0,0,'Données projet'!$E$13+1,1))-AVERAGE(OFFSET($H$3,0,0,'Données projet'!$E$13+1,1))</f>
        <v>385.00782828233201</v>
      </c>
      <c r="CZ45" s="62">
        <f t="shared" si="42"/>
        <v>216.22708298332475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310.608199983867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</v>
      </c>
      <c r="N46" s="14">
        <f>IF('Données projet'!$A$36&gt;35,N45+M46-V45,IF(A46&lt;'Données projet'!$A$36,$K$205^A46,IF(A46='Données projet'!$A$36,'Données projet'!$B$36,N45+M46-V45)))</f>
        <v>344.00000000000028</v>
      </c>
      <c r="O46" s="14">
        <f>N46*VLOOKUP('Données projet'!$B$9,Paramètres!$A$1:$I$89,3,0)*VLOOKUP('Données projet'!$B$9,Paramètres!$A$1:$I$89,5,0)</f>
        <v>205.71200000000022</v>
      </c>
      <c r="P46" s="14">
        <f t="shared" si="33"/>
        <v>50.997427696933805</v>
      </c>
      <c r="Q46" s="22">
        <f t="shared" si="53"/>
        <v>447.10225323882673</v>
      </c>
      <c r="R46" s="62">
        <f t="shared" si="0"/>
        <v>740.43558657215999</v>
      </c>
      <c r="S46" s="62">
        <f ca="1">AVERAGE(OFFSET($R$3,0,0,'Données projet'!$E$9+1,1))-AVERAGE(OFFSET($H$3,0,0,'Données projet'!$E$9+1,1))</f>
        <v>327.17622590628559</v>
      </c>
      <c r="T46" s="62">
        <f t="shared" si="34"/>
        <v>379.61248288852113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0.67326224485038033</v>
      </c>
      <c r="AC46" s="24">
        <f t="shared" si="3"/>
        <v>0.67326224485038033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109.8</v>
      </c>
      <c r="AJ46" s="14">
        <f>AI46*VLOOKUP('Données projet'!$B$10,Paramètres!$A$1:$I$89,3,0)*VLOOKUP('Données projet'!$B$10,Paramètres!$A$1:$I$89,5,0)</f>
        <v>114.76296000000001</v>
      </c>
      <c r="AK46" s="14">
        <f t="shared" si="35"/>
        <v>30.450391685635733</v>
      </c>
      <c r="AL46" s="22">
        <f t="shared" si="4"/>
        <v>252.91325418581553</v>
      </c>
      <c r="AM46" s="62">
        <f t="shared" si="5"/>
        <v>546.24658751914887</v>
      </c>
      <c r="AN46" s="62">
        <f ca="1">AVERAGE(OFFSET($AM$3,0,0,'Données projet'!$E$10+1,1))-AVERAGE(OFFSET($H$3,0,0,'Données projet'!$E$10+1,1))</f>
        <v>276.87402314479681</v>
      </c>
      <c r="AO46" s="62">
        <f t="shared" si="36"/>
        <v>125.27302863901997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5.1799999999999953</v>
      </c>
      <c r="BD46" s="13">
        <f>IF('Données projet'!$A$88&gt;35,BD45+BC46-BL45,IF(A46&lt;'Données projet'!$A$88,$BA$205^A46,IF(A46='Données projet'!$A$88,'Données projet'!$B$88,BD45+BC46-BL45)))</f>
        <v>188.14000000000013</v>
      </c>
      <c r="BE46" s="14">
        <f>BD46*VLOOKUP('Données projet'!$B$11,Paramètres!$A$1:$I$89,3,0)*VLOOKUP('Données projet'!$B$11,Paramètres!$A$1:$I$89,5,0)</f>
        <v>152.61916800000012</v>
      </c>
      <c r="BF46" s="14">
        <f t="shared" si="37"/>
        <v>39.173199961940988</v>
      </c>
      <c r="BG46" s="22">
        <f t="shared" si="7"/>
        <v>334.0383742003807</v>
      </c>
      <c r="BH46" s="62">
        <f t="shared" si="8"/>
        <v>627.37170753371402</v>
      </c>
      <c r="BI46" s="62">
        <f ca="1">AVERAGE(OFFSET($BH$3,0,0,'Données projet'!$E$11+1,1))-AVERAGE(OFFSET($H$3,0,0,'Données projet'!$E$11+1,1))</f>
        <v>236.29093866505224</v>
      </c>
      <c r="BJ46" s="62">
        <f t="shared" si="38"/>
        <v>258.22911730540892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11.9</v>
      </c>
      <c r="BY46" s="13">
        <f>IF('Données projet'!$A$114&gt;35,BY45+BX46-CG45,IF(A46&lt;'Données projet'!$A$114,$BV$205^A46,IF(A46='Données projet'!$A$114,'Données projet'!$B$114,BY45+BX46-CG45)))</f>
        <v>241.20000000000005</v>
      </c>
      <c r="BZ46" s="14">
        <f>BY46*VLOOKUP('Données projet'!$B$12,Paramètres!$A$1:$I$89,3,0)*VLOOKUP('Données projet'!$B$12,Paramètres!$A$1:$I$89,5,0)</f>
        <v>188.13600000000005</v>
      </c>
      <c r="CA46" s="14">
        <f t="shared" si="39"/>
        <v>47.127612753105332</v>
      </c>
      <c r="CB46" s="22">
        <f t="shared" si="10"/>
        <v>409.75079221165856</v>
      </c>
      <c r="CC46" s="62">
        <f t="shared" si="11"/>
        <v>703.08412554499182</v>
      </c>
      <c r="CD46" s="62">
        <f ca="1">AVERAGE(OFFSET($CC$3,0,0,'Données projet'!$E$12+1,1))-AVERAGE(OFFSET($H$3,0,0,'Données projet'!$E$12+1,1))</f>
        <v>250.84814055099969</v>
      </c>
      <c r="CE46" s="62">
        <f t="shared" si="40"/>
        <v>226.15029417484465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162.20000000000002</v>
      </c>
      <c r="CU46" s="18">
        <f>CT46*VLOOKUP('Données projet'!$B$13,Paramètres!$A$1:$I$89,3,0)*VLOOKUP('Données projet'!$B$13,Paramètres!$A$1:$I$89,5,0)</f>
        <v>164.47080000000003</v>
      </c>
      <c r="CV46" s="14">
        <f t="shared" si="41"/>
        <v>41.849293714451377</v>
      </c>
      <c r="CW46" s="22">
        <f t="shared" si="13"/>
        <v>359.34082988600284</v>
      </c>
      <c r="CX46" s="62">
        <f t="shared" si="14"/>
        <v>652.67416321933615</v>
      </c>
      <c r="CY46" s="62">
        <f ca="1">AVERAGE(OFFSET($CX$3,0,0,'Données projet'!$E$13+1,1))-AVERAGE(OFFSET($H$3,0,0,'Données projet'!$E$13+1,1))</f>
        <v>385.00782828233201</v>
      </c>
      <c r="CZ46" s="62">
        <f t="shared" si="42"/>
        <v>216.22708298332475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311.82696648039632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</v>
      </c>
      <c r="N47" s="14">
        <f>IF('Données projet'!$A$36&gt;35,N46+M47-V46,IF(A47&lt;'Données projet'!$A$36,$K$205^A47,IF(A47='Données projet'!$A$36,'Données projet'!$B$36,N46+M47-V46)))</f>
        <v>364.00000000000028</v>
      </c>
      <c r="O47" s="14">
        <f>N47*VLOOKUP('Données projet'!$B$9,Paramètres!$A$1:$I$89,3,0)*VLOOKUP('Données projet'!$B$9,Paramètres!$A$1:$I$89,5,0)</f>
        <v>217.6720000000002</v>
      </c>
      <c r="P47" s="14">
        <f t="shared" si="33"/>
        <v>53.60859357546007</v>
      </c>
      <c r="Q47" s="22">
        <f t="shared" si="53"/>
        <v>472.48036714392669</v>
      </c>
      <c r="R47" s="62">
        <f t="shared" si="0"/>
        <v>765.81370047726</v>
      </c>
      <c r="S47" s="62">
        <f ca="1">AVERAGE(OFFSET($R$3,0,0,'Données projet'!$E$9+1,1))-AVERAGE(OFFSET($H$3,0,0,'Données projet'!$E$9+1,1))</f>
        <v>327.17622590628559</v>
      </c>
      <c r="T47" s="62">
        <f t="shared" si="34"/>
        <v>379.61248288852113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0.47606829885058172</v>
      </c>
      <c r="AC47" s="24">
        <f t="shared" si="3"/>
        <v>0.47606829885058172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115.39999999999999</v>
      </c>
      <c r="AJ47" s="14">
        <f>AI47*VLOOKUP('Données projet'!$B$10,Paramètres!$A$1:$I$89,3,0)*VLOOKUP('Données projet'!$B$10,Paramètres!$A$1:$I$89,5,0)</f>
        <v>120.61608</v>
      </c>
      <c r="AK47" s="14">
        <f t="shared" si="35"/>
        <v>31.818646984184912</v>
      </c>
      <c r="AL47" s="22">
        <f t="shared" si="4"/>
        <v>265.49048283078872</v>
      </c>
      <c r="AM47" s="62">
        <f t="shared" si="5"/>
        <v>558.82381616412204</v>
      </c>
      <c r="AN47" s="62">
        <f ca="1">AVERAGE(OFFSET($AM$3,0,0,'Données projet'!$E$10+1,1))-AVERAGE(OFFSET($H$3,0,0,'Données projet'!$E$10+1,1))</f>
        <v>276.87402314479681</v>
      </c>
      <c r="AO47" s="62">
        <f t="shared" si="36"/>
        <v>125.27302863901997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5.1799999999999953</v>
      </c>
      <c r="BD47" s="13">
        <f>IF('Données projet'!$A$88&gt;35,BD46+BC47-BL46,IF(A47&lt;'Données projet'!$A$88,$BA$205^A47,IF(A47='Données projet'!$A$88,'Données projet'!$B$88,BD46+BC47-BL46)))</f>
        <v>193.32000000000014</v>
      </c>
      <c r="BE47" s="14">
        <f>BD47*VLOOKUP('Données projet'!$B$11,Paramètres!$A$1:$I$89,3,0)*VLOOKUP('Données projet'!$B$11,Paramètres!$A$1:$I$89,5,0)</f>
        <v>156.82118400000013</v>
      </c>
      <c r="BF47" s="14">
        <f t="shared" si="37"/>
        <v>40.124689337590425</v>
      </c>
      <c r="BG47" s="22">
        <f t="shared" si="7"/>
        <v>343.01406272963686</v>
      </c>
      <c r="BH47" s="62">
        <f t="shared" si="8"/>
        <v>636.34739606297012</v>
      </c>
      <c r="BI47" s="62">
        <f ca="1">AVERAGE(OFFSET($BH$3,0,0,'Données projet'!$E$11+1,1))-AVERAGE(OFFSET($H$3,0,0,'Données projet'!$E$11+1,1))</f>
        <v>236.29093866505224</v>
      </c>
      <c r="BJ47" s="62">
        <f t="shared" si="38"/>
        <v>258.22911730540892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11.9</v>
      </c>
      <c r="BY47" s="13">
        <f>IF('Données projet'!$A$114&gt;35,BY46+BX47-CG46,IF(A47&lt;'Données projet'!$A$114,$BV$205^A47,IF(A47='Données projet'!$A$114,'Données projet'!$B$114,BY46+BX47-CG46)))</f>
        <v>253.10000000000005</v>
      </c>
      <c r="BZ47" s="14">
        <f>BY47*VLOOKUP('Données projet'!$B$12,Paramètres!$A$1:$I$89,3,0)*VLOOKUP('Données projet'!$B$12,Paramètres!$A$1:$I$89,5,0)</f>
        <v>197.41800000000003</v>
      </c>
      <c r="CA47" s="14">
        <f t="shared" si="39"/>
        <v>49.176293855374077</v>
      </c>
      <c r="CB47" s="22">
        <f t="shared" si="10"/>
        <v>429.48506179810988</v>
      </c>
      <c r="CC47" s="62">
        <f t="shared" si="11"/>
        <v>722.81839513144314</v>
      </c>
      <c r="CD47" s="62">
        <f ca="1">AVERAGE(OFFSET($CC$3,0,0,'Données projet'!$E$12+1,1))-AVERAGE(OFFSET($H$3,0,0,'Données projet'!$E$12+1,1))</f>
        <v>250.84814055099969</v>
      </c>
      <c r="CE47" s="62">
        <f t="shared" si="40"/>
        <v>226.15029417484465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170.60000000000002</v>
      </c>
      <c r="CU47" s="18">
        <f>CT47*VLOOKUP('Données projet'!$B$13,Paramètres!$A$1:$I$89,3,0)*VLOOKUP('Données projet'!$B$13,Paramètres!$A$1:$I$89,5,0)</f>
        <v>172.98840000000004</v>
      </c>
      <c r="CV47" s="14">
        <f t="shared" si="41"/>
        <v>43.758645457754092</v>
      </c>
      <c r="CW47" s="22">
        <f t="shared" si="13"/>
        <v>377.50110417225505</v>
      </c>
      <c r="CX47" s="62">
        <f t="shared" si="14"/>
        <v>670.83443750558831</v>
      </c>
      <c r="CY47" s="62">
        <f ca="1">AVERAGE(OFFSET($CX$3,0,0,'Données projet'!$E$13+1,1))-AVERAGE(OFFSET($H$3,0,0,'Données projet'!$E$13+1,1))</f>
        <v>385.00782828233201</v>
      </c>
      <c r="CZ47" s="62">
        <f t="shared" si="42"/>
        <v>216.22708298332475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313.04502535249287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384</v>
      </c>
      <c r="L48" s="13">
        <f>VLOOKUP(A48,'Données projet'!$A$35:$I$55,9,0)</f>
        <v>20</v>
      </c>
      <c r="M48" s="13">
        <f t="array" ref="M48">INDEX(L:L,MIN(IF(ISNUMBER(L48:L244),ROW(L48:L244),"")))</f>
        <v>20</v>
      </c>
      <c r="N48" s="14">
        <f>IF('Données projet'!$A$36&gt;35,N47+M48-V47,IF(A48&lt;'Données projet'!$A$36,$K$205^A48,IF(A48='Données projet'!$A$36,'Données projet'!$B$36,N47+M48-V47)))</f>
        <v>384.00000000000028</v>
      </c>
      <c r="O48" s="14">
        <f>N48*VLOOKUP('Données projet'!$B$9,Paramètres!$A$1:$I$89,3,0)*VLOOKUP('Données projet'!$B$9,Paramètres!$A$1:$I$89,5,0)</f>
        <v>229.63200000000018</v>
      </c>
      <c r="P48" s="14">
        <f t="shared" si="33"/>
        <v>56.20310391330672</v>
      </c>
      <c r="Q48" s="22">
        <f t="shared" si="53"/>
        <v>497.82947264900946</v>
      </c>
      <c r="R48" s="62">
        <f t="shared" si="0"/>
        <v>791.16280598234277</v>
      </c>
      <c r="S48" s="62">
        <f ca="1">AVERAGE(OFFSET($R$3,0,0,'Données projet'!$E$9+1,1))-AVERAGE(OFFSET($H$3,0,0,'Données projet'!$E$9+1,1))</f>
        <v>327.17622590628559</v>
      </c>
      <c r="T48" s="62">
        <f t="shared" si="34"/>
        <v>379.61248288852113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0.33663112242519022</v>
      </c>
      <c r="AC48" s="24">
        <f t="shared" si="3"/>
        <v>0.33663112242519022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121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120.99999999999999</v>
      </c>
      <c r="AJ48" s="14">
        <f>AI48*VLOOKUP('Données projet'!$B$10,Paramètres!$A$1:$I$89,3,0)*VLOOKUP('Données projet'!$B$10,Paramètres!$A$1:$I$89,5,0)</f>
        <v>126.4692</v>
      </c>
      <c r="AK48" s="14">
        <f t="shared" si="35"/>
        <v>33.17919224765545</v>
      </c>
      <c r="AL48" s="22">
        <f t="shared" si="4"/>
        <v>278.05428316466657</v>
      </c>
      <c r="AM48" s="62">
        <f t="shared" si="5"/>
        <v>571.38761649799994</v>
      </c>
      <c r="AN48" s="62">
        <f ca="1">AVERAGE(OFFSET($AM$3,0,0,'Données projet'!$E$10+1,1))-AVERAGE(OFFSET($H$3,0,0,'Données projet'!$E$10+1,1))</f>
        <v>276.87402314479681</v>
      </c>
      <c r="AO48" s="62">
        <f t="shared" si="36"/>
        <v>125.27302863901997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198.5</v>
      </c>
      <c r="BB48" s="13">
        <f>VLOOKUP(A48,'Données projet'!$A$87:$I$107,9,0)</f>
        <v>5.1799999999999953</v>
      </c>
      <c r="BC48" s="13">
        <f t="array" ref="BC48">INDEX(BB:BB,MIN(IF(ISNUMBER(BB48:BB244),ROW(BB48:BB244),"")))</f>
        <v>5.1799999999999953</v>
      </c>
      <c r="BD48" s="13">
        <f>IF('Données projet'!$A$88&gt;35,BD47+BC48-BL47,IF(A48&lt;'Données projet'!$A$88,$BA$205^A48,IF(A48='Données projet'!$A$88,'Données projet'!$B$88,BD47+BC48-BL47)))</f>
        <v>198.50000000000014</v>
      </c>
      <c r="BE48" s="14">
        <f>BD48*VLOOKUP('Données projet'!$B$11,Paramètres!$A$1:$I$89,3,0)*VLOOKUP('Données projet'!$B$11,Paramètres!$A$1:$I$89,5,0)</f>
        <v>161.02320000000014</v>
      </c>
      <c r="BF48" s="14">
        <f t="shared" si="37"/>
        <v>41.073215330646072</v>
      </c>
      <c r="BG48" s="22">
        <f t="shared" si="7"/>
        <v>351.98459003420879</v>
      </c>
      <c r="BH48" s="62">
        <f t="shared" si="8"/>
        <v>645.31792336754211</v>
      </c>
      <c r="BI48" s="62">
        <f ca="1">AVERAGE(OFFSET($BH$3,0,0,'Données projet'!$E$11+1,1))-AVERAGE(OFFSET($H$3,0,0,'Données projet'!$E$11+1,1))</f>
        <v>236.29093866505224</v>
      </c>
      <c r="BJ48" s="62">
        <f t="shared" si="38"/>
        <v>258.22911730540892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265</v>
      </c>
      <c r="BW48" s="13">
        <f>VLOOKUP(A48,'Données projet'!$A$113:$I$133,9,0)</f>
        <v>11.9</v>
      </c>
      <c r="BX48" s="13">
        <f t="array" ref="BX48">INDEX(BW:BW,MIN(IF(ISNUMBER(BW48:BW244),ROW(BW48:BW244),"")))</f>
        <v>11.9</v>
      </c>
      <c r="BY48" s="13">
        <f>IF('Données projet'!$A$114&gt;35,BY47+BX48-CG47,IF(A48&lt;'Données projet'!$A$114,$BV$205^A48,IF(A48='Données projet'!$A$114,'Données projet'!$B$114,BY47+BX48-CG47)))</f>
        <v>265.00000000000006</v>
      </c>
      <c r="BZ48" s="14">
        <f>BY48*VLOOKUP('Données projet'!$B$12,Paramètres!$A$1:$I$89,3,0)*VLOOKUP('Données projet'!$B$12,Paramètres!$A$1:$I$89,5,0)</f>
        <v>206.70000000000005</v>
      </c>
      <c r="CA48" s="14">
        <f t="shared" si="39"/>
        <v>51.213789254671468</v>
      </c>
      <c r="CB48" s="22">
        <f t="shared" si="10"/>
        <v>449.19984961855289</v>
      </c>
      <c r="CC48" s="62">
        <f t="shared" si="11"/>
        <v>742.53318295188615</v>
      </c>
      <c r="CD48" s="62">
        <f ca="1">AVERAGE(OFFSET($CC$3,0,0,'Données projet'!$E$12+1,1))-AVERAGE(OFFSET($H$3,0,0,'Données projet'!$E$12+1,1))</f>
        <v>250.84814055099969</v>
      </c>
      <c r="CE48" s="62">
        <f t="shared" si="40"/>
        <v>226.15029417484465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63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179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179.00000000000003</v>
      </c>
      <c r="CU48" s="18">
        <f>CT48*VLOOKUP('Données projet'!$B$13,Paramètres!$A$1:$I$89,3,0)*VLOOKUP('Données projet'!$B$13,Paramètres!$A$1:$I$89,5,0)</f>
        <v>181.50600000000003</v>
      </c>
      <c r="CV48" s="14">
        <f t="shared" si="41"/>
        <v>45.657080773122978</v>
      </c>
      <c r="CW48" s="22">
        <f t="shared" si="13"/>
        <v>395.64236567985586</v>
      </c>
      <c r="CX48" s="62">
        <f t="shared" si="14"/>
        <v>688.97569901318911</v>
      </c>
      <c r="CY48" s="62">
        <f ca="1">AVERAGE(OFFSET($CX$3,0,0,'Données projet'!$E$13+1,1))-AVERAGE(OFFSET($H$3,0,0,'Données projet'!$E$13+1,1))</f>
        <v>385.00782828233201</v>
      </c>
      <c r="CZ48" s="62">
        <f t="shared" si="42"/>
        <v>216.22708298332475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42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314.26239413576309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401.40000000000026</v>
      </c>
      <c r="O49" s="14">
        <f>N49*VLOOKUP('Données projet'!$B$9,Paramètres!$A$1:$I$89,3,0)*VLOOKUP('Données projet'!$B$9,Paramètres!$A$1:$I$89,5,0)</f>
        <v>240.03720000000015</v>
      </c>
      <c r="P49" s="14">
        <f t="shared" si="33"/>
        <v>58.447534171232547</v>
      </c>
      <c r="Q49" s="22">
        <f t="shared" si="53"/>
        <v>519.86091201489705</v>
      </c>
      <c r="R49" s="62">
        <f t="shared" si="0"/>
        <v>813.19424534823042</v>
      </c>
      <c r="S49" s="62">
        <f ca="1">AVERAGE(OFFSET($R$3,0,0,'Données projet'!$E$9+1,1))-AVERAGE(OFFSET($H$3,0,0,'Données projet'!$E$9+1,1))</f>
        <v>327.17622590628559</v>
      </c>
      <c r="T49" s="62">
        <f t="shared" si="34"/>
        <v>379.61248288852113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0.23803414942529089</v>
      </c>
      <c r="AC49" s="24">
        <f t="shared" si="3"/>
        <v>0.23803414942529089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103.05672</v>
      </c>
      <c r="AK49" s="14">
        <f t="shared" si="35"/>
        <v>27.688937926000623</v>
      </c>
      <c r="AL49" s="22">
        <f t="shared" si="4"/>
        <v>227.71535422111776</v>
      </c>
      <c r="AM49" s="62">
        <f t="shared" si="5"/>
        <v>521.04868755445113</v>
      </c>
      <c r="AN49" s="62">
        <f ca="1">AVERAGE(OFFSET($AM$3,0,0,'Données projet'!$E$10+1,1))-AVERAGE(OFFSET($H$3,0,0,'Données projet'!$E$10+1,1))</f>
        <v>276.87402314479681</v>
      </c>
      <c r="AO49" s="62">
        <f t="shared" si="36"/>
        <v>125.27302863901997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4.3800000000000008</v>
      </c>
      <c r="BD49" s="13">
        <f>IF('Données projet'!$A$88&gt;35,BD48+BC49-BL48,IF(A49&lt;'Données projet'!$A$88,$BA$205^A49,IF(A49='Données projet'!$A$88,'Données projet'!$B$88,BD48+BC49-BL48)))</f>
        <v>202.88000000000014</v>
      </c>
      <c r="BE49" s="14">
        <f>BD49*VLOOKUP('Données projet'!$B$11,Paramètres!$A$1:$I$89,3,0)*VLOOKUP('Données projet'!$B$11,Paramètres!$A$1:$I$89,5,0)</f>
        <v>164.57625600000011</v>
      </c>
      <c r="BF49" s="14">
        <f t="shared" si="37"/>
        <v>41.873002544663343</v>
      </c>
      <c r="BG49" s="22">
        <f t="shared" si="7"/>
        <v>359.56579196528884</v>
      </c>
      <c r="BH49" s="62">
        <f t="shared" si="8"/>
        <v>652.89912529862215</v>
      </c>
      <c r="BI49" s="62">
        <f ca="1">AVERAGE(OFFSET($BH$3,0,0,'Données projet'!$E$11+1,1))-AVERAGE(OFFSET($H$3,0,0,'Données projet'!$E$11+1,1))</f>
        <v>236.29093866505224</v>
      </c>
      <c r="BJ49" s="62">
        <f t="shared" si="38"/>
        <v>258.22911730540892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9.1999999999999993</v>
      </c>
      <c r="BY49" s="13">
        <f>IF('Données projet'!$A$114&gt;35,BY48+BX49-CG48,IF(A49&lt;'Données projet'!$A$114,$BV$205^A49,IF(A49='Données projet'!$A$114,'Données projet'!$B$114,BY48+BX49-CG48)))</f>
        <v>211.20000000000005</v>
      </c>
      <c r="BZ49" s="14">
        <f>BY49*VLOOKUP('Données projet'!$B$12,Paramètres!$A$1:$I$89,3,0)*VLOOKUP('Données projet'!$B$12,Paramètres!$A$1:$I$89,5,0)</f>
        <v>164.73600000000005</v>
      </c>
      <c r="CA49" s="14">
        <f t="shared" si="39"/>
        <v>41.908913144700328</v>
      </c>
      <c r="CB49" s="22">
        <f t="shared" si="10"/>
        <v>359.90655706035312</v>
      </c>
      <c r="CC49" s="62">
        <f t="shared" si="11"/>
        <v>653.23989039368644</v>
      </c>
      <c r="CD49" s="62">
        <f ca="1">AVERAGE(OFFSET($CC$3,0,0,'Données projet'!$E$12+1,1))-AVERAGE(OFFSET($H$3,0,0,'Données projet'!$E$12+1,1))</f>
        <v>250.84814055099969</v>
      </c>
      <c r="CE49" s="62">
        <f t="shared" si="40"/>
        <v>226.15029417484465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145.20000000000002</v>
      </c>
      <c r="CU49" s="18">
        <f>CT49*VLOOKUP('Données projet'!$B$13,Paramètres!$A$1:$I$89,3,0)*VLOOKUP('Données projet'!$B$13,Paramètres!$A$1:$I$89,5,0)</f>
        <v>147.23280000000003</v>
      </c>
      <c r="CV49" s="14">
        <f t="shared" si="41"/>
        <v>37.949049623906205</v>
      </c>
      <c r="CW49" s="22">
        <f t="shared" si="13"/>
        <v>322.52505476163668</v>
      </c>
      <c r="CX49" s="62">
        <f t="shared" si="14"/>
        <v>615.85838809497</v>
      </c>
      <c r="CY49" s="62">
        <f ca="1">AVERAGE(OFFSET($CX$3,0,0,'Données projet'!$E$13+1,1))-AVERAGE(OFFSET($H$3,0,0,'Données projet'!$E$13+1,1))</f>
        <v>385.00782828233201</v>
      </c>
      <c r="CZ49" s="62">
        <f t="shared" si="42"/>
        <v>216.22708298332475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315.47908955985213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418.80000000000024</v>
      </c>
      <c r="O50" s="14">
        <f>N50*VLOOKUP('Données projet'!$B$9,Paramètres!$A$1:$I$89,3,0)*VLOOKUP('Données projet'!$B$9,Paramètres!$A$1:$I$89,5,0)</f>
        <v>250.44240000000016</v>
      </c>
      <c r="P50" s="14">
        <f t="shared" si="33"/>
        <v>60.680664403704668</v>
      </c>
      <c r="Q50" s="22">
        <f t="shared" si="53"/>
        <v>541.87267050311914</v>
      </c>
      <c r="R50" s="62">
        <f t="shared" si="0"/>
        <v>835.20600383645251</v>
      </c>
      <c r="S50" s="62">
        <f ca="1">AVERAGE(OFFSET($R$3,0,0,'Données projet'!$E$9+1,1))-AVERAGE(OFFSET($H$3,0,0,'Données projet'!$E$9+1,1))</f>
        <v>327.17622590628559</v>
      </c>
      <c r="T50" s="62">
        <f t="shared" si="34"/>
        <v>379.61248288852113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0.16831556121259514</v>
      </c>
      <c r="AC50" s="24">
        <f t="shared" si="3"/>
        <v>0.16831556121259514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108.90983999999999</v>
      </c>
      <c r="AK50" s="14">
        <f t="shared" si="35"/>
        <v>29.073985674771674</v>
      </c>
      <c r="AL50" s="22">
        <f t="shared" si="4"/>
        <v>240.32182971689394</v>
      </c>
      <c r="AM50" s="62">
        <f t="shared" si="5"/>
        <v>533.6551630502272</v>
      </c>
      <c r="AN50" s="62">
        <f ca="1">AVERAGE(OFFSET($AM$3,0,0,'Données projet'!$E$10+1,1))-AVERAGE(OFFSET($H$3,0,0,'Données projet'!$E$10+1,1))</f>
        <v>276.87402314479681</v>
      </c>
      <c r="AO50" s="62">
        <f t="shared" si="36"/>
        <v>125.27302863901997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4.3800000000000008</v>
      </c>
      <c r="BD50" s="13">
        <f>IF('Données projet'!$A$88&gt;35,BD49+BC50-BL49,IF(A50&lt;'Données projet'!$A$88,$BA$205^A50,IF(A50='Données projet'!$A$88,'Données projet'!$B$88,BD49+BC50-BL49)))</f>
        <v>207.26000000000013</v>
      </c>
      <c r="BE50" s="14">
        <f>BD50*VLOOKUP('Données projet'!$B$11,Paramètres!$A$1:$I$89,3,0)*VLOOKUP('Données projet'!$B$11,Paramètres!$A$1:$I$89,5,0)</f>
        <v>168.12931200000011</v>
      </c>
      <c r="BF50" s="14">
        <f t="shared" si="37"/>
        <v>42.670782273252868</v>
      </c>
      <c r="BG50" s="22">
        <f t="shared" si="7"/>
        <v>367.14349752591556</v>
      </c>
      <c r="BH50" s="62">
        <f t="shared" si="8"/>
        <v>660.47683085924882</v>
      </c>
      <c r="BI50" s="62">
        <f ca="1">AVERAGE(OFFSET($BH$3,0,0,'Données projet'!$E$11+1,1))-AVERAGE(OFFSET($H$3,0,0,'Données projet'!$E$11+1,1))</f>
        <v>236.29093866505224</v>
      </c>
      <c r="BJ50" s="62">
        <f t="shared" si="38"/>
        <v>258.22911730540892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9.1999999999999993</v>
      </c>
      <c r="BY50" s="13">
        <f>IF('Données projet'!$A$114&gt;35,BY49+BX50-CG49,IF(A50&lt;'Données projet'!$A$114,$BV$205^A50,IF(A50='Données projet'!$A$114,'Données projet'!$B$114,BY49+BX50-CG49)))</f>
        <v>220.40000000000003</v>
      </c>
      <c r="BZ50" s="14">
        <f>BY50*VLOOKUP('Données projet'!$B$12,Paramètres!$A$1:$I$89,3,0)*VLOOKUP('Données projet'!$B$12,Paramètres!$A$1:$I$89,5,0)</f>
        <v>171.91200000000003</v>
      </c>
      <c r="CA50" s="14">
        <f t="shared" si="39"/>
        <v>43.517968841037288</v>
      </c>
      <c r="CB50" s="22">
        <f t="shared" si="10"/>
        <v>375.20719573147335</v>
      </c>
      <c r="CC50" s="62">
        <f t="shared" si="11"/>
        <v>668.54052906480661</v>
      </c>
      <c r="CD50" s="62">
        <f ca="1">AVERAGE(OFFSET($CC$3,0,0,'Données projet'!$E$12+1,1))-AVERAGE(OFFSET($H$3,0,0,'Données projet'!$E$12+1,1))</f>
        <v>250.84814055099969</v>
      </c>
      <c r="CE50" s="62">
        <f t="shared" si="40"/>
        <v>226.15029417484465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153.4</v>
      </c>
      <c r="CU50" s="18">
        <f>CT50*VLOOKUP('Données projet'!$B$13,Paramètres!$A$1:$I$89,3,0)*VLOOKUP('Données projet'!$B$13,Paramètres!$A$1:$I$89,5,0)</f>
        <v>155.54760000000002</v>
      </c>
      <c r="CV50" s="14">
        <f t="shared" si="41"/>
        <v>39.836620617816237</v>
      </c>
      <c r="CW50" s="22">
        <f t="shared" si="13"/>
        <v>340.29418424269664</v>
      </c>
      <c r="CX50" s="62">
        <f t="shared" si="14"/>
        <v>633.62751757602996</v>
      </c>
      <c r="CY50" s="62">
        <f ca="1">AVERAGE(OFFSET($CX$3,0,0,'Données projet'!$E$13+1,1))-AVERAGE(OFFSET($H$3,0,0,'Données projet'!$E$13+1,1))</f>
        <v>385.00782828233201</v>
      </c>
      <c r="CZ50" s="62">
        <f t="shared" si="42"/>
        <v>216.22708298332475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316.69512760183437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436.20000000000022</v>
      </c>
      <c r="O51" s="14">
        <f>N51*VLOOKUP('Données projet'!$B$9,Paramètres!$A$1:$I$89,3,0)*VLOOKUP('Données projet'!$B$9,Paramètres!$A$1:$I$89,5,0)</f>
        <v>260.84760000000011</v>
      </c>
      <c r="P51" s="14">
        <f t="shared" si="33"/>
        <v>62.903017785733759</v>
      </c>
      <c r="Q51" s="22">
        <f t="shared" si="53"/>
        <v>563.86565931015309</v>
      </c>
      <c r="R51" s="62">
        <f t="shared" si="0"/>
        <v>857.19899264348646</v>
      </c>
      <c r="S51" s="62">
        <f ca="1">AVERAGE(OFFSET($R$3,0,0,'Données projet'!$E$9+1,1))-AVERAGE(OFFSET($H$3,0,0,'Données projet'!$E$9+1,1))</f>
        <v>327.17622590628559</v>
      </c>
      <c r="T51" s="62">
        <f t="shared" si="34"/>
        <v>379.61248288852113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0.11901707471264547</v>
      </c>
      <c r="AC51" s="24">
        <f t="shared" si="3"/>
        <v>0.11901707471264547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114.76295999999999</v>
      </c>
      <c r="AK51" s="14">
        <f t="shared" si="35"/>
        <v>30.450391685635733</v>
      </c>
      <c r="AL51" s="22">
        <f t="shared" si="4"/>
        <v>252.91325418581553</v>
      </c>
      <c r="AM51" s="62">
        <f t="shared" si="5"/>
        <v>546.24658751914887</v>
      </c>
      <c r="AN51" s="62">
        <f ca="1">AVERAGE(OFFSET($AM$3,0,0,'Données projet'!$E$10+1,1))-AVERAGE(OFFSET($H$3,0,0,'Données projet'!$E$10+1,1))</f>
        <v>276.87402314479681</v>
      </c>
      <c r="AO51" s="62">
        <f t="shared" si="36"/>
        <v>125.27302863901997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4.3800000000000008</v>
      </c>
      <c r="BD51" s="13">
        <f>IF('Données projet'!$A$88&gt;35,BD50+BC51-BL50,IF(A51&lt;'Données projet'!$A$88,$BA$205^A51,IF(A51='Données projet'!$A$88,'Données projet'!$B$88,BD50+BC51-BL50)))</f>
        <v>211.64000000000013</v>
      </c>
      <c r="BE51" s="14">
        <f>BD51*VLOOKUP('Données projet'!$B$11,Paramètres!$A$1:$I$89,3,0)*VLOOKUP('Données projet'!$B$11,Paramètres!$A$1:$I$89,5,0)</f>
        <v>171.68236800000011</v>
      </c>
      <c r="BF51" s="14">
        <f t="shared" si="37"/>
        <v>43.466601827409747</v>
      </c>
      <c r="BG51" s="22">
        <f t="shared" si="7"/>
        <v>374.7177891160722</v>
      </c>
      <c r="BH51" s="62">
        <f t="shared" si="8"/>
        <v>668.05112244940551</v>
      </c>
      <c r="BI51" s="62">
        <f ca="1">AVERAGE(OFFSET($BH$3,0,0,'Données projet'!$E$11+1,1))-AVERAGE(OFFSET($H$3,0,0,'Données projet'!$E$11+1,1))</f>
        <v>236.29093866505224</v>
      </c>
      <c r="BJ51" s="62">
        <f t="shared" si="38"/>
        <v>258.22911730540892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9.1999999999999993</v>
      </c>
      <c r="BY51" s="13">
        <f>IF('Données projet'!$A$114&gt;35,BY50+BX51-CG50,IF(A51&lt;'Données projet'!$A$114,$BV$205^A51,IF(A51='Données projet'!$A$114,'Données projet'!$B$114,BY50+BX51-CG50)))</f>
        <v>229.60000000000002</v>
      </c>
      <c r="BZ51" s="14">
        <f>BY51*VLOOKUP('Données projet'!$B$12,Paramètres!$A$1:$I$89,3,0)*VLOOKUP('Données projet'!$B$12,Paramètres!$A$1:$I$89,5,0)</f>
        <v>179.08800000000002</v>
      </c>
      <c r="CA51" s="14">
        <f t="shared" si="39"/>
        <v>45.119223023956835</v>
      </c>
      <c r="CB51" s="22">
        <f t="shared" si="10"/>
        <v>390.49424676672487</v>
      </c>
      <c r="CC51" s="62">
        <f t="shared" si="11"/>
        <v>683.82758010005819</v>
      </c>
      <c r="CD51" s="62">
        <f ca="1">AVERAGE(OFFSET($CC$3,0,0,'Données projet'!$E$12+1,1))-AVERAGE(OFFSET($H$3,0,0,'Données projet'!$E$12+1,1))</f>
        <v>250.84814055099969</v>
      </c>
      <c r="CE51" s="62">
        <f t="shared" si="40"/>
        <v>226.15029417484465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161.6</v>
      </c>
      <c r="CU51" s="18">
        <f>CT51*VLOOKUP('Données projet'!$B$13,Paramètres!$A$1:$I$89,3,0)*VLOOKUP('Données projet'!$B$13,Paramètres!$A$1:$I$89,5,0)</f>
        <v>163.86240000000001</v>
      </c>
      <c r="CV51" s="14">
        <f t="shared" si="41"/>
        <v>41.712477409029084</v>
      </c>
      <c r="CW51" s="22">
        <f t="shared" si="13"/>
        <v>358.0429114873923</v>
      </c>
      <c r="CX51" s="62">
        <f t="shared" si="14"/>
        <v>651.37624482072556</v>
      </c>
      <c r="CY51" s="62">
        <f ca="1">AVERAGE(OFFSET($CX$3,0,0,'Données projet'!$E$13+1,1))-AVERAGE(OFFSET($H$3,0,0,'Données projet'!$E$13+1,1))</f>
        <v>385.00782828233201</v>
      </c>
      <c r="CZ51" s="62">
        <f t="shared" si="42"/>
        <v>216.22708298332475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317.91052353502909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453.60000000000019</v>
      </c>
      <c r="O52" s="14">
        <f>N52*VLOOKUP('Données projet'!$B$9,Paramètres!$A$1:$I$89,3,0)*VLOOKUP('Données projet'!$B$9,Paramètres!$A$1:$I$89,5,0)</f>
        <v>271.25280000000015</v>
      </c>
      <c r="P52" s="14">
        <f t="shared" si="33"/>
        <v>65.115073390838916</v>
      </c>
      <c r="Q52" s="22">
        <f t="shared" si="53"/>
        <v>585.84071282237801</v>
      </c>
      <c r="R52" s="62">
        <f t="shared" si="0"/>
        <v>879.17404615571127</v>
      </c>
      <c r="S52" s="62">
        <f ca="1">AVERAGE(OFFSET($R$3,0,0,'Données projet'!$E$9+1,1))-AVERAGE(OFFSET($H$3,0,0,'Données projet'!$E$9+1,1))</f>
        <v>327.17622590628559</v>
      </c>
      <c r="T52" s="62">
        <f t="shared" si="34"/>
        <v>379.61248288852113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8.4157780606297583E-2</v>
      </c>
      <c r="AC52" s="24">
        <f t="shared" si="3"/>
        <v>8.4157780606297583E-2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120.61607999999998</v>
      </c>
      <c r="AK52" s="14">
        <f t="shared" si="35"/>
        <v>31.818646984184912</v>
      </c>
      <c r="AL52" s="22">
        <f t="shared" si="4"/>
        <v>265.49048283078872</v>
      </c>
      <c r="AM52" s="62">
        <f t="shared" si="5"/>
        <v>558.82381616412204</v>
      </c>
      <c r="AN52" s="62">
        <f ca="1">AVERAGE(OFFSET($AM$3,0,0,'Données projet'!$E$10+1,1))-AVERAGE(OFFSET($H$3,0,0,'Données projet'!$E$10+1,1))</f>
        <v>276.87402314479681</v>
      </c>
      <c r="AO52" s="62">
        <f t="shared" si="36"/>
        <v>125.27302863901997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4.3800000000000008</v>
      </c>
      <c r="BD52" s="13">
        <f>IF('Données projet'!$A$88&gt;35,BD51+BC52-BL51,IF(A52&lt;'Données projet'!$A$88,$BA$205^A52,IF(A52='Données projet'!$A$88,'Données projet'!$B$88,BD51+BC52-BL51)))</f>
        <v>216.02000000000012</v>
      </c>
      <c r="BE52" s="14">
        <f>BD52*VLOOKUP('Données projet'!$B$11,Paramètres!$A$1:$I$89,3,0)*VLOOKUP('Données projet'!$B$11,Paramètres!$A$1:$I$89,5,0)</f>
        <v>175.23542400000011</v>
      </c>
      <c r="BF52" s="14">
        <f t="shared" si="37"/>
        <v>44.260506447957958</v>
      </c>
      <c r="BG52" s="22">
        <f t="shared" si="7"/>
        <v>382.28874553019364</v>
      </c>
      <c r="BH52" s="62">
        <f t="shared" si="8"/>
        <v>675.62207886352689</v>
      </c>
      <c r="BI52" s="62">
        <f ca="1">AVERAGE(OFFSET($BH$3,0,0,'Données projet'!$E$11+1,1))-AVERAGE(OFFSET($H$3,0,0,'Données projet'!$E$11+1,1))</f>
        <v>236.29093866505224</v>
      </c>
      <c r="BJ52" s="62">
        <f t="shared" si="38"/>
        <v>258.22911730540892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9.1999999999999993</v>
      </c>
      <c r="BY52" s="13">
        <f>IF('Données projet'!$A$114&gt;35,BY51+BX52-CG51,IF(A52&lt;'Données projet'!$A$114,$BV$205^A52,IF(A52='Données projet'!$A$114,'Données projet'!$B$114,BY51+BX52-CG51)))</f>
        <v>238.8</v>
      </c>
      <c r="BZ52" s="14">
        <f>BY52*VLOOKUP('Données projet'!$B$12,Paramètres!$A$1:$I$89,3,0)*VLOOKUP('Données projet'!$B$12,Paramètres!$A$1:$I$89,5,0)</f>
        <v>186.26400000000001</v>
      </c>
      <c r="CA52" s="14">
        <f t="shared" si="39"/>
        <v>46.713024062159668</v>
      </c>
      <c r="CB52" s="22">
        <f t="shared" si="10"/>
        <v>405.7683169082614</v>
      </c>
      <c r="CC52" s="62">
        <f t="shared" si="11"/>
        <v>699.10165024159471</v>
      </c>
      <c r="CD52" s="62">
        <f ca="1">AVERAGE(OFFSET($CC$3,0,0,'Données projet'!$E$12+1,1))-AVERAGE(OFFSET($H$3,0,0,'Données projet'!$E$12+1,1))</f>
        <v>250.84814055099969</v>
      </c>
      <c r="CE52" s="62">
        <f t="shared" si="40"/>
        <v>226.15029417484465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169.79999999999998</v>
      </c>
      <c r="CU52" s="18">
        <f>CT52*VLOOKUP('Données projet'!$B$13,Paramètres!$A$1:$I$89,3,0)*VLOOKUP('Données projet'!$B$13,Paramètres!$A$1:$I$89,5,0)</f>
        <v>172.1772</v>
      </c>
      <c r="CV52" s="14">
        <f t="shared" si="41"/>
        <v>43.577282221917017</v>
      </c>
      <c r="CW52" s="22">
        <f t="shared" si="13"/>
        <v>375.77238986983883</v>
      </c>
      <c r="CX52" s="62">
        <f t="shared" si="14"/>
        <v>669.10572320317215</v>
      </c>
      <c r="CY52" s="62">
        <f ca="1">AVERAGE(OFFSET($CX$3,0,0,'Données projet'!$E$13+1,1))-AVERAGE(OFFSET($H$3,0,0,'Données projet'!$E$13+1,1))</f>
        <v>385.00782828233201</v>
      </c>
      <c r="CZ52" s="62">
        <f t="shared" si="42"/>
        <v>216.22708298332475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319.12529197371839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471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471.00000000000017</v>
      </c>
      <c r="O53" s="14">
        <f>N53*VLOOKUP('Données projet'!$B$9,Paramètres!$A$1:$I$89,3,0)*VLOOKUP('Données projet'!$B$9,Paramètres!$A$1:$I$89,5,0)</f>
        <v>281.65800000000013</v>
      </c>
      <c r="P53" s="14">
        <f t="shared" si="33"/>
        <v>67.317271456706223</v>
      </c>
      <c r="Q53" s="22">
        <f t="shared" si="53"/>
        <v>607.79859778709692</v>
      </c>
      <c r="R53" s="62">
        <f t="shared" si="0"/>
        <v>901.13193112043018</v>
      </c>
      <c r="S53" s="62">
        <f ca="1">AVERAGE(OFFSET($R$3,0,0,'Données projet'!$E$9+1,1))-AVERAGE(OFFSET($H$3,0,0,'Données projet'!$E$9+1,1))</f>
        <v>327.17622590628559</v>
      </c>
      <c r="T53" s="62">
        <f t="shared" si="34"/>
        <v>379.61248288852113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104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5.9508537356322742E-2</v>
      </c>
      <c r="AC53" s="24">
        <f t="shared" si="3"/>
        <v>5.9508537356322742E-2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126.46919999999997</v>
      </c>
      <c r="AK53" s="14">
        <f t="shared" si="35"/>
        <v>33.17919224765545</v>
      </c>
      <c r="AL53" s="22">
        <f t="shared" si="4"/>
        <v>278.05428316466646</v>
      </c>
      <c r="AM53" s="62">
        <f t="shared" si="5"/>
        <v>571.38761649799972</v>
      </c>
      <c r="AN53" s="62">
        <f ca="1">AVERAGE(OFFSET($AM$3,0,0,'Données projet'!$E$10+1,1))-AVERAGE(OFFSET($H$3,0,0,'Données projet'!$E$10+1,1))</f>
        <v>276.87402314479681</v>
      </c>
      <c r="AO53" s="62">
        <f t="shared" si="36"/>
        <v>125.27302863901997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220.4</v>
      </c>
      <c r="BB53" s="13">
        <f>VLOOKUP(A53,'Données projet'!$A$87:$I$107,9,0)</f>
        <v>4.3800000000000008</v>
      </c>
      <c r="BC53" s="13">
        <f t="array" ref="BC53">INDEX(BB:BB,MIN(IF(ISNUMBER(BB53:BB249),ROW(BB53:BB249),"")))</f>
        <v>4.3800000000000008</v>
      </c>
      <c r="BD53" s="13">
        <f>IF('Données projet'!$A$88&gt;35,BD52+BC53-BL52,IF(A53&lt;'Données projet'!$A$88,$BA$205^A53,IF(A53='Données projet'!$A$88,'Données projet'!$B$88,BD52+BC53-BL52)))</f>
        <v>220.40000000000012</v>
      </c>
      <c r="BE53" s="14">
        <f>BD53*VLOOKUP('Données projet'!$B$11,Paramètres!$A$1:$I$89,3,0)*VLOOKUP('Données projet'!$B$11,Paramètres!$A$1:$I$89,5,0)</f>
        <v>178.78848000000011</v>
      </c>
      <c r="BF53" s="14">
        <f t="shared" si="37"/>
        <v>45.052539436241481</v>
      </c>
      <c r="BG53" s="22">
        <f t="shared" si="7"/>
        <v>389.85644218478745</v>
      </c>
      <c r="BH53" s="62">
        <f t="shared" si="8"/>
        <v>683.18977551812077</v>
      </c>
      <c r="BI53" s="62">
        <f ca="1">AVERAGE(OFFSET($BH$3,0,0,'Données projet'!$E$11+1,1))-AVERAGE(OFFSET($H$3,0,0,'Données projet'!$E$11+1,1))</f>
        <v>236.29093866505224</v>
      </c>
      <c r="BJ53" s="62">
        <f t="shared" si="38"/>
        <v>258.22911730540892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12.1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9.1999999999999993</v>
      </c>
      <c r="BY53" s="13">
        <f>IF('Données projet'!$A$114&gt;35,BY52+BX53-CG52,IF(A53&lt;'Données projet'!$A$114,$BV$205^A53,IF(A53='Données projet'!$A$114,'Données projet'!$B$114,BY52+BX53-CG52)))</f>
        <v>248</v>
      </c>
      <c r="BZ53" s="14">
        <f>BY53*VLOOKUP('Données projet'!$B$12,Paramètres!$A$1:$I$89,3,0)*VLOOKUP('Données projet'!$B$12,Paramètres!$A$1:$I$89,5,0)</f>
        <v>193.44</v>
      </c>
      <c r="CA53" s="14">
        <f t="shared" si="39"/>
        <v>48.299691961776745</v>
      </c>
      <c r="CB53" s="22">
        <f t="shared" si="10"/>
        <v>421.02996350009448</v>
      </c>
      <c r="CC53" s="62">
        <f t="shared" si="11"/>
        <v>714.36329683342774</v>
      </c>
      <c r="CD53" s="62">
        <f ca="1">AVERAGE(OFFSET($CC$3,0,0,'Données projet'!$E$12+1,1))-AVERAGE(OFFSET($H$3,0,0,'Données projet'!$E$12+1,1))</f>
        <v>250.84814055099969</v>
      </c>
      <c r="CE53" s="62">
        <f t="shared" si="40"/>
        <v>226.15029417484465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178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177.99999999999997</v>
      </c>
      <c r="CU53" s="18">
        <f>CT53*VLOOKUP('Données projet'!$B$13,Paramètres!$A$1:$I$89,3,0)*VLOOKUP('Données projet'!$B$13,Paramètres!$A$1:$I$89,5,0)</f>
        <v>180.49199999999999</v>
      </c>
      <c r="CV53" s="14">
        <f t="shared" si="41"/>
        <v>45.431629706642617</v>
      </c>
      <c r="CW53" s="22">
        <f t="shared" si="13"/>
        <v>393.48365507240254</v>
      </c>
      <c r="CX53" s="62">
        <f t="shared" si="14"/>
        <v>686.81698840573586</v>
      </c>
      <c r="CY53" s="62">
        <f ca="1">AVERAGE(OFFSET($CX$3,0,0,'Données projet'!$E$13+1,1))-AVERAGE(OFFSET($H$3,0,0,'Données projet'!$E$13+1,1))</f>
        <v>385.00782828233201</v>
      </c>
      <c r="CZ53" s="62">
        <f t="shared" si="42"/>
        <v>216.22708298332475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320.33944691418702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19.2</v>
      </c>
      <c r="N54" s="14">
        <f>IF('Données projet'!$A$36&gt;35,N53+M54-V53,IF(A54&lt;'Données projet'!$A$36,$K$205^A54,IF(A54='Données projet'!$A$36,'Données projet'!$B$36,N53+M54-V53)))</f>
        <v>386.20000000000016</v>
      </c>
      <c r="O54" s="14">
        <f>N54*VLOOKUP('Données projet'!$B$9,Paramètres!$A$1:$I$89,3,0)*VLOOKUP('Données projet'!$B$9,Paramètres!$A$1:$I$89,5,0)</f>
        <v>230.94760000000011</v>
      </c>
      <c r="P54" s="14">
        <f t="shared" si="33"/>
        <v>56.487525751065782</v>
      </c>
      <c r="Q54" s="22">
        <f t="shared" si="53"/>
        <v>500.61617734977307</v>
      </c>
      <c r="R54" s="62">
        <f t="shared" si="0"/>
        <v>793.94951068310638</v>
      </c>
      <c r="S54" s="62">
        <f ca="1">AVERAGE(OFFSET($R$3,0,0,'Données projet'!$E$9+1,1))-AVERAGE(OFFSET($H$3,0,0,'Données projet'!$E$9+1,1))</f>
        <v>327.17622590628559</v>
      </c>
      <c r="T54" s="62">
        <f t="shared" si="34"/>
        <v>379.61248288852113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4.2078890303148798E-2</v>
      </c>
      <c r="AC54" s="24">
        <f t="shared" si="3"/>
        <v>4.2078890303148798E-2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126.59999999999995</v>
      </c>
      <c r="AJ54" s="14">
        <f>AI54*VLOOKUP('Données projet'!$B$10,Paramètres!$A$1:$I$89,3,0)*VLOOKUP('Données projet'!$B$10,Paramètres!$A$1:$I$89,5,0)</f>
        <v>132.32231999999996</v>
      </c>
      <c r="AK54" s="14">
        <f t="shared" si="35"/>
        <v>34.532425057968851</v>
      </c>
      <c r="AL54" s="22">
        <f t="shared" si="4"/>
        <v>290.605347642629</v>
      </c>
      <c r="AM54" s="62">
        <f t="shared" si="5"/>
        <v>583.93868097596237</v>
      </c>
      <c r="AN54" s="62">
        <f ca="1">AVERAGE(OFFSET($AM$3,0,0,'Données projet'!$E$10+1,1))-AVERAGE(OFFSET($H$3,0,0,'Données projet'!$E$10+1,1))</f>
        <v>276.87402314479681</v>
      </c>
      <c r="AO54" s="62">
        <f t="shared" si="36"/>
        <v>125.27302863901997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3.6199999999999988</v>
      </c>
      <c r="BD54" s="13">
        <f>IF('Données projet'!$A$88&gt;35,BD53+BC54-BL53,IF(A54&lt;'Données projet'!$A$88,$BA$205^A54,IF(A54='Données projet'!$A$88,'Données projet'!$B$88,BD53+BC54-BL53)))</f>
        <v>211.92000000000013</v>
      </c>
      <c r="BE54" s="14">
        <f>BD54*VLOOKUP('Données projet'!$B$11,Paramètres!$A$1:$I$89,3,0)*VLOOKUP('Données projet'!$B$11,Paramètres!$A$1:$I$89,5,0)</f>
        <v>171.90950400000014</v>
      </c>
      <c r="BF54" s="14">
        <f t="shared" si="37"/>
        <v>43.517410546884719</v>
      </c>
      <c r="BG54" s="22">
        <f t="shared" si="7"/>
        <v>375.20187616915774</v>
      </c>
      <c r="BH54" s="62">
        <f t="shared" si="8"/>
        <v>668.53520950249106</v>
      </c>
      <c r="BI54" s="62">
        <f ca="1">AVERAGE(OFFSET($BH$3,0,0,'Données projet'!$E$11+1,1))-AVERAGE(OFFSET($H$3,0,0,'Données projet'!$E$11+1,1))</f>
        <v>236.29093866505224</v>
      </c>
      <c r="BJ54" s="62">
        <f t="shared" si="38"/>
        <v>258.22911730540892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9.1999999999999993</v>
      </c>
      <c r="BY54" s="13">
        <f>IF('Données projet'!$A$114&gt;35,BY53+BX54-CG53,IF(A54&lt;'Données projet'!$A$114,$BV$205^A54,IF(A54='Données projet'!$A$114,'Données projet'!$B$114,BY53+BX54-CG53)))</f>
        <v>257.2</v>
      </c>
      <c r="BZ54" s="14">
        <f>BY54*VLOOKUP('Données projet'!$B$12,Paramètres!$A$1:$I$89,3,0)*VLOOKUP('Données projet'!$B$12,Paramètres!$A$1:$I$89,5,0)</f>
        <v>200.61599999999999</v>
      </c>
      <c r="CA54" s="14">
        <f t="shared" si="39"/>
        <v>49.879521641340439</v>
      </c>
      <c r="CB54" s="22">
        <f t="shared" si="10"/>
        <v>436.2797001920012</v>
      </c>
      <c r="CC54" s="62">
        <f t="shared" si="11"/>
        <v>729.61303352533446</v>
      </c>
      <c r="CD54" s="62">
        <f ca="1">AVERAGE(OFFSET($CC$3,0,0,'Données projet'!$E$12+1,1))-AVERAGE(OFFSET($H$3,0,0,'Données projet'!$E$12+1,1))</f>
        <v>250.84814055099969</v>
      </c>
      <c r="CE54" s="62">
        <f t="shared" si="40"/>
        <v>226.15029417484465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185.99999999999997</v>
      </c>
      <c r="CU54" s="18">
        <f>CT54*VLOOKUP('Données projet'!$B$13,Paramètres!$A$1:$I$89,3,0)*VLOOKUP('Données projet'!$B$13,Paramètres!$A$1:$I$89,5,0)</f>
        <v>188.60399999999998</v>
      </c>
      <c r="CV54" s="14">
        <f t="shared" si="41"/>
        <v>47.231184731814224</v>
      </c>
      <c r="CW54" s="22">
        <f t="shared" si="13"/>
        <v>410.74628007457636</v>
      </c>
      <c r="CX54" s="62">
        <f t="shared" si="14"/>
        <v>704.07961340790962</v>
      </c>
      <c r="CY54" s="62">
        <f ca="1">AVERAGE(OFFSET($CX$3,0,0,'Données projet'!$E$13+1,1))-AVERAGE(OFFSET($H$3,0,0,'Données projet'!$E$13+1,1))</f>
        <v>385.00782828233201</v>
      </c>
      <c r="CZ54" s="62">
        <f t="shared" si="42"/>
        <v>216.22708298332475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321.55300177245209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19.2</v>
      </c>
      <c r="N55" s="14">
        <f>IF('Données projet'!$A$36&gt;35,N54+M55-V54,IF(A55&lt;'Données projet'!$A$36,$K$205^A55,IF(A55='Données projet'!$A$36,'Données projet'!$B$36,N54+M55-V54)))</f>
        <v>405.40000000000015</v>
      </c>
      <c r="O55" s="14">
        <f>N55*VLOOKUP('Données projet'!$B$9,Paramètres!$A$1:$I$89,3,0)*VLOOKUP('Données projet'!$B$9,Paramètres!$A$1:$I$89,5,0)</f>
        <v>242.42920000000009</v>
      </c>
      <c r="P55" s="14">
        <f t="shared" si="33"/>
        <v>58.961877963646693</v>
      </c>
      <c r="Q55" s="22">
        <f t="shared" si="53"/>
        <v>524.92279412001824</v>
      </c>
      <c r="R55" s="62">
        <f t="shared" si="0"/>
        <v>818.25612745335161</v>
      </c>
      <c r="S55" s="62">
        <f ca="1">AVERAGE(OFFSET($R$3,0,0,'Données projet'!$E$9+1,1))-AVERAGE(OFFSET($H$3,0,0,'Données projet'!$E$9+1,1))</f>
        <v>327.17622590628559</v>
      </c>
      <c r="T55" s="62">
        <f t="shared" si="34"/>
        <v>379.61248288852113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2.9754268678161375E-2</v>
      </c>
      <c r="AC55" s="24">
        <f t="shared" si="3"/>
        <v>2.9754268678161375E-2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132.19999999999996</v>
      </c>
      <c r="AJ55" s="14">
        <f>AI55*VLOOKUP('Données projet'!$B$10,Paramètres!$A$1:$I$89,3,0)*VLOOKUP('Données projet'!$B$10,Paramètres!$A$1:$I$89,5,0)</f>
        <v>138.17543999999998</v>
      </c>
      <c r="AK55" s="14">
        <f t="shared" si="35"/>
        <v>35.878705835219876</v>
      </c>
      <c r="AL55" s="22">
        <f t="shared" si="4"/>
        <v>303.14430399634125</v>
      </c>
      <c r="AM55" s="62">
        <f t="shared" si="5"/>
        <v>596.47763732967451</v>
      </c>
      <c r="AN55" s="62">
        <f ca="1">AVERAGE(OFFSET($AM$3,0,0,'Données projet'!$E$10+1,1))-AVERAGE(OFFSET($H$3,0,0,'Données projet'!$E$10+1,1))</f>
        <v>276.87402314479681</v>
      </c>
      <c r="AO55" s="62">
        <f t="shared" si="36"/>
        <v>125.27302863901997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3.6199999999999988</v>
      </c>
      <c r="BD55" s="13">
        <f>IF('Données projet'!$A$88&gt;35,BD54+BC55-BL54,IF(A55&lt;'Données projet'!$A$88,$BA$205^A55,IF(A55='Données projet'!$A$88,'Données projet'!$B$88,BD54+BC55-BL54)))</f>
        <v>215.54000000000013</v>
      </c>
      <c r="BE55" s="14">
        <f>BD55*VLOOKUP('Données projet'!$B$11,Paramètres!$A$1:$I$89,3,0)*VLOOKUP('Données projet'!$B$11,Paramètres!$A$1:$I$89,5,0)</f>
        <v>174.84604800000011</v>
      </c>
      <c r="BF55" s="14">
        <f t="shared" si="37"/>
        <v>44.173595283600093</v>
      </c>
      <c r="BG55" s="22">
        <f t="shared" si="7"/>
        <v>381.45921205227029</v>
      </c>
      <c r="BH55" s="62">
        <f t="shared" si="8"/>
        <v>674.7925453856036</v>
      </c>
      <c r="BI55" s="62">
        <f ca="1">AVERAGE(OFFSET($BH$3,0,0,'Données projet'!$E$11+1,1))-AVERAGE(OFFSET($H$3,0,0,'Données projet'!$E$11+1,1))</f>
        <v>236.29093866505224</v>
      </c>
      <c r="BJ55" s="62">
        <f t="shared" si="38"/>
        <v>258.22911730540892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9.1999999999999993</v>
      </c>
      <c r="BY55" s="13">
        <f>IF('Données projet'!$A$114&gt;35,BY54+BX55-CG54,IF(A55&lt;'Données projet'!$A$114,$BV$205^A55,IF(A55='Données projet'!$A$114,'Données projet'!$B$114,BY54+BX55-CG54)))</f>
        <v>266.39999999999998</v>
      </c>
      <c r="BZ55" s="14">
        <f>BY55*VLOOKUP('Données projet'!$B$12,Paramètres!$A$1:$I$89,3,0)*VLOOKUP('Données projet'!$B$12,Paramètres!$A$1:$I$89,5,0)</f>
        <v>207.792</v>
      </c>
      <c r="CA55" s="14">
        <f t="shared" si="39"/>
        <v>51.452785725007864</v>
      </c>
      <c r="CB55" s="22">
        <f t="shared" si="10"/>
        <v>451.51800180438869</v>
      </c>
      <c r="CC55" s="62">
        <f t="shared" si="11"/>
        <v>744.851335137722</v>
      </c>
      <c r="CD55" s="62">
        <f ca="1">AVERAGE(OFFSET($CC$3,0,0,'Données projet'!$E$12+1,1))-AVERAGE(OFFSET($H$3,0,0,'Données projet'!$E$12+1,1))</f>
        <v>250.84814055099969</v>
      </c>
      <c r="CE55" s="62">
        <f t="shared" si="40"/>
        <v>226.15029417484465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193.99999999999997</v>
      </c>
      <c r="CU55" s="18">
        <f>CT55*VLOOKUP('Données projet'!$B$13,Paramètres!$A$1:$I$89,3,0)*VLOOKUP('Données projet'!$B$13,Paramètres!$A$1:$I$89,5,0)</f>
        <v>196.71599999999998</v>
      </c>
      <c r="CV55" s="14">
        <f t="shared" si="41"/>
        <v>49.021749959730009</v>
      </c>
      <c r="CW55" s="22">
        <f t="shared" si="13"/>
        <v>427.99324784652975</v>
      </c>
      <c r="CX55" s="62">
        <f t="shared" si="14"/>
        <v>721.32658117986307</v>
      </c>
      <c r="CY55" s="62">
        <f ca="1">AVERAGE(OFFSET($CX$3,0,0,'Données projet'!$E$13+1,1))-AVERAGE(OFFSET($H$3,0,0,'Données projet'!$E$13+1,1))</f>
        <v>385.00782828233201</v>
      </c>
      <c r="CZ55" s="62">
        <f t="shared" si="42"/>
        <v>216.22708298332475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322.76596941900885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19.2</v>
      </c>
      <c r="N56" s="14">
        <f>IF('Données projet'!$A$36&gt;35,N55+M56-V55,IF(A56&lt;'Données projet'!$A$36,$K$205^A56,IF(A56='Données projet'!$A$36,'Données projet'!$B$36,N55+M56-V55)))</f>
        <v>424.60000000000014</v>
      </c>
      <c r="O56" s="14">
        <f>N56*VLOOKUP('Données projet'!$B$9,Paramètres!$A$1:$I$89,3,0)*VLOOKUP('Données projet'!$B$9,Paramètres!$A$1:$I$89,5,0)</f>
        <v>253.91080000000008</v>
      </c>
      <c r="P56" s="14">
        <f t="shared" si="33"/>
        <v>61.422621781167194</v>
      </c>
      <c r="Q56" s="22">
        <f t="shared" si="53"/>
        <v>549.20570960219959</v>
      </c>
      <c r="R56" s="62">
        <f t="shared" si="0"/>
        <v>842.53904293553296</v>
      </c>
      <c r="S56" s="62">
        <f ca="1">AVERAGE(OFFSET($R$3,0,0,'Données projet'!$E$9+1,1))-AVERAGE(OFFSET($H$3,0,0,'Données projet'!$E$9+1,1))</f>
        <v>327.17622590628559</v>
      </c>
      <c r="T56" s="62">
        <f t="shared" si="34"/>
        <v>379.61248288852113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2.1039445151574403E-2</v>
      </c>
      <c r="AC56" s="24">
        <f t="shared" si="3"/>
        <v>2.1039445151574403E-2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137.79999999999995</v>
      </c>
      <c r="AJ56" s="14">
        <f>AI56*VLOOKUP('Données projet'!$B$10,Paramètres!$A$1:$I$89,3,0)*VLOOKUP('Données projet'!$B$10,Paramètres!$A$1:$I$89,5,0)</f>
        <v>144.02855999999997</v>
      </c>
      <c r="AK56" s="14">
        <f t="shared" si="35"/>
        <v>37.218362737449134</v>
      </c>
      <c r="AL56" s="22">
        <f t="shared" si="4"/>
        <v>315.67172376772379</v>
      </c>
      <c r="AM56" s="62">
        <f t="shared" si="5"/>
        <v>609.0050571010571</v>
      </c>
      <c r="AN56" s="62">
        <f ca="1">AVERAGE(OFFSET($AM$3,0,0,'Données projet'!$E$10+1,1))-AVERAGE(OFFSET($H$3,0,0,'Données projet'!$E$10+1,1))</f>
        <v>276.87402314479681</v>
      </c>
      <c r="AO56" s="62">
        <f t="shared" si="36"/>
        <v>125.27302863901997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3.6199999999999988</v>
      </c>
      <c r="BD56" s="13">
        <f>IF('Données projet'!$A$88&gt;35,BD55+BC56-BL55,IF(A56&lt;'Données projet'!$A$88,$BA$205^A56,IF(A56='Données projet'!$A$88,'Données projet'!$B$88,BD55+BC56-BL55)))</f>
        <v>219.16000000000014</v>
      </c>
      <c r="BE56" s="14">
        <f>BD56*VLOOKUP('Données projet'!$B$11,Paramètres!$A$1:$I$89,3,0)*VLOOKUP('Données projet'!$B$11,Paramètres!$A$1:$I$89,5,0)</f>
        <v>177.78259200000011</v>
      </c>
      <c r="BF56" s="14">
        <f t="shared" si="37"/>
        <v>44.828498407203618</v>
      </c>
      <c r="BG56" s="22">
        <f t="shared" si="7"/>
        <v>387.71431579254653</v>
      </c>
      <c r="BH56" s="62">
        <f t="shared" si="8"/>
        <v>681.04764912587984</v>
      </c>
      <c r="BI56" s="62">
        <f ca="1">AVERAGE(OFFSET($BH$3,0,0,'Données projet'!$E$11+1,1))-AVERAGE(OFFSET($H$3,0,0,'Données projet'!$E$11+1,1))</f>
        <v>236.29093866505224</v>
      </c>
      <c r="BJ56" s="62">
        <f t="shared" si="38"/>
        <v>258.22911730540892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9.1999999999999993</v>
      </c>
      <c r="BY56" s="13">
        <f>IF('Données projet'!$A$114&gt;35,BY55+BX56-CG55,IF(A56&lt;'Données projet'!$A$114,$BV$205^A56,IF(A56='Données projet'!$A$114,'Données projet'!$B$114,BY55+BX56-CG55)))</f>
        <v>275.59999999999997</v>
      </c>
      <c r="BZ56" s="14">
        <f>BY56*VLOOKUP('Données projet'!$B$12,Paramètres!$A$1:$I$89,3,0)*VLOOKUP('Données projet'!$B$12,Paramètres!$A$1:$I$89,5,0)</f>
        <v>214.96799999999999</v>
      </c>
      <c r="CA56" s="14">
        <f t="shared" si="39"/>
        <v>53.019736939092994</v>
      </c>
      <c r="CB56" s="22">
        <f t="shared" si="10"/>
        <v>466.74530850225364</v>
      </c>
      <c r="CC56" s="62">
        <f t="shared" si="11"/>
        <v>760.07864183558695</v>
      </c>
      <c r="CD56" s="62">
        <f ca="1">AVERAGE(OFFSET($CC$3,0,0,'Données projet'!$E$12+1,1))-AVERAGE(OFFSET($H$3,0,0,'Données projet'!$E$12+1,1))</f>
        <v>250.84814055099969</v>
      </c>
      <c r="CE56" s="62">
        <f t="shared" si="40"/>
        <v>226.15029417484465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201.99999999999997</v>
      </c>
      <c r="CU56" s="18">
        <f>CT56*VLOOKUP('Données projet'!$B$13,Paramètres!$A$1:$I$89,3,0)*VLOOKUP('Données projet'!$B$13,Paramètres!$A$1:$I$89,5,0)</f>
        <v>204.82799999999997</v>
      </c>
      <c r="CV56" s="14">
        <f t="shared" si="41"/>
        <v>50.80373850176295</v>
      </c>
      <c r="CW56" s="22">
        <f t="shared" si="13"/>
        <v>445.2252778905704</v>
      </c>
      <c r="CX56" s="62">
        <f t="shared" si="14"/>
        <v>738.55861122390365</v>
      </c>
      <c r="CY56" s="62">
        <f ca="1">AVERAGE(OFFSET($CX$3,0,0,'Données projet'!$E$13+1,1))-AVERAGE(OFFSET($H$3,0,0,'Données projet'!$E$13+1,1))</f>
        <v>385.00782828233201</v>
      </c>
      <c r="CZ56" s="62">
        <f t="shared" si="42"/>
        <v>216.22708298332475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323.97836221087948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19.2</v>
      </c>
      <c r="N57" s="14">
        <f>IF('Données projet'!$A$36&gt;35,N56+M57-V56,IF(A57&lt;'Données projet'!$A$36,$K$205^A57,IF(A57='Données projet'!$A$36,'Données projet'!$B$36,N56+M57-V56)))</f>
        <v>443.80000000000013</v>
      </c>
      <c r="O57" s="14">
        <f>N57*VLOOKUP('Données projet'!$B$9,Paramètres!$A$1:$I$89,3,0)*VLOOKUP('Données projet'!$B$9,Paramètres!$A$1:$I$89,5,0)</f>
        <v>265.39240000000007</v>
      </c>
      <c r="P57" s="14">
        <f t="shared" si="33"/>
        <v>63.870442862391819</v>
      </c>
      <c r="Q57" s="22">
        <f t="shared" si="53"/>
        <v>573.46611798533252</v>
      </c>
      <c r="R57" s="62">
        <f t="shared" si="0"/>
        <v>866.79945131866589</v>
      </c>
      <c r="S57" s="62">
        <f ca="1">AVERAGE(OFFSET($R$3,0,0,'Données projet'!$E$9+1,1))-AVERAGE(OFFSET($H$3,0,0,'Données projet'!$E$9+1,1))</f>
        <v>327.17622590628559</v>
      </c>
      <c r="T57" s="62">
        <f t="shared" si="34"/>
        <v>379.61248288852113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1.4877134339080691E-2</v>
      </c>
      <c r="AC57" s="24">
        <f t="shared" si="3"/>
        <v>1.4877134339080691E-2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143.39999999999995</v>
      </c>
      <c r="AJ57" s="14">
        <f>AI57*VLOOKUP('Données projet'!$B$10,Paramètres!$A$1:$I$89,3,0)*VLOOKUP('Données projet'!$B$10,Paramètres!$A$1:$I$89,5,0)</f>
        <v>149.88167999999996</v>
      </c>
      <c r="AK57" s="14">
        <f t="shared" si="35"/>
        <v>38.551695741507764</v>
      </c>
      <c r="AL57" s="22">
        <f t="shared" si="4"/>
        <v>328.18812941645928</v>
      </c>
      <c r="AM57" s="62">
        <f t="shared" si="5"/>
        <v>621.52146274979259</v>
      </c>
      <c r="AN57" s="62">
        <f ca="1">AVERAGE(OFFSET($AM$3,0,0,'Données projet'!$E$10+1,1))-AVERAGE(OFFSET($H$3,0,0,'Données projet'!$E$10+1,1))</f>
        <v>276.87402314479681</v>
      </c>
      <c r="AO57" s="62">
        <f t="shared" si="36"/>
        <v>125.27302863901997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3.6199999999999988</v>
      </c>
      <c r="BD57" s="13">
        <f>IF('Données projet'!$A$88&gt;35,BD56+BC57-BL56,IF(A57&lt;'Données projet'!$A$88,$BA$205^A57,IF(A57='Données projet'!$A$88,'Données projet'!$B$88,BD56+BC57-BL56)))</f>
        <v>222.78000000000014</v>
      </c>
      <c r="BE57" s="14">
        <f>BD57*VLOOKUP('Données projet'!$B$11,Paramètres!$A$1:$I$89,3,0)*VLOOKUP('Données projet'!$B$11,Paramètres!$A$1:$I$89,5,0)</f>
        <v>180.71913600000013</v>
      </c>
      <c r="BF57" s="14">
        <f t="shared" si="37"/>
        <v>45.482143530436758</v>
      </c>
      <c r="BG57" s="22">
        <f t="shared" si="7"/>
        <v>393.9672285155109</v>
      </c>
      <c r="BH57" s="62">
        <f t="shared" si="8"/>
        <v>687.30056184884415</v>
      </c>
      <c r="BI57" s="62">
        <f ca="1">AVERAGE(OFFSET($BH$3,0,0,'Données projet'!$E$11+1,1))-AVERAGE(OFFSET($H$3,0,0,'Données projet'!$E$11+1,1))</f>
        <v>236.29093866505224</v>
      </c>
      <c r="BJ57" s="62">
        <f t="shared" si="38"/>
        <v>258.22911730540892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9.1999999999999993</v>
      </c>
      <c r="BY57" s="13">
        <f>IF('Données projet'!$A$114&gt;35,BY56+BX57-CG56,IF(A57&lt;'Données projet'!$A$114,$BV$205^A57,IF(A57='Données projet'!$A$114,'Données projet'!$B$114,BY56+BX57-CG56)))</f>
        <v>284.79999999999995</v>
      </c>
      <c r="BZ57" s="14">
        <f>BY57*VLOOKUP('Données projet'!$B$12,Paramètres!$A$1:$I$89,3,0)*VLOOKUP('Données projet'!$B$12,Paramètres!$A$1:$I$89,5,0)</f>
        <v>222.14399999999998</v>
      </c>
      <c r="CA57" s="14">
        <f t="shared" si="39"/>
        <v>54.580610179607703</v>
      </c>
      <c r="CB57" s="22">
        <f t="shared" si="10"/>
        <v>481.96202939615</v>
      </c>
      <c r="CC57" s="62">
        <f t="shared" si="11"/>
        <v>775.29536272948326</v>
      </c>
      <c r="CD57" s="62">
        <f ca="1">AVERAGE(OFFSET($CC$3,0,0,'Données projet'!$E$12+1,1))-AVERAGE(OFFSET($H$3,0,0,'Données projet'!$E$12+1,1))</f>
        <v>250.84814055099969</v>
      </c>
      <c r="CE57" s="62">
        <f t="shared" si="40"/>
        <v>226.15029417484465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209.99999999999997</v>
      </c>
      <c r="CU57" s="18">
        <f>CT57*VLOOKUP('Données projet'!$B$13,Paramètres!$A$1:$I$89,3,0)*VLOOKUP('Données projet'!$B$13,Paramètres!$A$1:$I$89,5,0)</f>
        <v>212.94</v>
      </c>
      <c r="CV57" s="14">
        <f t="shared" si="41"/>
        <v>52.577528895212865</v>
      </c>
      <c r="CW57" s="22">
        <f t="shared" si="13"/>
        <v>462.44302949249573</v>
      </c>
      <c r="CX57" s="62">
        <f t="shared" si="14"/>
        <v>755.77636282582898</v>
      </c>
      <c r="CY57" s="62">
        <f ca="1">AVERAGE(OFFSET($CX$3,0,0,'Données projet'!$E$13+1,1))-AVERAGE(OFFSET($H$3,0,0,'Données projet'!$E$13+1,1))</f>
        <v>385.00782828233201</v>
      </c>
      <c r="CZ57" s="62">
        <f t="shared" si="42"/>
        <v>216.22708298332475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325.19019202122132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463</v>
      </c>
      <c r="L58" s="13">
        <f>VLOOKUP(A58,'Données projet'!$A$35:$I$55,9,0)</f>
        <v>19.2</v>
      </c>
      <c r="M58" s="13">
        <f t="array" ref="M58">INDEX(L:L,MIN(IF(ISNUMBER(L58:L254),ROW(L58:L254),"")))</f>
        <v>19.2</v>
      </c>
      <c r="N58" s="14">
        <f>IF('Données projet'!$A$36&gt;35,N57+M58-V57,IF(A58&lt;'Données projet'!$A$36,$K$205^A58,IF(A58='Données projet'!$A$36,'Données projet'!$B$36,N57+M58-V57)))</f>
        <v>463.00000000000011</v>
      </c>
      <c r="O58" s="14">
        <f>N58*VLOOKUP('Données projet'!$B$9,Paramètres!$A$1:$I$89,3,0)*VLOOKUP('Données projet'!$B$9,Paramètres!$A$1:$I$89,5,0)</f>
        <v>276.87400000000008</v>
      </c>
      <c r="P58" s="14">
        <f t="shared" si="33"/>
        <v>66.305964184031993</v>
      </c>
      <c r="Q58" s="22">
        <f t="shared" si="53"/>
        <v>597.7051042871891</v>
      </c>
      <c r="R58" s="62">
        <f t="shared" si="0"/>
        <v>891.03843762052247</v>
      </c>
      <c r="S58" s="62">
        <f ca="1">AVERAGE(OFFSET($R$3,0,0,'Données projet'!$E$9+1,1))-AVERAGE(OFFSET($H$3,0,0,'Données projet'!$E$9+1,1))</f>
        <v>327.17622590628559</v>
      </c>
      <c r="T58" s="62">
        <f t="shared" si="34"/>
        <v>379.61248288852113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1.0519722575787203E-2</v>
      </c>
      <c r="AC58" s="24">
        <f t="shared" si="3"/>
        <v>1.0519722575787203E-2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149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148.99999999999994</v>
      </c>
      <c r="AJ58" s="14">
        <f>AI58*VLOOKUP('Données projet'!$B$10,Paramètres!$A$1:$I$89,3,0)*VLOOKUP('Données projet'!$B$10,Paramètres!$A$1:$I$89,5,0)</f>
        <v>155.73479999999995</v>
      </c>
      <c r="AK58" s="14">
        <f t="shared" si="35"/>
        <v>39.878980068529806</v>
      </c>
      <c r="AL58" s="22">
        <f t="shared" si="4"/>
        <v>340.69400028602269</v>
      </c>
      <c r="AM58" s="62">
        <f t="shared" si="5"/>
        <v>634.027333619356</v>
      </c>
      <c r="AN58" s="62">
        <f ca="1">AVERAGE(OFFSET($AM$3,0,0,'Données projet'!$E$10+1,1))-AVERAGE(OFFSET($H$3,0,0,'Données projet'!$E$10+1,1))</f>
        <v>276.87402314479681</v>
      </c>
      <c r="AO58" s="62">
        <f t="shared" si="36"/>
        <v>125.27302863901997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226.4</v>
      </c>
      <c r="BB58" s="13">
        <f>VLOOKUP(A58,'Données projet'!$A$87:$I$107,9,0)</f>
        <v>3.6199999999999988</v>
      </c>
      <c r="BC58" s="13">
        <f t="array" ref="BC58">INDEX(BB:BB,MIN(IF(ISNUMBER(BB58:BB254),ROW(BB58:BB254),"")))</f>
        <v>3.6199999999999988</v>
      </c>
      <c r="BD58" s="13">
        <f>IF('Données projet'!$A$88&gt;35,BD57+BC58-BL57,IF(A58&lt;'Données projet'!$A$88,$BA$205^A58,IF(A58='Données projet'!$A$88,'Données projet'!$B$88,BD57+BC58-BL57)))</f>
        <v>226.40000000000015</v>
      </c>
      <c r="BE58" s="14">
        <f>BD58*VLOOKUP('Données projet'!$B$11,Paramètres!$A$1:$I$89,3,0)*VLOOKUP('Données projet'!$B$11,Paramètres!$A$1:$I$89,5,0)</f>
        <v>183.65568000000013</v>
      </c>
      <c r="BF58" s="14">
        <f t="shared" si="37"/>
        <v>46.13455345466329</v>
      </c>
      <c r="BG58" s="22">
        <f t="shared" si="7"/>
        <v>400.21798993353877</v>
      </c>
      <c r="BH58" s="62">
        <f t="shared" si="8"/>
        <v>693.55132326687203</v>
      </c>
      <c r="BI58" s="62">
        <f ca="1">AVERAGE(OFFSET($BH$3,0,0,'Données projet'!$E$11+1,1))-AVERAGE(OFFSET($H$3,0,0,'Données projet'!$E$11+1,1))</f>
        <v>236.29093866505224</v>
      </c>
      <c r="BJ58" s="62">
        <f t="shared" si="38"/>
        <v>258.22911730540892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294</v>
      </c>
      <c r="BW58" s="13">
        <f>VLOOKUP(A58,'Données projet'!$A$113:$I$133,9,0)</f>
        <v>9.1999999999999993</v>
      </c>
      <c r="BX58" s="13">
        <f t="array" ref="BX58">INDEX(BW:BW,MIN(IF(ISNUMBER(BW58:BW254),ROW(BW58:BW254),"")))</f>
        <v>9.1999999999999993</v>
      </c>
      <c r="BY58" s="13">
        <f>IF('Données projet'!$A$114&gt;35,BY57+BX58-CG57,IF(A58&lt;'Données projet'!$A$114,$BV$205^A58,IF(A58='Données projet'!$A$114,'Données projet'!$B$114,BY57+BX58-CG57)))</f>
        <v>293.99999999999994</v>
      </c>
      <c r="BZ58" s="14">
        <f>BY58*VLOOKUP('Données projet'!$B$12,Paramètres!$A$1:$I$89,3,0)*VLOOKUP('Données projet'!$B$12,Paramètres!$A$1:$I$89,5,0)</f>
        <v>229.31999999999996</v>
      </c>
      <c r="CA58" s="14">
        <f t="shared" si="39"/>
        <v>56.135624305144624</v>
      </c>
      <c r="CB58" s="22">
        <f t="shared" si="10"/>
        <v>497.1685456647935</v>
      </c>
      <c r="CC58" s="62">
        <f t="shared" si="11"/>
        <v>790.50187899812681</v>
      </c>
      <c r="CD58" s="62">
        <f ca="1">AVERAGE(OFFSET($CC$3,0,0,'Données projet'!$E$12+1,1))-AVERAGE(OFFSET($H$3,0,0,'Données projet'!$E$12+1,1))</f>
        <v>250.84814055099969</v>
      </c>
      <c r="CE58" s="62">
        <f t="shared" si="40"/>
        <v>226.15029417484465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60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217.99999999999997</v>
      </c>
      <c r="CU58" s="18">
        <f>CT58*VLOOKUP('Données projet'!$B$13,Paramètres!$A$1:$I$89,3,0)*VLOOKUP('Données projet'!$B$13,Paramètres!$A$1:$I$89,5,0)</f>
        <v>221.05199999999999</v>
      </c>
      <c r="CV58" s="14">
        <f t="shared" si="41"/>
        <v>54.343469202939204</v>
      </c>
      <c r="CW58" s="22">
        <f t="shared" si="13"/>
        <v>479.64710886178574</v>
      </c>
      <c r="CX58" s="62">
        <f t="shared" si="14"/>
        <v>772.98044219511905</v>
      </c>
      <c r="CY58" s="62">
        <f ca="1">AVERAGE(OFFSET($CX$3,0,0,'Données projet'!$E$13+1,1))-AVERAGE(OFFSET($H$3,0,0,'Données projet'!$E$13+1,1))</f>
        <v>385.00782828233201</v>
      </c>
      <c r="CZ58" s="62">
        <f t="shared" si="42"/>
        <v>216.22708298332475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42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326.40147026672037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480.00000000000011</v>
      </c>
      <c r="O59" s="14">
        <f>N59*VLOOKUP('Données projet'!$B$9,Paramètres!$A$1:$I$89,3,0)*VLOOKUP('Données projet'!$B$9,Paramètres!$A$1:$I$89,5,0)</f>
        <v>287.04000000000008</v>
      </c>
      <c r="P59" s="14">
        <f t="shared" si="33"/>
        <v>68.452606307698659</v>
      </c>
      <c r="Q59" s="22">
        <f t="shared" si="53"/>
        <v>619.1496226525752</v>
      </c>
      <c r="R59" s="62">
        <f t="shared" si="0"/>
        <v>912.48295598590857</v>
      </c>
      <c r="S59" s="62">
        <f ca="1">AVERAGE(OFFSET($R$3,0,0,'Données projet'!$E$9+1,1))-AVERAGE(OFFSET($H$3,0,0,'Données projet'!$E$9+1,1))</f>
        <v>327.17622590628559</v>
      </c>
      <c r="T59" s="62">
        <f t="shared" si="34"/>
        <v>379.61248288852113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7.4385671695403463E-3</v>
      </c>
      <c r="AC59" s="24">
        <f t="shared" si="3"/>
        <v>7.4385671695403463E-3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126.39999999999995</v>
      </c>
      <c r="AJ59" s="14">
        <f>AI59*VLOOKUP('Données projet'!$B$10,Paramètres!$A$1:$I$89,3,0)*VLOOKUP('Données projet'!$B$10,Paramètres!$A$1:$I$89,5,0)</f>
        <v>132.11327999999997</v>
      </c>
      <c r="AK59" s="14">
        <f t="shared" si="35"/>
        <v>34.48421706763893</v>
      </c>
      <c r="AL59" s="22">
        <f t="shared" si="4"/>
        <v>290.1573073928044</v>
      </c>
      <c r="AM59" s="62">
        <f t="shared" si="5"/>
        <v>583.49064072613771</v>
      </c>
      <c r="AN59" s="62">
        <f ca="1">AVERAGE(OFFSET($AM$3,0,0,'Données projet'!$E$10+1,1))-AVERAGE(OFFSET($H$3,0,0,'Données projet'!$E$10+1,1))</f>
        <v>276.87402314479681</v>
      </c>
      <c r="AO59" s="62">
        <f t="shared" si="36"/>
        <v>125.27302863901997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2.9799999999999955</v>
      </c>
      <c r="BD59" s="13">
        <f>IF('Données projet'!$A$88&gt;35,BD58+BC59-BL58,IF(A59&lt;'Données projet'!$A$88,$BA$205^A59,IF(A59='Données projet'!$A$88,'Données projet'!$B$88,BD58+BC59-BL58)))</f>
        <v>229.38000000000014</v>
      </c>
      <c r="BE59" s="14">
        <f>BD59*VLOOKUP('Données projet'!$B$11,Paramètres!$A$1:$I$89,3,0)*VLOOKUP('Données projet'!$B$11,Paramètres!$A$1:$I$89,5,0)</f>
        <v>186.07305600000012</v>
      </c>
      <c r="BF59" s="14">
        <f t="shared" si="37"/>
        <v>46.670708832579137</v>
      </c>
      <c r="BG59" s="22">
        <f t="shared" si="7"/>
        <v>405.36205708340884</v>
      </c>
      <c r="BH59" s="62">
        <f t="shared" si="8"/>
        <v>698.69539041674216</v>
      </c>
      <c r="BI59" s="62">
        <f ca="1">AVERAGE(OFFSET($BH$3,0,0,'Données projet'!$E$11+1,1))-AVERAGE(OFFSET($H$3,0,0,'Données projet'!$E$11+1,1))</f>
        <v>236.29093866505224</v>
      </c>
      <c r="BJ59" s="62">
        <f t="shared" si="38"/>
        <v>258.22911730540892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6.9</v>
      </c>
      <c r="BY59" s="13">
        <f>IF('Données projet'!$A$114&gt;35,BY58+BX59-CG58,IF(A59&lt;'Données projet'!$A$114,$BV$205^A59,IF(A59='Données projet'!$A$114,'Données projet'!$B$114,BY58+BX59-CG58)))</f>
        <v>240.89999999999992</v>
      </c>
      <c r="BZ59" s="14">
        <f>BY59*VLOOKUP('Données projet'!$B$12,Paramètres!$A$1:$I$89,3,0)*VLOOKUP('Données projet'!$B$12,Paramètres!$A$1:$I$89,5,0)</f>
        <v>187.90199999999996</v>
      </c>
      <c r="CA59" s="14">
        <f t="shared" si="39"/>
        <v>47.075815521257816</v>
      </c>
      <c r="CB59" s="22">
        <f t="shared" si="10"/>
        <v>409.25302869952401</v>
      </c>
      <c r="CC59" s="62">
        <f t="shared" si="11"/>
        <v>702.58636203285732</v>
      </c>
      <c r="CD59" s="62">
        <f ca="1">AVERAGE(OFFSET($CC$3,0,0,'Données projet'!$E$12+1,1))-AVERAGE(OFFSET($H$3,0,0,'Données projet'!$E$12+1,1))</f>
        <v>250.84814055099969</v>
      </c>
      <c r="CE59" s="62">
        <f t="shared" si="40"/>
        <v>226.15029417484465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183.59999999999997</v>
      </c>
      <c r="CU59" s="18">
        <f>CT59*VLOOKUP('Données projet'!$B$13,Paramètres!$A$1:$I$89,3,0)*VLOOKUP('Données projet'!$B$13,Paramètres!$A$1:$I$89,5,0)</f>
        <v>186.17039999999997</v>
      </c>
      <c r="CV59" s="14">
        <f t="shared" si="41"/>
        <v>46.692281933796018</v>
      </c>
      <c r="CW59" s="22">
        <f t="shared" si="13"/>
        <v>405.56917103469465</v>
      </c>
      <c r="CX59" s="62">
        <f t="shared" si="14"/>
        <v>698.90250436802796</v>
      </c>
      <c r="CY59" s="62">
        <f ca="1">AVERAGE(OFFSET($CX$3,0,0,'Données projet'!$E$13+1,1))-AVERAGE(OFFSET($H$3,0,0,'Données projet'!$E$13+1,1))</f>
        <v>385.00782828233201</v>
      </c>
      <c r="CZ59" s="62">
        <f t="shared" si="42"/>
        <v>216.22708298332475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327.61220793297304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</v>
      </c>
      <c r="N60" s="14">
        <f>IF('Données projet'!$A$36&gt;35,N59+M60-V59,IF(A60&lt;'Données projet'!$A$36,$K$205^A60,IF(A60='Données projet'!$A$36,'Données projet'!$B$36,N59+M60-V59)))</f>
        <v>497.00000000000011</v>
      </c>
      <c r="O60" s="14">
        <f>N60*VLOOKUP('Données projet'!$B$9,Paramètres!$A$1:$I$89,3,0)*VLOOKUP('Données projet'!$B$9,Paramètres!$A$1:$I$89,5,0)</f>
        <v>297.20600000000007</v>
      </c>
      <c r="P60" s="14">
        <f t="shared" si="33"/>
        <v>70.590415164571112</v>
      </c>
      <c r="Q60" s="22">
        <f t="shared" si="53"/>
        <v>640.57875641162809</v>
      </c>
      <c r="R60" s="62">
        <f t="shared" si="0"/>
        <v>933.91208974496135</v>
      </c>
      <c r="S60" s="62">
        <f ca="1">AVERAGE(OFFSET($R$3,0,0,'Données projet'!$E$9+1,1))-AVERAGE(OFFSET($H$3,0,0,'Données projet'!$E$9+1,1))</f>
        <v>327.17622590628559</v>
      </c>
      <c r="T60" s="62">
        <f t="shared" si="34"/>
        <v>379.61248288852113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5.2598612878936024E-3</v>
      </c>
      <c r="AC60" s="24">
        <f t="shared" si="3"/>
        <v>5.2598612878936024E-3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131.79999999999995</v>
      </c>
      <c r="AJ60" s="14">
        <f>AI60*VLOOKUP('Données projet'!$B$10,Paramètres!$A$1:$I$89,3,0)*VLOOKUP('Données projet'!$B$10,Paramètres!$A$1:$I$89,5,0)</f>
        <v>137.75735999999995</v>
      </c>
      <c r="AK60" s="14">
        <f t="shared" si="35"/>
        <v>35.782766308840856</v>
      </c>
      <c r="AL60" s="22">
        <f t="shared" si="4"/>
        <v>302.24905332123103</v>
      </c>
      <c r="AM60" s="62">
        <f t="shared" si="5"/>
        <v>595.58238665456429</v>
      </c>
      <c r="AN60" s="62">
        <f ca="1">AVERAGE(OFFSET($AM$3,0,0,'Données projet'!$E$10+1,1))-AVERAGE(OFFSET($H$3,0,0,'Données projet'!$E$10+1,1))</f>
        <v>276.87402314479681</v>
      </c>
      <c r="AO60" s="62">
        <f t="shared" si="36"/>
        <v>125.27302863901997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2.9799999999999955</v>
      </c>
      <c r="BD60" s="13">
        <f>IF('Données projet'!$A$88&gt;35,BD59+BC60-BL59,IF(A60&lt;'Données projet'!$A$88,$BA$205^A60,IF(A60='Données projet'!$A$88,'Données projet'!$B$88,BD59+BC60-BL59)))</f>
        <v>232.36000000000013</v>
      </c>
      <c r="BE60" s="14">
        <f>BD60*VLOOKUP('Données projet'!$B$11,Paramètres!$A$1:$I$89,3,0)*VLOOKUP('Données projet'!$B$11,Paramètres!$A$1:$I$89,5,0)</f>
        <v>188.49043200000011</v>
      </c>
      <c r="BF60" s="14">
        <f t="shared" si="37"/>
        <v>47.206054016632081</v>
      </c>
      <c r="BG60" s="22">
        <f t="shared" si="7"/>
        <v>410.50471314563441</v>
      </c>
      <c r="BH60" s="62">
        <f t="shared" si="8"/>
        <v>703.83804647896773</v>
      </c>
      <c r="BI60" s="62">
        <f ca="1">AVERAGE(OFFSET($BH$3,0,0,'Données projet'!$E$11+1,1))-AVERAGE(OFFSET($H$3,0,0,'Données projet'!$E$11+1,1))</f>
        <v>236.29093866505224</v>
      </c>
      <c r="BJ60" s="62">
        <f t="shared" si="38"/>
        <v>258.22911730540892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6.9</v>
      </c>
      <c r="BY60" s="13">
        <f>IF('Données projet'!$A$114&gt;35,BY59+BX60-CG59,IF(A60&lt;'Données projet'!$A$114,$BV$205^A60,IF(A60='Données projet'!$A$114,'Données projet'!$B$114,BY59+BX60-CG59)))</f>
        <v>247.79999999999993</v>
      </c>
      <c r="BZ60" s="14">
        <f>BY60*VLOOKUP('Données projet'!$B$12,Paramètres!$A$1:$I$89,3,0)*VLOOKUP('Données projet'!$B$12,Paramètres!$A$1:$I$89,5,0)</f>
        <v>193.28399999999993</v>
      </c>
      <c r="CA60" s="14">
        <f t="shared" si="39"/>
        <v>48.265272920233983</v>
      </c>
      <c r="CB60" s="22">
        <f t="shared" si="10"/>
        <v>420.69831700274079</v>
      </c>
      <c r="CC60" s="62">
        <f t="shared" si="11"/>
        <v>714.03165033607411</v>
      </c>
      <c r="CD60" s="62">
        <f ca="1">AVERAGE(OFFSET($CC$3,0,0,'Données projet'!$E$12+1,1))-AVERAGE(OFFSET($H$3,0,0,'Données projet'!$E$12+1,1))</f>
        <v>250.84814055099969</v>
      </c>
      <c r="CE60" s="62">
        <f t="shared" si="40"/>
        <v>226.15029417484465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191.19999999999996</v>
      </c>
      <c r="CU60" s="18">
        <f>CT60*VLOOKUP('Données projet'!$B$13,Paramètres!$A$1:$I$89,3,0)*VLOOKUP('Données projet'!$B$13,Paramètres!$A$1:$I$89,5,0)</f>
        <v>193.87679999999997</v>
      </c>
      <c r="CV60" s="14">
        <f t="shared" si="41"/>
        <v>48.396048099527611</v>
      </c>
      <c r="CW60" s="22">
        <f t="shared" si="13"/>
        <v>421.95854377334382</v>
      </c>
      <c r="CX60" s="62">
        <f t="shared" si="14"/>
        <v>715.29187710667713</v>
      </c>
      <c r="CY60" s="62">
        <f ca="1">AVERAGE(OFFSET($CX$3,0,0,'Données projet'!$E$13+1,1))-AVERAGE(OFFSET($H$3,0,0,'Données projet'!$E$13+1,1))</f>
        <v>385.00782828233201</v>
      </c>
      <c r="CZ60" s="62">
        <f t="shared" si="42"/>
        <v>216.22708298332475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328.82241559803606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</v>
      </c>
      <c r="N61" s="14">
        <f>IF('Données projet'!$A$36&gt;35,N60+M61-V60,IF(A61&lt;'Données projet'!$A$36,$K$205^A61,IF(A61='Données projet'!$A$36,'Données projet'!$B$36,N60+M61-V60)))</f>
        <v>514.00000000000011</v>
      </c>
      <c r="O61" s="14">
        <f>N61*VLOOKUP('Données projet'!$B$9,Paramètres!$A$1:$I$89,3,0)*VLOOKUP('Données projet'!$B$9,Paramètres!$A$1:$I$89,5,0)</f>
        <v>307.37200000000007</v>
      </c>
      <c r="P61" s="14">
        <f t="shared" si="33"/>
        <v>72.719727530969081</v>
      </c>
      <c r="Q61" s="22">
        <f t="shared" si="53"/>
        <v>661.99309211643788</v>
      </c>
      <c r="R61" s="62">
        <f t="shared" si="0"/>
        <v>955.32642544977125</v>
      </c>
      <c r="S61" s="62">
        <f ca="1">AVERAGE(OFFSET($R$3,0,0,'Données projet'!$E$9+1,1))-AVERAGE(OFFSET($H$3,0,0,'Données projet'!$E$9+1,1))</f>
        <v>327.17622590628559</v>
      </c>
      <c r="T61" s="62">
        <f t="shared" si="34"/>
        <v>379.61248288852113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3.719283584770174E-3</v>
      </c>
      <c r="AC61" s="24">
        <f t="shared" si="3"/>
        <v>3.719283584770174E-3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137.19999999999996</v>
      </c>
      <c r="AJ61" s="14">
        <f>AI61*VLOOKUP('Données projet'!$B$10,Paramètres!$A$1:$I$89,3,0)*VLOOKUP('Données projet'!$B$10,Paramètres!$A$1:$I$89,5,0)</f>
        <v>143.40143999999998</v>
      </c>
      <c r="AK61" s="14">
        <f t="shared" si="35"/>
        <v>37.075135629096387</v>
      </c>
      <c r="AL61" s="22">
        <f t="shared" si="4"/>
        <v>314.33003588734283</v>
      </c>
      <c r="AM61" s="62">
        <f t="shared" si="5"/>
        <v>607.66336922067615</v>
      </c>
      <c r="AN61" s="62">
        <f ca="1">AVERAGE(OFFSET($AM$3,0,0,'Données projet'!$E$10+1,1))-AVERAGE(OFFSET($H$3,0,0,'Données projet'!$E$10+1,1))</f>
        <v>276.87402314479681</v>
      </c>
      <c r="AO61" s="62">
        <f t="shared" si="36"/>
        <v>125.27302863901997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2.9799999999999955</v>
      </c>
      <c r="BD61" s="13">
        <f>IF('Données projet'!$A$88&gt;35,BD60+BC61-BL60,IF(A61&lt;'Données projet'!$A$88,$BA$205^A61,IF(A61='Données projet'!$A$88,'Données projet'!$B$88,BD60+BC61-BL60)))</f>
        <v>235.34000000000012</v>
      </c>
      <c r="BE61" s="14">
        <f>BD61*VLOOKUP('Données projet'!$B$11,Paramètres!$A$1:$I$89,3,0)*VLOOKUP('Données projet'!$B$11,Paramètres!$A$1:$I$89,5,0)</f>
        <v>190.9078080000001</v>
      </c>
      <c r="BF61" s="14">
        <f t="shared" si="37"/>
        <v>47.74060059895897</v>
      </c>
      <c r="BG61" s="22">
        <f t="shared" si="7"/>
        <v>415.64597830985366</v>
      </c>
      <c r="BH61" s="62">
        <f t="shared" si="8"/>
        <v>708.97931164318697</v>
      </c>
      <c r="BI61" s="62">
        <f ca="1">AVERAGE(OFFSET($BH$3,0,0,'Données projet'!$E$11+1,1))-AVERAGE(OFFSET($H$3,0,0,'Données projet'!$E$11+1,1))</f>
        <v>236.29093866505224</v>
      </c>
      <c r="BJ61" s="62">
        <f t="shared" si="38"/>
        <v>258.22911730540892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6.9</v>
      </c>
      <c r="BY61" s="13">
        <f>IF('Données projet'!$A$114&gt;35,BY60+BX61-CG60,IF(A61&lt;'Données projet'!$A$114,$BV$205^A61,IF(A61='Données projet'!$A$114,'Données projet'!$B$114,BY60+BX61-CG60)))</f>
        <v>254.69999999999993</v>
      </c>
      <c r="BZ61" s="14">
        <f>BY61*VLOOKUP('Données projet'!$B$12,Paramètres!$A$1:$I$89,3,0)*VLOOKUP('Données projet'!$B$12,Paramètres!$A$1:$I$89,5,0)</f>
        <v>198.66599999999994</v>
      </c>
      <c r="CA61" s="14">
        <f t="shared" si="39"/>
        <v>49.450880810128595</v>
      </c>
      <c r="CB61" s="22">
        <f t="shared" si="10"/>
        <v>432.13690074430718</v>
      </c>
      <c r="CC61" s="62">
        <f t="shared" si="11"/>
        <v>725.4702340776405</v>
      </c>
      <c r="CD61" s="62">
        <f ca="1">AVERAGE(OFFSET($CC$3,0,0,'Données projet'!$E$12+1,1))-AVERAGE(OFFSET($H$3,0,0,'Données projet'!$E$12+1,1))</f>
        <v>250.84814055099969</v>
      </c>
      <c r="CE61" s="62">
        <f t="shared" si="40"/>
        <v>226.15029417484465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198.79999999999995</v>
      </c>
      <c r="CU61" s="18">
        <f>CT61*VLOOKUP('Données projet'!$B$13,Paramètres!$A$1:$I$89,3,0)*VLOOKUP('Données projet'!$B$13,Paramètres!$A$1:$I$89,5,0)</f>
        <v>201.58319999999995</v>
      </c>
      <c r="CV61" s="14">
        <f t="shared" si="41"/>
        <v>50.091947337331924</v>
      </c>
      <c r="CW61" s="22">
        <f t="shared" si="13"/>
        <v>438.33421494585303</v>
      </c>
      <c r="CX61" s="62">
        <f t="shared" si="14"/>
        <v>731.66754827918635</v>
      </c>
      <c r="CY61" s="62">
        <f ca="1">AVERAGE(OFFSET($CX$3,0,0,'Données projet'!$E$13+1,1))-AVERAGE(OFFSET($H$3,0,0,'Données projet'!$E$13+1,1))</f>
        <v>385.00782828233201</v>
      </c>
      <c r="CZ61" s="62">
        <f t="shared" si="42"/>
        <v>216.22708298332475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330.03210345430642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</v>
      </c>
      <c r="N62" s="14">
        <f>IF('Données projet'!$A$36&gt;35,N61+M62-V61,IF(A62&lt;'Données projet'!$A$36,$K$205^A62,IF(A62='Données projet'!$A$36,'Données projet'!$B$36,N61+M62-V61)))</f>
        <v>531.00000000000011</v>
      </c>
      <c r="O62" s="14">
        <f>N62*VLOOKUP('Données projet'!$B$9,Paramètres!$A$1:$I$89,3,0)*VLOOKUP('Données projet'!$B$9,Paramètres!$A$1:$I$89,5,0)</f>
        <v>317.53800000000012</v>
      </c>
      <c r="P62" s="14">
        <f t="shared" si="33"/>
        <v>74.840856641927189</v>
      </c>
      <c r="Q62" s="22">
        <f t="shared" si="53"/>
        <v>683.39317531802351</v>
      </c>
      <c r="R62" s="62">
        <f t="shared" si="0"/>
        <v>976.72650865135688</v>
      </c>
      <c r="S62" s="62">
        <f ca="1">AVERAGE(OFFSET($R$3,0,0,'Données projet'!$E$9+1,1))-AVERAGE(OFFSET($H$3,0,0,'Données projet'!$E$9+1,1))</f>
        <v>327.17622590628559</v>
      </c>
      <c r="T62" s="62">
        <f t="shared" si="34"/>
        <v>379.61248288852113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2.6299306439468016E-3</v>
      </c>
      <c r="AC62" s="24">
        <f t="shared" si="3"/>
        <v>2.6299306439468016E-3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142.59999999999997</v>
      </c>
      <c r="AJ62" s="14">
        <f>AI62*VLOOKUP('Données projet'!$B$10,Paramètres!$A$1:$I$89,3,0)*VLOOKUP('Données projet'!$B$10,Paramètres!$A$1:$I$89,5,0)</f>
        <v>149.04551999999998</v>
      </c>
      <c r="AK62" s="14">
        <f t="shared" si="35"/>
        <v>38.361596095272532</v>
      </c>
      <c r="AL62" s="22">
        <f t="shared" si="4"/>
        <v>326.40072719926627</v>
      </c>
      <c r="AM62" s="62">
        <f t="shared" si="5"/>
        <v>619.73406053259964</v>
      </c>
      <c r="AN62" s="62">
        <f ca="1">AVERAGE(OFFSET($AM$3,0,0,'Données projet'!$E$10+1,1))-AVERAGE(OFFSET($H$3,0,0,'Données projet'!$E$10+1,1))</f>
        <v>276.87402314479681</v>
      </c>
      <c r="AO62" s="62">
        <f t="shared" si="36"/>
        <v>125.27302863901997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2.9799999999999955</v>
      </c>
      <c r="BD62" s="13">
        <f>IF('Données projet'!$A$88&gt;35,BD61+BC62-BL61,IF(A62&lt;'Données projet'!$A$88,$BA$205^A62,IF(A62='Données projet'!$A$88,'Données projet'!$B$88,BD61+BC62-BL61)))</f>
        <v>238.32000000000011</v>
      </c>
      <c r="BE62" s="14">
        <f>BD62*VLOOKUP('Données projet'!$B$11,Paramètres!$A$1:$I$89,3,0)*VLOOKUP('Données projet'!$B$11,Paramètres!$A$1:$I$89,5,0)</f>
        <v>193.32518400000009</v>
      </c>
      <c r="BF62" s="14">
        <f t="shared" si="37"/>
        <v>48.274359861243333</v>
      </c>
      <c r="BG62" s="22">
        <f t="shared" si="7"/>
        <v>420.78587222499897</v>
      </c>
      <c r="BH62" s="62">
        <f t="shared" si="8"/>
        <v>714.11920555833228</v>
      </c>
      <c r="BI62" s="62">
        <f ca="1">AVERAGE(OFFSET($BH$3,0,0,'Données projet'!$E$11+1,1))-AVERAGE(OFFSET($H$3,0,0,'Données projet'!$E$11+1,1))</f>
        <v>236.29093866505224</v>
      </c>
      <c r="BJ62" s="62">
        <f t="shared" si="38"/>
        <v>258.22911730540892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6.9</v>
      </c>
      <c r="BY62" s="13">
        <f>IF('Données projet'!$A$114&gt;35,BY61+BX62-CG61,IF(A62&lt;'Données projet'!$A$114,$BV$205^A62,IF(A62='Données projet'!$A$114,'Données projet'!$B$114,BY61+BX62-CG61)))</f>
        <v>261.59999999999991</v>
      </c>
      <c r="BZ62" s="14">
        <f>BY62*VLOOKUP('Données projet'!$B$12,Paramètres!$A$1:$I$89,3,0)*VLOOKUP('Données projet'!$B$12,Paramètres!$A$1:$I$89,5,0)</f>
        <v>204.04799999999994</v>
      </c>
      <c r="CA62" s="14">
        <f t="shared" si="39"/>
        <v>50.632755461121967</v>
      </c>
      <c r="CB62" s="22">
        <f t="shared" si="10"/>
        <v>443.56898242812059</v>
      </c>
      <c r="CC62" s="62">
        <f t="shared" si="11"/>
        <v>736.90231576145391</v>
      </c>
      <c r="CD62" s="62">
        <f ca="1">AVERAGE(OFFSET($CC$3,0,0,'Données projet'!$E$12+1,1))-AVERAGE(OFFSET($H$3,0,0,'Données projet'!$E$12+1,1))</f>
        <v>250.84814055099969</v>
      </c>
      <c r="CE62" s="62">
        <f t="shared" si="40"/>
        <v>226.15029417484465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206.39999999999995</v>
      </c>
      <c r="CU62" s="18">
        <f>CT62*VLOOKUP('Données projet'!$B$13,Paramètres!$A$1:$I$89,3,0)*VLOOKUP('Données projet'!$B$13,Paramètres!$A$1:$I$89,5,0)</f>
        <v>209.28959999999995</v>
      </c>
      <c r="CV62" s="14">
        <f t="shared" si="41"/>
        <v>51.780314822292169</v>
      </c>
      <c r="CW62" s="22">
        <f t="shared" si="13"/>
        <v>454.69676831549208</v>
      </c>
      <c r="CX62" s="62">
        <f t="shared" si="14"/>
        <v>748.03010164882539</v>
      </c>
      <c r="CY62" s="62">
        <f ca="1">AVERAGE(OFFSET($CX$3,0,0,'Données projet'!$E$13+1,1))-AVERAGE(OFFSET($H$3,0,0,'Données projet'!$E$13+1,1))</f>
        <v>385.00782828233201</v>
      </c>
      <c r="CZ62" s="62">
        <f t="shared" si="42"/>
        <v>216.22708298332475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331.24128132887591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548</v>
      </c>
      <c r="L63" s="13">
        <f>VLOOKUP(A63,'Données projet'!$A$35:$I$55,9,0)</f>
        <v>17</v>
      </c>
      <c r="M63" s="13">
        <f t="array" ref="M63">INDEX(L:L,MIN(IF(ISNUMBER(L63:L259),ROW(L63:L259),"")))</f>
        <v>17</v>
      </c>
      <c r="N63" s="14">
        <f>IF('Données projet'!$A$36&gt;35,N62+M63-V62,IF(A63&lt;'Données projet'!$A$36,$K$205^A63,IF(A63='Données projet'!$A$36,'Données projet'!$B$36,N62+M63-V62)))</f>
        <v>548.00000000000011</v>
      </c>
      <c r="O63" s="14">
        <f>N63*VLOOKUP('Données projet'!$B$9,Paramètres!$A$1:$I$89,3,0)*VLOOKUP('Données projet'!$B$9,Paramètres!$A$1:$I$89,5,0)</f>
        <v>327.70400000000012</v>
      </c>
      <c r="P63" s="14">
        <f t="shared" si="33"/>
        <v>76.954094537214459</v>
      </c>
      <c r="Q63" s="22">
        <f t="shared" si="53"/>
        <v>704.77951465231536</v>
      </c>
      <c r="R63" s="62">
        <f t="shared" si="0"/>
        <v>998.11284798564861</v>
      </c>
      <c r="S63" s="62">
        <f ca="1">AVERAGE(OFFSET($R$3,0,0,'Données projet'!$E$9+1,1))-AVERAGE(OFFSET($H$3,0,0,'Données projet'!$E$9+1,1))</f>
        <v>327.17622590628559</v>
      </c>
      <c r="T63" s="62">
        <f t="shared" si="34"/>
        <v>379.61248288852113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80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1.8596417923850872E-3</v>
      </c>
      <c r="AC63" s="24">
        <f t="shared" si="3"/>
        <v>1.8596417923850872E-3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147.99999999999997</v>
      </c>
      <c r="AJ63" s="14">
        <f>AI63*VLOOKUP('Données projet'!$B$10,Paramètres!$A$1:$I$89,3,0)*VLOOKUP('Données projet'!$B$10,Paramètres!$A$1:$I$89,5,0)</f>
        <v>154.68959999999998</v>
      </c>
      <c r="AK63" s="14">
        <f t="shared" si="35"/>
        <v>39.64239708177282</v>
      </c>
      <c r="AL63" s="22">
        <f t="shared" si="4"/>
        <v>338.46156158408763</v>
      </c>
      <c r="AM63" s="62">
        <f t="shared" si="5"/>
        <v>631.79489491742095</v>
      </c>
      <c r="AN63" s="62">
        <f ca="1">AVERAGE(OFFSET($AM$3,0,0,'Données projet'!$E$10+1,1))-AVERAGE(OFFSET($H$3,0,0,'Données projet'!$E$10+1,1))</f>
        <v>276.87402314479681</v>
      </c>
      <c r="AO63" s="62">
        <f t="shared" si="36"/>
        <v>125.27302863901997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241.29999999999998</v>
      </c>
      <c r="BB63" s="13">
        <f>VLOOKUP(A63,'Données projet'!$A$87:$I$107,9,0)</f>
        <v>2.9799999999999955</v>
      </c>
      <c r="BC63" s="13">
        <f t="array" ref="BC63">INDEX(BB:BB,MIN(IF(ISNUMBER(BB63:BB259),ROW(BB63:BB259),"")))</f>
        <v>2.9799999999999955</v>
      </c>
      <c r="BD63" s="13">
        <f>IF('Données projet'!$A$88&gt;35,BD62+BC63-BL62,IF(A63&lt;'Données projet'!$A$88,$BA$205^A63,IF(A63='Données projet'!$A$88,'Données projet'!$B$88,BD62+BC63-BL62)))</f>
        <v>241.3000000000001</v>
      </c>
      <c r="BE63" s="14">
        <f>BD63*VLOOKUP('Données projet'!$B$11,Paramètres!$A$1:$I$89,3,0)*VLOOKUP('Données projet'!$B$11,Paramètres!$A$1:$I$89,5,0)</f>
        <v>195.74256000000008</v>
      </c>
      <c r="BF63" s="14">
        <f t="shared" si="37"/>
        <v>48.807342786805634</v>
      </c>
      <c r="BG63" s="22">
        <f t="shared" si="7"/>
        <v>425.92441402035325</v>
      </c>
      <c r="BH63" s="62">
        <f t="shared" si="8"/>
        <v>719.25774735368657</v>
      </c>
      <c r="BI63" s="62">
        <f ca="1">AVERAGE(OFFSET($BH$3,0,0,'Données projet'!$E$11+1,1))-AVERAGE(OFFSET($H$3,0,0,'Données projet'!$E$11+1,1))</f>
        <v>236.29093866505224</v>
      </c>
      <c r="BJ63" s="62">
        <f t="shared" si="38"/>
        <v>258.22911730540892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8.3000000000000007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6.9</v>
      </c>
      <c r="BY63" s="13">
        <f>IF('Données projet'!$A$114&gt;35,BY62+BX63-CG62,IF(A63&lt;'Données projet'!$A$114,$BV$205^A63,IF(A63='Données projet'!$A$114,'Données projet'!$B$114,BY62+BX63-CG62)))</f>
        <v>268.49999999999989</v>
      </c>
      <c r="BZ63" s="14">
        <f>BY63*VLOOKUP('Données projet'!$B$12,Paramètres!$A$1:$I$89,3,0)*VLOOKUP('Données projet'!$B$12,Paramètres!$A$1:$I$89,5,0)</f>
        <v>209.42999999999992</v>
      </c>
      <c r="CA63" s="14">
        <f t="shared" si="39"/>
        <v>51.811006660589165</v>
      </c>
      <c r="CB63" s="22">
        <f t="shared" si="10"/>
        <v>454.99475326719266</v>
      </c>
      <c r="CC63" s="62">
        <f t="shared" si="11"/>
        <v>748.32808660052592</v>
      </c>
      <c r="CD63" s="62">
        <f ca="1">AVERAGE(OFFSET($CC$3,0,0,'Données projet'!$E$12+1,1))-AVERAGE(OFFSET($H$3,0,0,'Données projet'!$E$12+1,1))</f>
        <v>250.84814055099969</v>
      </c>
      <c r="CE63" s="62">
        <f t="shared" si="40"/>
        <v>226.15029417484465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213.99999999999994</v>
      </c>
      <c r="CU63" s="18">
        <f>CT63*VLOOKUP('Données projet'!$B$13,Paramètres!$A$1:$I$89,3,0)*VLOOKUP('Données projet'!$B$13,Paramètres!$A$1:$I$89,5,0)</f>
        <v>216.99599999999995</v>
      </c>
      <c r="CV63" s="14">
        <f t="shared" si="41"/>
        <v>53.461459647386867</v>
      </c>
      <c r="CW63" s="22">
        <f t="shared" si="13"/>
        <v>471.04674221919873</v>
      </c>
      <c r="CX63" s="62">
        <f t="shared" si="14"/>
        <v>764.38007555253205</v>
      </c>
      <c r="CY63" s="62">
        <f ca="1">AVERAGE(OFFSET($CX$3,0,0,'Données projet'!$E$13+1,1))-AVERAGE(OFFSET($H$3,0,0,'Données projet'!$E$13+1,1))</f>
        <v>385.00782828233201</v>
      </c>
      <c r="CZ63" s="62">
        <f t="shared" si="42"/>
        <v>216.22708298332475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332.44995870249011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17.399999999999999</v>
      </c>
      <c r="N64" s="14">
        <f>IF('Données projet'!$A$36&gt;35,N63+M64-V63,IF(A64&lt;'Données projet'!$A$36,$K$205^A64,IF(A64='Données projet'!$A$36,'Données projet'!$B$36,N63+M64-V63)))</f>
        <v>485.40000000000009</v>
      </c>
      <c r="O64" s="14">
        <f>N64*VLOOKUP('Données projet'!$B$9,Paramètres!$A$1:$I$89,3,0)*VLOOKUP('Données projet'!$B$9,Paramètres!$A$1:$I$89,5,0)</f>
        <v>290.26920000000007</v>
      </c>
      <c r="P64" s="14">
        <f t="shared" si="33"/>
        <v>69.132615768183911</v>
      </c>
      <c r="Q64" s="22">
        <f t="shared" si="53"/>
        <v>625.95816246292031</v>
      </c>
      <c r="R64" s="62">
        <f t="shared" si="0"/>
        <v>919.29149579625368</v>
      </c>
      <c r="S64" s="62">
        <f ca="1">AVERAGE(OFFSET($R$3,0,0,'Données projet'!$E$9+1,1))-AVERAGE(OFFSET($H$3,0,0,'Données projet'!$E$9+1,1))</f>
        <v>327.17622590628559</v>
      </c>
      <c r="T64" s="62">
        <f t="shared" si="34"/>
        <v>379.61248288852113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1.314965321973401E-3</v>
      </c>
      <c r="AC64" s="24">
        <f t="shared" si="3"/>
        <v>1.314965321973401E-3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153.39999999999998</v>
      </c>
      <c r="AJ64" s="14">
        <f>AI64*VLOOKUP('Données projet'!$B$10,Paramètres!$A$1:$I$89,3,0)*VLOOKUP('Données projet'!$B$10,Paramètres!$A$1:$I$89,5,0)</f>
        <v>160.33367999999999</v>
      </c>
      <c r="AK64" s="14">
        <f t="shared" si="35"/>
        <v>40.917768734126462</v>
      </c>
      <c r="AL64" s="22">
        <f t="shared" si="4"/>
        <v>350.51293987860362</v>
      </c>
      <c r="AM64" s="62">
        <f t="shared" si="5"/>
        <v>643.84627321193693</v>
      </c>
      <c r="AN64" s="62">
        <f ca="1">AVERAGE(OFFSET($AM$3,0,0,'Données projet'!$E$10+1,1))-AVERAGE(OFFSET($H$3,0,0,'Données projet'!$E$10+1,1))</f>
        <v>276.87402314479681</v>
      </c>
      <c r="AO64" s="62">
        <f t="shared" si="36"/>
        <v>125.27302863901997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2.4200000000000044</v>
      </c>
      <c r="BD64" s="13">
        <f>IF('Données projet'!$A$88&gt;35,BD63+BC64-BL63,IF(A64&lt;'Données projet'!$A$88,$BA$205^A64,IF(A64='Données projet'!$A$88,'Données projet'!$B$88,BD63+BC64-BL63)))</f>
        <v>235.4200000000001</v>
      </c>
      <c r="BE64" s="14">
        <f>BD64*VLOOKUP('Données projet'!$B$11,Paramètres!$A$1:$I$89,3,0)*VLOOKUP('Données projet'!$B$11,Paramètres!$A$1:$I$89,5,0)</f>
        <v>190.97270400000011</v>
      </c>
      <c r="BF64" s="14">
        <f t="shared" si="37"/>
        <v>47.754939941264901</v>
      </c>
      <c r="BG64" s="22">
        <f t="shared" si="7"/>
        <v>415.78397986436988</v>
      </c>
      <c r="BH64" s="62">
        <f t="shared" si="8"/>
        <v>709.1173131977032</v>
      </c>
      <c r="BI64" s="62">
        <f ca="1">AVERAGE(OFFSET($BH$3,0,0,'Données projet'!$E$11+1,1))-AVERAGE(OFFSET($H$3,0,0,'Données projet'!$E$11+1,1))</f>
        <v>236.29093866505224</v>
      </c>
      <c r="BJ64" s="62">
        <f t="shared" si="38"/>
        <v>258.22911730540892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6.9</v>
      </c>
      <c r="BY64" s="13">
        <f>IF('Données projet'!$A$114&gt;35,BY63+BX64-CG63,IF(A64&lt;'Données projet'!$A$114,$BV$205^A64,IF(A64='Données projet'!$A$114,'Données projet'!$B$114,BY63+BX64-CG63)))</f>
        <v>275.39999999999986</v>
      </c>
      <c r="BZ64" s="14">
        <f>BY64*VLOOKUP('Données projet'!$B$12,Paramètres!$A$1:$I$89,3,0)*VLOOKUP('Données projet'!$B$12,Paramètres!$A$1:$I$89,5,0)</f>
        <v>214.8119999999999</v>
      </c>
      <c r="CA64" s="14">
        <f t="shared" si="39"/>
        <v>52.985738231738054</v>
      </c>
      <c r="CB64" s="22">
        <f t="shared" si="10"/>
        <v>466.41439408694367</v>
      </c>
      <c r="CC64" s="62">
        <f t="shared" si="11"/>
        <v>759.74772742027699</v>
      </c>
      <c r="CD64" s="62">
        <f ca="1">AVERAGE(OFFSET($CC$3,0,0,'Données projet'!$E$12+1,1))-AVERAGE(OFFSET($H$3,0,0,'Données projet'!$E$12+1,1))</f>
        <v>250.84814055099969</v>
      </c>
      <c r="CE64" s="62">
        <f t="shared" si="40"/>
        <v>226.15029417484465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221.19999999999993</v>
      </c>
      <c r="CU64" s="18">
        <f>CT64*VLOOKUP('Données projet'!$B$13,Paramètres!$A$1:$I$89,3,0)*VLOOKUP('Données projet'!$B$13,Paramètres!$A$1:$I$89,5,0)</f>
        <v>224.29679999999996</v>
      </c>
      <c r="CV64" s="14">
        <f t="shared" si="41"/>
        <v>55.047720057866165</v>
      </c>
      <c r="CW64" s="22">
        <f t="shared" si="13"/>
        <v>486.52503910078349</v>
      </c>
      <c r="CX64" s="62">
        <f t="shared" si="14"/>
        <v>779.85837243411675</v>
      </c>
      <c r="CY64" s="62">
        <f ca="1">AVERAGE(OFFSET($CX$3,0,0,'Données projet'!$E$13+1,1))-AVERAGE(OFFSET($H$3,0,0,'Données projet'!$E$13+1,1))</f>
        <v>385.00782828233201</v>
      </c>
      <c r="CZ64" s="62">
        <f t="shared" si="42"/>
        <v>216.22708298332475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333.65814472722889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17.399999999999999</v>
      </c>
      <c r="N65" s="14">
        <f>IF('Données projet'!$A$36&gt;35,N64+M65-V64,IF(A65&lt;'Données projet'!$A$36,$K$205^A65,IF(A65='Données projet'!$A$36,'Données projet'!$B$36,N64+M65-V64)))</f>
        <v>502.80000000000007</v>
      </c>
      <c r="O65" s="14">
        <f>N65*VLOOKUP('Données projet'!$B$9,Paramètres!$A$1:$I$89,3,0)*VLOOKUP('Données projet'!$B$9,Paramètres!$A$1:$I$89,5,0)</f>
        <v>300.67440000000005</v>
      </c>
      <c r="P65" s="14">
        <f t="shared" si="33"/>
        <v>71.317825137860439</v>
      </c>
      <c r="Q65" s="22">
        <f t="shared" si="53"/>
        <v>647.88645878177374</v>
      </c>
      <c r="R65" s="62">
        <f t="shared" si="0"/>
        <v>941.21979211510711</v>
      </c>
      <c r="S65" s="62">
        <f ca="1">AVERAGE(OFFSET($R$3,0,0,'Données projet'!$E$9+1,1))-AVERAGE(OFFSET($H$3,0,0,'Données projet'!$E$9+1,1))</f>
        <v>327.17622590628559</v>
      </c>
      <c r="T65" s="62">
        <f t="shared" si="34"/>
        <v>379.61248288852113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9.2982089619254372E-4</v>
      </c>
      <c r="AC65" s="24">
        <f t="shared" si="3"/>
        <v>9.2982089619254372E-4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158.79999999999998</v>
      </c>
      <c r="AJ65" s="14">
        <f>AI65*VLOOKUP('Données projet'!$B$10,Paramètres!$A$1:$I$89,3,0)*VLOOKUP('Données projet'!$B$10,Paramètres!$A$1:$I$89,5,0)</f>
        <v>165.97776000000002</v>
      </c>
      <c r="AK65" s="14">
        <f t="shared" si="35"/>
        <v>42.18792407593731</v>
      </c>
      <c r="AL65" s="22">
        <f t="shared" si="4"/>
        <v>362.55523309892413</v>
      </c>
      <c r="AM65" s="62">
        <f t="shared" si="5"/>
        <v>655.88856643225745</v>
      </c>
      <c r="AN65" s="62">
        <f ca="1">AVERAGE(OFFSET($AM$3,0,0,'Données projet'!$E$10+1,1))-AVERAGE(OFFSET($H$3,0,0,'Données projet'!$E$10+1,1))</f>
        <v>276.87402314479681</v>
      </c>
      <c r="AO65" s="62">
        <f t="shared" si="36"/>
        <v>125.27302863901997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2.4200000000000044</v>
      </c>
      <c r="BD65" s="13">
        <f>IF('Données projet'!$A$88&gt;35,BD64+BC65-BL64,IF(A65&lt;'Données projet'!$A$88,$BA$205^A65,IF(A65='Données projet'!$A$88,'Données projet'!$B$88,BD64+BC65-BL64)))</f>
        <v>237.84000000000012</v>
      </c>
      <c r="BE65" s="14">
        <f>BD65*VLOOKUP('Données projet'!$B$11,Paramètres!$A$1:$I$89,3,0)*VLOOKUP('Données projet'!$B$11,Paramètres!$A$1:$I$89,5,0)</f>
        <v>192.93580800000012</v>
      </c>
      <c r="BF65" s="14">
        <f t="shared" si="37"/>
        <v>48.188437951487806</v>
      </c>
      <c r="BG65" s="22">
        <f t="shared" si="7"/>
        <v>419.95806169884145</v>
      </c>
      <c r="BH65" s="62">
        <f t="shared" si="8"/>
        <v>713.29139503217471</v>
      </c>
      <c r="BI65" s="62">
        <f ca="1">AVERAGE(OFFSET($BH$3,0,0,'Données projet'!$E$11+1,1))-AVERAGE(OFFSET($H$3,0,0,'Données projet'!$E$11+1,1))</f>
        <v>236.29093866505224</v>
      </c>
      <c r="BJ65" s="62">
        <f t="shared" si="38"/>
        <v>258.22911730540892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6.9</v>
      </c>
      <c r="BY65" s="13">
        <f>IF('Données projet'!$A$114&gt;35,BY64+BX65-CG64,IF(A65&lt;'Données projet'!$A$114,$BV$205^A65,IF(A65='Données projet'!$A$114,'Données projet'!$B$114,BY64+BX65-CG64)))</f>
        <v>282.29999999999984</v>
      </c>
      <c r="BZ65" s="14">
        <f>BY65*VLOOKUP('Données projet'!$B$12,Paramètres!$A$1:$I$89,3,0)*VLOOKUP('Données projet'!$B$12,Paramètres!$A$1:$I$89,5,0)</f>
        <v>220.19399999999987</v>
      </c>
      <c r="CA65" s="14">
        <f t="shared" si="39"/>
        <v>54.157048498807939</v>
      </c>
      <c r="CB65" s="22">
        <f t="shared" si="10"/>
        <v>477.8280761354236</v>
      </c>
      <c r="CC65" s="62">
        <f t="shared" si="11"/>
        <v>771.16140946875691</v>
      </c>
      <c r="CD65" s="62">
        <f ca="1">AVERAGE(OFFSET($CC$3,0,0,'Données projet'!$E$12+1,1))-AVERAGE(OFFSET($H$3,0,0,'Données projet'!$E$12+1,1))</f>
        <v>250.84814055099969</v>
      </c>
      <c r="CE65" s="62">
        <f t="shared" si="40"/>
        <v>226.15029417484465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228.39999999999992</v>
      </c>
      <c r="CU65" s="18">
        <f>CT65*VLOOKUP('Données projet'!$B$13,Paramètres!$A$1:$I$89,3,0)*VLOOKUP('Données projet'!$B$13,Paramètres!$A$1:$I$89,5,0)</f>
        <v>231.59759999999994</v>
      </c>
      <c r="CV65" s="14">
        <f t="shared" si="41"/>
        <v>56.627980714948151</v>
      </c>
      <c r="CW65" s="22">
        <f t="shared" si="13"/>
        <v>501.99288641186786</v>
      </c>
      <c r="CX65" s="62">
        <f t="shared" si="14"/>
        <v>795.32621974520112</v>
      </c>
      <c r="CY65" s="62">
        <f ca="1">AVERAGE(OFFSET($CX$3,0,0,'Données projet'!$E$13+1,1))-AVERAGE(OFFSET($H$3,0,0,'Données projet'!$E$13+1,1))</f>
        <v>385.00782828233201</v>
      </c>
      <c r="CZ65" s="62">
        <f t="shared" si="42"/>
        <v>216.22708298332475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334.86584824301428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17.399999999999999</v>
      </c>
      <c r="N66" s="14">
        <f>IF('Données projet'!$A$36&gt;35,N65+M66-V65,IF(A66&lt;'Données projet'!$A$36,$K$205^A66,IF(A66='Données projet'!$A$36,'Données projet'!$B$36,N65+M66-V65)))</f>
        <v>520.20000000000005</v>
      </c>
      <c r="O66" s="14">
        <f>N66*VLOOKUP('Données projet'!$B$9,Paramètres!$A$1:$I$89,3,0)*VLOOKUP('Données projet'!$B$9,Paramètres!$A$1:$I$89,5,0)</f>
        <v>311.07960000000003</v>
      </c>
      <c r="P66" s="14">
        <f t="shared" si="33"/>
        <v>73.49424798183118</v>
      </c>
      <c r="Q66" s="22">
        <f t="shared" si="53"/>
        <v>669.79945190168928</v>
      </c>
      <c r="R66" s="62">
        <f t="shared" si="0"/>
        <v>963.13278523502254</v>
      </c>
      <c r="S66" s="62">
        <f ca="1">AVERAGE(OFFSET($R$3,0,0,'Données projet'!$E$9+1,1))-AVERAGE(OFFSET($H$3,0,0,'Données projet'!$E$9+1,1))</f>
        <v>327.17622590628559</v>
      </c>
      <c r="T66" s="62">
        <f t="shared" si="34"/>
        <v>379.61248288852113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6.5748266098670063E-4</v>
      </c>
      <c r="AC66" s="24">
        <f t="shared" si="3"/>
        <v>6.5748266098670063E-4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164.2</v>
      </c>
      <c r="AJ66" s="14">
        <f>AI66*VLOOKUP('Données projet'!$B$10,Paramètres!$A$1:$I$89,3,0)*VLOOKUP('Données projet'!$B$10,Paramètres!$A$1:$I$89,5,0)</f>
        <v>171.62183999999999</v>
      </c>
      <c r="AK66" s="14">
        <f t="shared" si="35"/>
        <v>43.453060821193773</v>
      </c>
      <c r="AL66" s="22">
        <f t="shared" si="4"/>
        <v>374.58878559691243</v>
      </c>
      <c r="AM66" s="62">
        <f t="shared" si="5"/>
        <v>667.92211893024569</v>
      </c>
      <c r="AN66" s="62">
        <f ca="1">AVERAGE(OFFSET($AM$3,0,0,'Données projet'!$E$10+1,1))-AVERAGE(OFFSET($H$3,0,0,'Données projet'!$E$10+1,1))</f>
        <v>276.87402314479681</v>
      </c>
      <c r="AO66" s="62">
        <f t="shared" si="36"/>
        <v>125.27302863901997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2.4200000000000044</v>
      </c>
      <c r="BD66" s="13">
        <f>IF('Données projet'!$A$88&gt;35,BD65+BC66-BL65,IF(A66&lt;'Données projet'!$A$88,$BA$205^A66,IF(A66='Données projet'!$A$88,'Données projet'!$B$88,BD65+BC66-BL65)))</f>
        <v>240.26000000000013</v>
      </c>
      <c r="BE66" s="14">
        <f>BD66*VLOOKUP('Données projet'!$B$11,Paramètres!$A$1:$I$89,3,0)*VLOOKUP('Données projet'!$B$11,Paramètres!$A$1:$I$89,5,0)</f>
        <v>194.89891200000014</v>
      </c>
      <c r="BF66" s="14">
        <f t="shared" si="37"/>
        <v>48.621422838891284</v>
      </c>
      <c r="BG66" s="22">
        <f t="shared" si="7"/>
        <v>424.13124984440248</v>
      </c>
      <c r="BH66" s="62">
        <f t="shared" si="8"/>
        <v>717.46458317773579</v>
      </c>
      <c r="BI66" s="62">
        <f ca="1">AVERAGE(OFFSET($BH$3,0,0,'Données projet'!$E$11+1,1))-AVERAGE(OFFSET($H$3,0,0,'Données projet'!$E$11+1,1))</f>
        <v>236.29093866505224</v>
      </c>
      <c r="BJ66" s="62">
        <f t="shared" si="38"/>
        <v>258.22911730540892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6.9</v>
      </c>
      <c r="BY66" s="13">
        <f>IF('Données projet'!$A$114&gt;35,BY65+BX66-CG65,IF(A66&lt;'Données projet'!$A$114,$BV$205^A66,IF(A66='Données projet'!$A$114,'Données projet'!$B$114,BY65+BX66-CG65)))</f>
        <v>289.19999999999982</v>
      </c>
      <c r="BZ66" s="14">
        <f>BY66*VLOOKUP('Données projet'!$B$12,Paramètres!$A$1:$I$89,3,0)*VLOOKUP('Données projet'!$B$12,Paramètres!$A$1:$I$89,5,0)</f>
        <v>225.57599999999988</v>
      </c>
      <c r="CA66" s="14">
        <f t="shared" si="39"/>
        <v>55.325030705505945</v>
      </c>
      <c r="CB66" s="22">
        <f t="shared" si="10"/>
        <v>489.23596181208927</v>
      </c>
      <c r="CC66" s="62">
        <f t="shared" si="11"/>
        <v>782.56929514542253</v>
      </c>
      <c r="CD66" s="62">
        <f ca="1">AVERAGE(OFFSET($CC$3,0,0,'Données projet'!$E$12+1,1))-AVERAGE(OFFSET($H$3,0,0,'Données projet'!$E$12+1,1))</f>
        <v>250.84814055099969</v>
      </c>
      <c r="CE66" s="62">
        <f t="shared" si="40"/>
        <v>226.15029417484465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235.59999999999991</v>
      </c>
      <c r="CU66" s="18">
        <f>CT66*VLOOKUP('Données projet'!$B$13,Paramètres!$A$1:$I$89,3,0)*VLOOKUP('Données projet'!$B$13,Paramètres!$A$1:$I$89,5,0)</f>
        <v>238.89839999999995</v>
      </c>
      <c r="CV66" s="14">
        <f t="shared" si="41"/>
        <v>58.202452451868851</v>
      </c>
      <c r="CW66" s="22">
        <f t="shared" si="13"/>
        <v>517.45065135367156</v>
      </c>
      <c r="CX66" s="62">
        <f t="shared" si="14"/>
        <v>810.78398468700493</v>
      </c>
      <c r="CY66" s="62">
        <f ca="1">AVERAGE(OFFSET($CX$3,0,0,'Données projet'!$E$13+1,1))-AVERAGE(OFFSET($H$3,0,0,'Données projet'!$E$13+1,1))</f>
        <v>385.00782828233201</v>
      </c>
      <c r="CZ66" s="62">
        <f t="shared" si="42"/>
        <v>216.22708298332475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336.07307779303983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17.399999999999999</v>
      </c>
      <c r="N67" s="14">
        <f>IF('Données projet'!$A$36&gt;35,N66+M67-V66,IF(A67&lt;'Données projet'!$A$36,$K$205^A67,IF(A67='Données projet'!$A$36,'Données projet'!$B$36,N66+M67-V66)))</f>
        <v>537.6</v>
      </c>
      <c r="O67" s="14">
        <f>N67*VLOOKUP('Données projet'!$B$9,Paramètres!$A$1:$I$89,3,0)*VLOOKUP('Données projet'!$B$9,Paramètres!$A$1:$I$89,5,0)</f>
        <v>321.48480000000006</v>
      </c>
      <c r="P67" s="14">
        <f t="shared" si="33"/>
        <v>75.662211893590367</v>
      </c>
      <c r="Q67" s="22">
        <f t="shared" ref="Q67:Q98" si="54">(O67+P67)*0.475*44/12</f>
        <v>691.69771238133671</v>
      </c>
      <c r="R67" s="62">
        <f t="shared" ref="R67:R130" si="55">Q67+(I67+J67)*44/12</f>
        <v>985.03104571466997</v>
      </c>
      <c r="S67" s="62">
        <f ca="1">AVERAGE(OFFSET($R$3,0,0,'Données projet'!$E$9+1,1))-AVERAGE(OFFSET($H$3,0,0,'Données projet'!$E$9+1,1))</f>
        <v>327.17622590628559</v>
      </c>
      <c r="T67" s="62">
        <f t="shared" si="34"/>
        <v>379.61248288852113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4.6491044809627197E-4</v>
      </c>
      <c r="AC67" s="24">
        <f t="shared" si="3"/>
        <v>4.6491044809627197E-4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169.6</v>
      </c>
      <c r="AJ67" s="14">
        <f>AI67*VLOOKUP('Données projet'!$B$10,Paramètres!$A$1:$I$89,3,0)*VLOOKUP('Données projet'!$B$10,Paramètres!$A$1:$I$89,5,0)</f>
        <v>177.26592000000002</v>
      </c>
      <c r="AK67" s="14">
        <f t="shared" si="35"/>
        <v>44.71336294147811</v>
      </c>
      <c r="AL67" s="22">
        <f t="shared" si="4"/>
        <v>386.61391778974098</v>
      </c>
      <c r="AM67" s="62">
        <f t="shared" si="5"/>
        <v>679.94725112307424</v>
      </c>
      <c r="AN67" s="62">
        <f ca="1">AVERAGE(OFFSET($AM$3,0,0,'Données projet'!$E$10+1,1))-AVERAGE(OFFSET($H$3,0,0,'Données projet'!$E$10+1,1))</f>
        <v>276.87402314479681</v>
      </c>
      <c r="AO67" s="62">
        <f t="shared" si="36"/>
        <v>125.27302863901997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2.4200000000000044</v>
      </c>
      <c r="BD67" s="13">
        <f>IF('Données projet'!$A$88&gt;35,BD66+BC67-BL66,IF(A67&lt;'Données projet'!$A$88,$BA$205^A67,IF(A67='Données projet'!$A$88,'Données projet'!$B$88,BD66+BC67-BL66)))</f>
        <v>242.68000000000015</v>
      </c>
      <c r="BE67" s="14">
        <f>BD67*VLOOKUP('Données projet'!$B$11,Paramètres!$A$1:$I$89,3,0)*VLOOKUP('Données projet'!$B$11,Paramètres!$A$1:$I$89,5,0)</f>
        <v>196.86201600000015</v>
      </c>
      <c r="BF67" s="14">
        <f t="shared" si="37"/>
        <v>49.053900370279976</v>
      </c>
      <c r="BG67" s="22">
        <f t="shared" si="7"/>
        <v>428.30355434490451</v>
      </c>
      <c r="BH67" s="62">
        <f t="shared" si="8"/>
        <v>721.63688767823783</v>
      </c>
      <c r="BI67" s="62">
        <f ca="1">AVERAGE(OFFSET($BH$3,0,0,'Données projet'!$E$11+1,1))-AVERAGE(OFFSET($H$3,0,0,'Données projet'!$E$11+1,1))</f>
        <v>236.29093866505224</v>
      </c>
      <c r="BJ67" s="62">
        <f t="shared" si="38"/>
        <v>258.22911730540892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6.9</v>
      </c>
      <c r="BY67" s="13">
        <f>IF('Données projet'!$A$114&gt;35,BY66+BX67-CG66,IF(A67&lt;'Données projet'!$A$114,$BV$205^A67,IF(A67='Données projet'!$A$114,'Données projet'!$B$114,BY66+BX67-CG66)))</f>
        <v>296.0999999999998</v>
      </c>
      <c r="BZ67" s="14">
        <f>BY67*VLOOKUP('Données projet'!$B$12,Paramètres!$A$1:$I$89,3,0)*VLOOKUP('Données projet'!$B$12,Paramètres!$A$1:$I$89,5,0)</f>
        <v>230.95799999999986</v>
      </c>
      <c r="CA67" s="14">
        <f t="shared" si="39"/>
        <v>56.489773392384379</v>
      </c>
      <c r="CB67" s="22">
        <f t="shared" si="10"/>
        <v>500.63820532506924</v>
      </c>
      <c r="CC67" s="62">
        <f t="shared" si="11"/>
        <v>793.97153865840255</v>
      </c>
      <c r="CD67" s="62">
        <f ca="1">AVERAGE(OFFSET($CC$3,0,0,'Données projet'!$E$12+1,1))-AVERAGE(OFFSET($H$3,0,0,'Données projet'!$E$12+1,1))</f>
        <v>250.84814055099969</v>
      </c>
      <c r="CE67" s="62">
        <f t="shared" si="40"/>
        <v>226.15029417484465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242.7999999999999</v>
      </c>
      <c r="CU67" s="18">
        <f>CT67*VLOOKUP('Données projet'!$B$13,Paramètres!$A$1:$I$89,3,0)*VLOOKUP('Données projet'!$B$13,Paramètres!$A$1:$I$89,5,0)</f>
        <v>246.19919999999991</v>
      </c>
      <c r="CV67" s="14">
        <f t="shared" si="41"/>
        <v>59.77133248344078</v>
      </c>
      <c r="CW67" s="22">
        <f t="shared" si="13"/>
        <v>532.89867740865918</v>
      </c>
      <c r="CX67" s="62">
        <f t="shared" si="14"/>
        <v>826.23201074199255</v>
      </c>
      <c r="CY67" s="62">
        <f ca="1">AVERAGE(OFFSET($CX$3,0,0,'Données projet'!$E$13+1,1))-AVERAGE(OFFSET($H$3,0,0,'Données projet'!$E$13+1,1))</f>
        <v>385.00782828233201</v>
      </c>
      <c r="CZ67" s="62">
        <f t="shared" si="42"/>
        <v>216.22708298332475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337.27984163820884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555</v>
      </c>
      <c r="L68" s="13">
        <f>VLOOKUP(A68,'Données projet'!$A$35:$I$55,9,0)</f>
        <v>17.399999999999999</v>
      </c>
      <c r="M68" s="13">
        <f t="array" ref="M68">INDEX(L:L,MIN(IF(ISNUMBER(L68:L264),ROW(L68:L264),"")))</f>
        <v>17.399999999999999</v>
      </c>
      <c r="N68" s="14">
        <f>IF('Données projet'!$A$36&gt;35,N67+M68-V67,IF(A68&lt;'Données projet'!$A$36,$K$205^A68,IF(A68='Données projet'!$A$36,'Données projet'!$B$36,N67+M68-V67)))</f>
        <v>555</v>
      </c>
      <c r="O68" s="14">
        <f>N68*VLOOKUP('Données projet'!$B$9,Paramètres!$A$1:$I$89,3,0)*VLOOKUP('Données projet'!$B$9,Paramètres!$A$1:$I$89,5,0)</f>
        <v>331.89000000000004</v>
      </c>
      <c r="P68" s="14">
        <f t="shared" si="33"/>
        <v>77.822022056956186</v>
      </c>
      <c r="Q68" s="22">
        <f t="shared" si="54"/>
        <v>713.58177174919865</v>
      </c>
      <c r="R68" s="62">
        <f t="shared" si="55"/>
        <v>1006.9151050825319</v>
      </c>
      <c r="S68" s="62">
        <f ca="1">AVERAGE(OFFSET($R$3,0,0,'Données projet'!$E$9+1,1))-AVERAGE(OFFSET($H$3,0,0,'Données projet'!$E$9+1,1))</f>
        <v>327.17622590628559</v>
      </c>
      <c r="T68" s="62">
        <f t="shared" si="34"/>
        <v>379.61248288852113</v>
      </c>
      <c r="U68" s="16">
        <f>IF(ISNA(VLOOKUP(A68,'Données projet'!$A$35:$I$55,3,0)),0,VLOOKUP(A68,'Données projet'!$A$35:$I$55,3,0))</f>
        <v>6</v>
      </c>
      <c r="V68" s="16">
        <f>IF(ISNA(VLOOKUP(A68,'Données projet'!$A$35:$I$55,4,0)),0,VLOOKUP(A68,'Données projet'!$A$35:$I$55,4,0))</f>
        <v>555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3.2874133049335037E-4</v>
      </c>
      <c r="AC68" s="24">
        <f t="shared" ref="AC68:AC131" si="57">SUM(Z68:AB68)</f>
        <v>3.2874133049335037E-4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175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175</v>
      </c>
      <c r="AJ68" s="14">
        <f>AI68*VLOOKUP('Données projet'!$B$10,Paramètres!$A$1:$I$89,3,0)*VLOOKUP('Données projet'!$B$10,Paramètres!$A$1:$I$89,5,0)</f>
        <v>182.91</v>
      </c>
      <c r="AK68" s="14">
        <f t="shared" si="35"/>
        <v>45.969002027971285</v>
      </c>
      <c r="AL68" s="22">
        <f t="shared" ref="AL68:AL131" si="58">(AJ68+AK68)*0.475*44/12</f>
        <v>398.63092853204995</v>
      </c>
      <c r="AM68" s="62">
        <f t="shared" ref="AM68:AM131" si="59">AL68+(AD68+AE68)*44/12</f>
        <v>691.96426186538326</v>
      </c>
      <c r="AN68" s="62">
        <f ca="1">AVERAGE(OFFSET($AM$3,0,0,'Données projet'!$E$10+1,1))-AVERAGE(OFFSET($H$3,0,0,'Données projet'!$E$10+1,1))</f>
        <v>276.87402314479681</v>
      </c>
      <c r="AO68" s="62">
        <f t="shared" si="36"/>
        <v>125.27302863901997</v>
      </c>
      <c r="AP68" s="16">
        <f>IF(ISNA(VLOOKUP(A68,'Données projet'!$A$61:$I$81,3,0)),0,VLOOKUP(A68,'Données projet'!$A$61:$I$81,3,0))</f>
        <v>4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245.1</v>
      </c>
      <c r="BB68" s="13">
        <f>VLOOKUP(A68,'Données projet'!$A$87:$I$107,9,0)</f>
        <v>2.4200000000000044</v>
      </c>
      <c r="BC68" s="13">
        <f t="array" ref="BC68">INDEX(BB:BB,MIN(IF(ISNUMBER(BB68:BB264),ROW(BB68:BB264),"")))</f>
        <v>2.4200000000000044</v>
      </c>
      <c r="BD68" s="13">
        <f>IF('Données projet'!$A$88&gt;35,BD67+BC68-BL67,IF(A68&lt;'Données projet'!$A$88,$BA$205^A68,IF(A68='Données projet'!$A$88,'Données projet'!$B$88,BD67+BC68-BL67)))</f>
        <v>245.10000000000016</v>
      </c>
      <c r="BE68" s="14">
        <f>BD68*VLOOKUP('Données projet'!$B$11,Paramètres!$A$1:$I$89,3,0)*VLOOKUP('Données projet'!$B$11,Paramètres!$A$1:$I$89,5,0)</f>
        <v>198.82512000000014</v>
      </c>
      <c r="BF68" s="14">
        <f t="shared" si="37"/>
        <v>49.485876190816398</v>
      </c>
      <c r="BG68" s="22">
        <f t="shared" ref="BG68:BG131" si="61">(BE68+BF68)*0.475*44/12</f>
        <v>432.47498503233874</v>
      </c>
      <c r="BH68" s="62">
        <f t="shared" ref="BH68:BH131" si="62">BG68+(AY68+AZ68)*44/12</f>
        <v>725.80831836567199</v>
      </c>
      <c r="BI68" s="62">
        <f ca="1">AVERAGE(OFFSET($BH$3,0,0,'Données projet'!$E$11+1,1))-AVERAGE(OFFSET($H$3,0,0,'Données projet'!$E$11+1,1))</f>
        <v>236.29093866505224</v>
      </c>
      <c r="BJ68" s="62">
        <f t="shared" si="38"/>
        <v>258.22911730540892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303</v>
      </c>
      <c r="BW68" s="13">
        <f>VLOOKUP(A68,'Données projet'!$A$113:$I$133,9,0)</f>
        <v>6.9</v>
      </c>
      <c r="BX68" s="13">
        <f t="array" ref="BX68">INDEX(BW:BW,MIN(IF(ISNUMBER(BW68:BW264),ROW(BW68:BW264),"")))</f>
        <v>6.9</v>
      </c>
      <c r="BY68" s="13">
        <f>IF('Données projet'!$A$114&gt;35,BY67+BX68-CG67,IF(A68&lt;'Données projet'!$A$114,$BV$205^A68,IF(A68='Données projet'!$A$114,'Données projet'!$B$114,BY67+BX68-CG67)))</f>
        <v>302.99999999999977</v>
      </c>
      <c r="BZ68" s="14">
        <f>BY68*VLOOKUP('Données projet'!$B$12,Paramètres!$A$1:$I$89,3,0)*VLOOKUP('Données projet'!$B$12,Paramètres!$A$1:$I$89,5,0)</f>
        <v>236.33999999999983</v>
      </c>
      <c r="CA68" s="14">
        <f t="shared" si="39"/>
        <v>57.651360738051501</v>
      </c>
      <c r="CB68" s="22">
        <f t="shared" ref="CB68:CB131" si="64">(BZ68+CA68)*0.475*44/12</f>
        <v>512.03495328543943</v>
      </c>
      <c r="CC68" s="62">
        <f t="shared" ref="CC68:CC131" si="65">CB68+(BT68+BU68)*44/12</f>
        <v>805.3682866187728</v>
      </c>
      <c r="CD68" s="62">
        <f ca="1">AVERAGE(OFFSET($CC$3,0,0,'Données projet'!$E$12+1,1))-AVERAGE(OFFSET($H$3,0,0,'Données projet'!$E$12+1,1))</f>
        <v>250.84814055099969</v>
      </c>
      <c r="CE68" s="62">
        <f t="shared" si="40"/>
        <v>226.15029417484465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250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249.99999999999989</v>
      </c>
      <c r="CU68" s="18">
        <f>CT68*VLOOKUP('Données projet'!$B$13,Paramètres!$A$1:$I$89,3,0)*VLOOKUP('Données projet'!$B$13,Paramètres!$A$1:$I$89,5,0)</f>
        <v>253.49999999999991</v>
      </c>
      <c r="CV68" s="14">
        <f t="shared" si="41"/>
        <v>61.334805663162498</v>
      </c>
      <c r="CW68" s="22">
        <f t="shared" ref="CW68:CW131" si="67">(CU68+CV68)*0.475*44/12</f>
        <v>548.33728653000776</v>
      </c>
      <c r="CX68" s="62">
        <f t="shared" ref="CX68:CX131" si="68">CW68+(CO68+CP68)*44/12</f>
        <v>841.67061986334102</v>
      </c>
      <c r="CY68" s="62">
        <f ca="1">AVERAGE(OFFSET($CX$3,0,0,'Données projet'!$E$13+1,1))-AVERAGE(OFFSET($H$3,0,0,'Données projet'!$E$13+1,1))</f>
        <v>385.00782828233201</v>
      </c>
      <c r="CZ68" s="62">
        <f t="shared" si="42"/>
        <v>216.22708298332475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338.48614777065865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327.17622590628559</v>
      </c>
      <c r="T69" s="62">
        <f t="shared" ref="T69:T132" si="88">$T$3</f>
        <v>379.61248288852113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2.3245522404813601E-4</v>
      </c>
      <c r="AC69" s="24">
        <f t="shared" si="57"/>
        <v>2.3245522404813601E-4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</v>
      </c>
      <c r="AJ69" s="14">
        <f>AI69*VLOOKUP('Données projet'!$B$10,Paramètres!$A$1:$I$89,3,0)*VLOOKUP('Données projet'!$B$10,Paramètres!$A$1:$I$89,5,0)</f>
        <v>158.87040000000002</v>
      </c>
      <c r="AK69" s="14">
        <f t="shared" ref="AK69:AK132" si="89">EXP(-1.0587+0.8836*LN(AJ69)+0.284)</f>
        <v>40.587626008643227</v>
      </c>
      <c r="AL69" s="22">
        <f t="shared" si="58"/>
        <v>347.38939529838694</v>
      </c>
      <c r="AM69" s="62">
        <f t="shared" si="59"/>
        <v>640.7227286317202</v>
      </c>
      <c r="AN69" s="62">
        <f ca="1">AVERAGE(OFFSET($AM$3,0,0,'Données projet'!$E$10+1,1))-AVERAGE(OFFSET($H$3,0,0,'Données projet'!$E$10+1,1))</f>
        <v>276.87402314479681</v>
      </c>
      <c r="AO69" s="62">
        <f t="shared" ref="AO69:AO132" si="90">$AO$3</f>
        <v>125.27302863901997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1.9199999999999988</v>
      </c>
      <c r="BD69" s="13">
        <f>IF('Données projet'!$A$88&gt;35,BD68+BC69-BL68,IF(A69&lt;'Données projet'!$A$88,$BA$205^A69,IF(A69='Données projet'!$A$88,'Données projet'!$B$88,BD68+BC69-BL68)))</f>
        <v>247.02000000000015</v>
      </c>
      <c r="BE69" s="14">
        <f>BD69*VLOOKUP('Données projet'!$B$11,Paramètres!$A$1:$I$89,3,0)*VLOOKUP('Données projet'!$B$11,Paramètres!$A$1:$I$89,5,0)</f>
        <v>200.38262400000013</v>
      </c>
      <c r="BF69" s="14">
        <f t="shared" ref="BF69:BF132" si="91">EXP(-1.0587+0.8836*LN(BE69)+0.284)</f>
        <v>49.828247543575642</v>
      </c>
      <c r="BG69" s="22">
        <f t="shared" si="61"/>
        <v>435.78393460506112</v>
      </c>
      <c r="BH69" s="62">
        <f t="shared" si="62"/>
        <v>729.11726793839443</v>
      </c>
      <c r="BI69" s="62">
        <f ca="1">AVERAGE(OFFSET($BH$3,0,0,'Données projet'!$E$11+1,1))-AVERAGE(OFFSET($H$3,0,0,'Données projet'!$E$11+1,1))</f>
        <v>236.29093866505224</v>
      </c>
      <c r="BJ69" s="62">
        <f t="shared" ref="BJ69:BJ132" si="92">$BJ$3</f>
        <v>258.22911730540892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</v>
      </c>
      <c r="BY69" s="13">
        <f>IF('Données projet'!$A$114&gt;35,BY68+BX69-CG68,IF(A69&lt;'Données projet'!$A$114,$BV$205^A69,IF(A69='Données projet'!$A$114,'Données projet'!$B$114,BY68+BX69-CG68)))</f>
        <v>255.99999999999977</v>
      </c>
      <c r="BZ69" s="14">
        <f>BY69*VLOOKUP('Données projet'!$B$12,Paramètres!$A$1:$I$89,3,0)*VLOOKUP('Données projet'!$B$12,Paramètres!$A$1:$I$89,5,0)</f>
        <v>199.67999999999984</v>
      </c>
      <c r="CA69" s="14">
        <f t="shared" ref="CA69:CA132" si="93">EXP(-1.0587+0.8836*LN(BZ69)+0.284)</f>
        <v>49.673834858130768</v>
      </c>
      <c r="CB69" s="22">
        <f t="shared" si="64"/>
        <v>434.29126237791075</v>
      </c>
      <c r="CC69" s="62">
        <f t="shared" si="65"/>
        <v>727.62459571124407</v>
      </c>
      <c r="CD69" s="62">
        <f ca="1">AVERAGE(OFFSET($CC$3,0,0,'Données projet'!$E$12+1,1))-AVERAGE(OFFSET($H$3,0,0,'Données projet'!$E$12+1,1))</f>
        <v>250.84814055099969</v>
      </c>
      <c r="CE69" s="62">
        <f t="shared" ref="CE69:CE132" si="94">$CE$3</f>
        <v>226.15029417484465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214.7999999999999</v>
      </c>
      <c r="CU69" s="18">
        <f>CT69*VLOOKUP('Données projet'!$B$13,Paramètres!$A$1:$I$89,3,0)*VLOOKUP('Données projet'!$B$13,Paramètres!$A$1:$I$89,5,0)</f>
        <v>217.80719999999994</v>
      </c>
      <c r="CV69" s="14">
        <f t="shared" ref="CV69:CV132" si="95">EXP(-1.0587+0.8836*LN(CU69)+0.284)</f>
        <v>53.638013973813976</v>
      </c>
      <c r="CW69" s="22">
        <f t="shared" si="67"/>
        <v>472.76708100439259</v>
      </c>
      <c r="CX69" s="62">
        <f t="shared" si="68"/>
        <v>766.10041433772585</v>
      </c>
      <c r="CY69" s="62">
        <f ca="1">AVERAGE(OFFSET($CX$3,0,0,'Données projet'!$E$13+1,1))-AVERAGE(OFFSET($H$3,0,0,'Données projet'!$E$13+1,1))</f>
        <v>385.00782828233201</v>
      </c>
      <c r="CZ69" s="62">
        <f t="shared" ref="CZ69:CZ132" si="96">$CZ$3</f>
        <v>216.22708298332475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339.69200392644217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327.17622590628559</v>
      </c>
      <c r="T70" s="62">
        <f t="shared" si="88"/>
        <v>379.61248288852113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1.6437066524667521E-4</v>
      </c>
      <c r="AC70" s="24">
        <f t="shared" si="57"/>
        <v>1.6437066524667521E-4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</v>
      </c>
      <c r="AJ70" s="14">
        <f>AI70*VLOOKUP('Données projet'!$B$10,Paramètres!$A$1:$I$89,3,0)*VLOOKUP('Données projet'!$B$10,Paramètres!$A$1:$I$89,5,0)</f>
        <v>164.09640000000002</v>
      </c>
      <c r="AK70" s="14">
        <f t="shared" si="89"/>
        <v>41.765106050628262</v>
      </c>
      <c r="AL70" s="22">
        <f t="shared" si="58"/>
        <v>358.54212303817758</v>
      </c>
      <c r="AM70" s="62">
        <f t="shared" si="59"/>
        <v>651.87545637151084</v>
      </c>
      <c r="AN70" s="62">
        <f ca="1">AVERAGE(OFFSET($AM$3,0,0,'Données projet'!$E$10+1,1))-AVERAGE(OFFSET($H$3,0,0,'Données projet'!$E$10+1,1))</f>
        <v>276.87402314479681</v>
      </c>
      <c r="AO70" s="62">
        <f t="shared" si="90"/>
        <v>125.27302863901997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1.9199999999999988</v>
      </c>
      <c r="BD70" s="13">
        <f>IF('Données projet'!$A$88&gt;35,BD69+BC70-BL69,IF(A70&lt;'Données projet'!$A$88,$BA$205^A70,IF(A70='Données projet'!$A$88,'Données projet'!$B$88,BD69+BC70-BL69)))</f>
        <v>248.94000000000014</v>
      </c>
      <c r="BE70" s="14">
        <f>BD70*VLOOKUP('Données projet'!$B$11,Paramètres!$A$1:$I$89,3,0)*VLOOKUP('Données projet'!$B$11,Paramètres!$A$1:$I$89,5,0)</f>
        <v>201.94012800000016</v>
      </c>
      <c r="BF70" s="14">
        <f t="shared" si="91"/>
        <v>50.170309277273546</v>
      </c>
      <c r="BG70" s="22">
        <f t="shared" si="61"/>
        <v>439.09234492458501</v>
      </c>
      <c r="BH70" s="62">
        <f t="shared" si="62"/>
        <v>732.42567825791832</v>
      </c>
      <c r="BI70" s="62">
        <f ca="1">AVERAGE(OFFSET($BH$3,0,0,'Données projet'!$E$11+1,1))-AVERAGE(OFFSET($H$3,0,0,'Données projet'!$E$11+1,1))</f>
        <v>236.29093866505224</v>
      </c>
      <c r="BJ70" s="62">
        <f t="shared" si="92"/>
        <v>258.22911730540892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</v>
      </c>
      <c r="BY70" s="13">
        <f>IF('Données projet'!$A$114&gt;35,BY69+BX70-CG69,IF(A70&lt;'Données projet'!$A$114,$BV$205^A70,IF(A70='Données projet'!$A$114,'Données projet'!$B$114,BY69+BX70-CG69)))</f>
        <v>261.99999999999977</v>
      </c>
      <c r="BZ70" s="14">
        <f>BY70*VLOOKUP('Données projet'!$B$12,Paramètres!$A$1:$I$89,3,0)*VLOOKUP('Données projet'!$B$12,Paramètres!$A$1:$I$89,5,0)</f>
        <v>204.35999999999984</v>
      </c>
      <c r="CA70" s="14">
        <f t="shared" si="93"/>
        <v>50.701157790815166</v>
      </c>
      <c r="CB70" s="22">
        <f t="shared" si="64"/>
        <v>444.23151648566937</v>
      </c>
      <c r="CC70" s="62">
        <f t="shared" si="65"/>
        <v>737.56484981900269</v>
      </c>
      <c r="CD70" s="62">
        <f ca="1">AVERAGE(OFFSET($CC$3,0,0,'Données projet'!$E$12+1,1))-AVERAGE(OFFSET($H$3,0,0,'Données projet'!$E$12+1,1))</f>
        <v>250.84814055099969</v>
      </c>
      <c r="CE70" s="62">
        <f t="shared" si="94"/>
        <v>226.15029417484465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221.59999999999991</v>
      </c>
      <c r="CU70" s="18">
        <f>CT70*VLOOKUP('Données projet'!$B$13,Paramètres!$A$1:$I$89,3,0)*VLOOKUP('Données projet'!$B$13,Paramètres!$A$1:$I$89,5,0)</f>
        <v>224.7023999999999</v>
      </c>
      <c r="CV70" s="14">
        <f t="shared" si="95"/>
        <v>55.135667706678262</v>
      </c>
      <c r="CW70" s="22">
        <f t="shared" si="67"/>
        <v>487.38463458913111</v>
      </c>
      <c r="CX70" s="62">
        <f t="shared" si="68"/>
        <v>780.71796792246437</v>
      </c>
      <c r="CY70" s="62">
        <f ca="1">AVERAGE(OFFSET($CX$3,0,0,'Données projet'!$E$13+1,1))-AVERAGE(OFFSET($H$3,0,0,'Données projet'!$E$13+1,1))</f>
        <v>385.00782828233201</v>
      </c>
      <c r="CZ70" s="62">
        <f t="shared" si="96"/>
        <v>216.22708298332475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340.89741759743021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327.17622590628559</v>
      </c>
      <c r="T71" s="62">
        <f t="shared" si="88"/>
        <v>379.61248288852113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1.1622761202406803E-4</v>
      </c>
      <c r="AC71" s="24">
        <f t="shared" si="57"/>
        <v>1.1622761202406803E-4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</v>
      </c>
      <c r="AJ71" s="14">
        <f>AI71*VLOOKUP('Données projet'!$B$10,Paramètres!$A$1:$I$89,3,0)*VLOOKUP('Données projet'!$B$10,Paramètres!$A$1:$I$89,5,0)</f>
        <v>169.32240000000002</v>
      </c>
      <c r="AK71" s="14">
        <f t="shared" si="89"/>
        <v>42.938228468783223</v>
      </c>
      <c r="AL71" s="22">
        <f t="shared" si="58"/>
        <v>369.68726124979747</v>
      </c>
      <c r="AM71" s="62">
        <f t="shared" si="59"/>
        <v>663.02059458313079</v>
      </c>
      <c r="AN71" s="62">
        <f ca="1">AVERAGE(OFFSET($AM$3,0,0,'Données projet'!$E$10+1,1))-AVERAGE(OFFSET($H$3,0,0,'Données projet'!$E$10+1,1))</f>
        <v>276.87402314479681</v>
      </c>
      <c r="AO71" s="62">
        <f t="shared" si="90"/>
        <v>125.27302863901997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1.9199999999999988</v>
      </c>
      <c r="BD71" s="13">
        <f>IF('Données projet'!$A$88&gt;35,BD70+BC71-BL70,IF(A71&lt;'Données projet'!$A$88,$BA$205^A71,IF(A71='Données projet'!$A$88,'Données projet'!$B$88,BD70+BC71-BL70)))</f>
        <v>250.86000000000013</v>
      </c>
      <c r="BE71" s="14">
        <f>BD71*VLOOKUP('Données projet'!$B$11,Paramètres!$A$1:$I$89,3,0)*VLOOKUP('Données projet'!$B$11,Paramètres!$A$1:$I$89,5,0)</f>
        <v>203.49763200000012</v>
      </c>
      <c r="BF71" s="14">
        <f t="shared" si="91"/>
        <v>50.512064056729479</v>
      </c>
      <c r="BG71" s="22">
        <f t="shared" si="61"/>
        <v>442.4002206321374</v>
      </c>
      <c r="BH71" s="62">
        <f t="shared" si="62"/>
        <v>735.73355396547072</v>
      </c>
      <c r="BI71" s="62">
        <f ca="1">AVERAGE(OFFSET($BH$3,0,0,'Données projet'!$E$11+1,1))-AVERAGE(OFFSET($H$3,0,0,'Données projet'!$E$11+1,1))</f>
        <v>236.29093866505224</v>
      </c>
      <c r="BJ71" s="62">
        <f t="shared" si="92"/>
        <v>258.22911730540892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</v>
      </c>
      <c r="BY71" s="13">
        <f>IF('Données projet'!$A$114&gt;35,BY70+BX71-CG70,IF(A71&lt;'Données projet'!$A$114,$BV$205^A71,IF(A71='Données projet'!$A$114,'Données projet'!$B$114,BY70+BX71-CG70)))</f>
        <v>267.99999999999977</v>
      </c>
      <c r="BZ71" s="14">
        <f>BY71*VLOOKUP('Données projet'!$B$12,Paramètres!$A$1:$I$89,3,0)*VLOOKUP('Données projet'!$B$12,Paramètres!$A$1:$I$89,5,0)</f>
        <v>209.03999999999982</v>
      </c>
      <c r="CA71" s="14">
        <f t="shared" si="93"/>
        <v>51.725745635299404</v>
      </c>
      <c r="CB71" s="22">
        <f t="shared" si="64"/>
        <v>454.16700698147952</v>
      </c>
      <c r="CC71" s="62">
        <f t="shared" si="65"/>
        <v>747.50034031481277</v>
      </c>
      <c r="CD71" s="62">
        <f ca="1">AVERAGE(OFFSET($CC$3,0,0,'Données projet'!$E$12+1,1))-AVERAGE(OFFSET($H$3,0,0,'Données projet'!$E$12+1,1))</f>
        <v>250.84814055099969</v>
      </c>
      <c r="CE71" s="62">
        <f t="shared" si="94"/>
        <v>226.15029417484465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228.39999999999992</v>
      </c>
      <c r="CU71" s="18">
        <f>CT71*VLOOKUP('Données projet'!$B$13,Paramètres!$A$1:$I$89,3,0)*VLOOKUP('Données projet'!$B$13,Paramètres!$A$1:$I$89,5,0)</f>
        <v>231.59759999999994</v>
      </c>
      <c r="CV71" s="14">
        <f t="shared" si="95"/>
        <v>56.627980714948151</v>
      </c>
      <c r="CW71" s="22">
        <f t="shared" si="67"/>
        <v>501.99288641186786</v>
      </c>
      <c r="CX71" s="62">
        <f t="shared" si="68"/>
        <v>795.32621974520112</v>
      </c>
      <c r="CY71" s="62">
        <f ca="1">AVERAGE(OFFSET($CX$3,0,0,'Données projet'!$E$13+1,1))-AVERAGE(OFFSET($H$3,0,0,'Données projet'!$E$13+1,1))</f>
        <v>385.00782828233201</v>
      </c>
      <c r="CZ71" s="62">
        <f t="shared" si="96"/>
        <v>216.22708298332475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342.10239604249472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327.17622590628559</v>
      </c>
      <c r="T72" s="62">
        <f t="shared" si="88"/>
        <v>379.61248288852113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8.2185332623337619E-5</v>
      </c>
      <c r="AC72" s="24">
        <f t="shared" si="57"/>
        <v>8.2185332623337619E-5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</v>
      </c>
      <c r="AJ72" s="14">
        <f>AI72*VLOOKUP('Données projet'!$B$10,Paramètres!$A$1:$I$89,3,0)*VLOOKUP('Données projet'!$B$10,Paramètres!$A$1:$I$89,5,0)</f>
        <v>174.54840000000002</v>
      </c>
      <c r="AK72" s="14">
        <f t="shared" si="89"/>
        <v>44.107143191738089</v>
      </c>
      <c r="AL72" s="22">
        <f t="shared" si="58"/>
        <v>380.82507105894382</v>
      </c>
      <c r="AM72" s="62">
        <f t="shared" si="59"/>
        <v>674.15840439227713</v>
      </c>
      <c r="AN72" s="62">
        <f ca="1">AVERAGE(OFFSET($AM$3,0,0,'Données projet'!$E$10+1,1))-AVERAGE(OFFSET($H$3,0,0,'Données projet'!$E$10+1,1))</f>
        <v>276.87402314479681</v>
      </c>
      <c r="AO72" s="62">
        <f t="shared" si="90"/>
        <v>125.27302863901997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1.9199999999999988</v>
      </c>
      <c r="BD72" s="13">
        <f>IF('Données projet'!$A$88&gt;35,BD71+BC72-BL71,IF(A72&lt;'Données projet'!$A$88,$BA$205^A72,IF(A72='Données projet'!$A$88,'Données projet'!$B$88,BD71+BC72-BL71)))</f>
        <v>252.78000000000011</v>
      </c>
      <c r="BE72" s="14">
        <f>BD72*VLOOKUP('Données projet'!$B$11,Paramètres!$A$1:$I$89,3,0)*VLOOKUP('Données projet'!$B$11,Paramètres!$A$1:$I$89,5,0)</f>
        <v>205.05513600000012</v>
      </c>
      <c r="BF72" s="14">
        <f t="shared" si="91"/>
        <v>50.853514503615408</v>
      </c>
      <c r="BG72" s="22">
        <f t="shared" si="61"/>
        <v>445.70756629379702</v>
      </c>
      <c r="BH72" s="62">
        <f t="shared" si="62"/>
        <v>739.04089962713033</v>
      </c>
      <c r="BI72" s="62">
        <f ca="1">AVERAGE(OFFSET($BH$3,0,0,'Données projet'!$E$11+1,1))-AVERAGE(OFFSET($H$3,0,0,'Données projet'!$E$11+1,1))</f>
        <v>236.29093866505224</v>
      </c>
      <c r="BJ72" s="62">
        <f t="shared" si="92"/>
        <v>258.22911730540892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</v>
      </c>
      <c r="BY72" s="13">
        <f>IF('Données projet'!$A$114&gt;35,BY71+BX72-CG71,IF(A72&lt;'Données projet'!$A$114,$BV$205^A72,IF(A72='Données projet'!$A$114,'Données projet'!$B$114,BY71+BX72-CG71)))</f>
        <v>273.99999999999977</v>
      </c>
      <c r="BZ72" s="14">
        <f>BY72*VLOOKUP('Données projet'!$B$12,Paramètres!$A$1:$I$89,3,0)*VLOOKUP('Données projet'!$B$12,Paramètres!$A$1:$I$89,5,0)</f>
        <v>213.71999999999983</v>
      </c>
      <c r="CA72" s="14">
        <f t="shared" si="93"/>
        <v>52.747666674989134</v>
      </c>
      <c r="CB72" s="22">
        <f t="shared" si="64"/>
        <v>464.09785279227236</v>
      </c>
      <c r="CC72" s="62">
        <f t="shared" si="65"/>
        <v>757.43118612560568</v>
      </c>
      <c r="CD72" s="62">
        <f ca="1">AVERAGE(OFFSET($CC$3,0,0,'Données projet'!$E$12+1,1))-AVERAGE(OFFSET($H$3,0,0,'Données projet'!$E$12+1,1))</f>
        <v>250.84814055099969</v>
      </c>
      <c r="CE72" s="62">
        <f t="shared" si="94"/>
        <v>226.15029417484465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235.19999999999993</v>
      </c>
      <c r="CU72" s="18">
        <f>CT72*VLOOKUP('Données projet'!$B$13,Paramètres!$A$1:$I$89,3,0)*VLOOKUP('Données projet'!$B$13,Paramètres!$A$1:$I$89,5,0)</f>
        <v>238.49279999999996</v>
      </c>
      <c r="CV72" s="14">
        <f t="shared" si="95"/>
        <v>58.115130258576542</v>
      </c>
      <c r="CW72" s="22">
        <f t="shared" si="67"/>
        <v>516.59214520035414</v>
      </c>
      <c r="CX72" s="62">
        <f t="shared" si="68"/>
        <v>809.92547853368751</v>
      </c>
      <c r="CY72" s="62">
        <f ca="1">AVERAGE(OFFSET($CX$3,0,0,'Données projet'!$E$13+1,1))-AVERAGE(OFFSET($H$3,0,0,'Données projet'!$E$13+1,1))</f>
        <v>385.00782828233201</v>
      </c>
      <c r="CZ72" s="62">
        <f t="shared" si="96"/>
        <v>216.22708298332475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343.30694629802451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327.17622590628559</v>
      </c>
      <c r="T73" s="62">
        <f t="shared" si="88"/>
        <v>379.61248288852113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5.8113806012034023E-5</v>
      </c>
      <c r="AC73" s="24">
        <f t="shared" si="57"/>
        <v>5.8113806012034023E-5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</v>
      </c>
      <c r="AJ73" s="14">
        <f>AI73*VLOOKUP('Données projet'!$B$10,Paramètres!$A$1:$I$89,3,0)*VLOOKUP('Données projet'!$B$10,Paramètres!$A$1:$I$89,5,0)</f>
        <v>179.77440000000001</v>
      </c>
      <c r="AK73" s="14">
        <f t="shared" si="89"/>
        <v>45.271990660094822</v>
      </c>
      <c r="AL73" s="22">
        <f t="shared" si="58"/>
        <v>391.9557970663318</v>
      </c>
      <c r="AM73" s="62">
        <f t="shared" si="59"/>
        <v>685.28913039966505</v>
      </c>
      <c r="AN73" s="62">
        <f ca="1">AVERAGE(OFFSET($AM$3,0,0,'Données projet'!$E$10+1,1))-AVERAGE(OFFSET($H$3,0,0,'Données projet'!$E$10+1,1))</f>
        <v>276.87402314479681</v>
      </c>
      <c r="AO73" s="62">
        <f t="shared" si="90"/>
        <v>125.27302863901997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254.7</v>
      </c>
      <c r="BB73" s="13">
        <f>VLOOKUP(A73,'Données projet'!$A$87:$I$107,9,0)</f>
        <v>1.9199999999999988</v>
      </c>
      <c r="BC73" s="13">
        <f t="array" ref="BC73">INDEX(BB:BB,MIN(IF(ISNUMBER(BB73:BB269),ROW(BB73:BB269),"")))</f>
        <v>1.9199999999999988</v>
      </c>
      <c r="BD73" s="13">
        <f>IF('Données projet'!$A$88&gt;35,BD72+BC73-BL72,IF(A73&lt;'Données projet'!$A$88,$BA$205^A73,IF(A73='Données projet'!$A$88,'Données projet'!$B$88,BD72+BC73-BL72)))</f>
        <v>254.7000000000001</v>
      </c>
      <c r="BE73" s="14">
        <f>BD73*VLOOKUP('Données projet'!$B$11,Paramètres!$A$1:$I$89,3,0)*VLOOKUP('Données projet'!$B$11,Paramètres!$A$1:$I$89,5,0)</f>
        <v>206.61264000000008</v>
      </c>
      <c r="BF73" s="14">
        <f t="shared" si="91"/>
        <v>51.19466319747675</v>
      </c>
      <c r="BG73" s="22">
        <f t="shared" si="61"/>
        <v>449.01438640227207</v>
      </c>
      <c r="BH73" s="62">
        <f t="shared" si="62"/>
        <v>742.34771973560532</v>
      </c>
      <c r="BI73" s="62">
        <f ca="1">AVERAGE(OFFSET($BH$3,0,0,'Données projet'!$E$11+1,1))-AVERAGE(OFFSET($H$3,0,0,'Données projet'!$E$11+1,1))</f>
        <v>236.29093866505224</v>
      </c>
      <c r="BJ73" s="62">
        <f t="shared" si="92"/>
        <v>258.22911730540892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254.7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280</v>
      </c>
      <c r="BW73" s="13">
        <f>VLOOKUP(A73,'Données projet'!$A$113:$I$133,9,0)</f>
        <v>6</v>
      </c>
      <c r="BX73" s="13">
        <f t="array" ref="BX73">INDEX(BW:BW,MIN(IF(ISNUMBER(BW73:BW269),ROW(BW73:BW269),"")))</f>
        <v>6</v>
      </c>
      <c r="BY73" s="13">
        <f>IF('Données projet'!$A$114&gt;35,BY72+BX73-CG72,IF(A73&lt;'Données projet'!$A$114,$BV$205^A73,IF(A73='Données projet'!$A$114,'Données projet'!$B$114,BY72+BX73-CG72)))</f>
        <v>279.99999999999977</v>
      </c>
      <c r="BZ73" s="14">
        <f>BY73*VLOOKUP('Données projet'!$B$12,Paramètres!$A$1:$I$89,3,0)*VLOOKUP('Données projet'!$B$12,Paramètres!$A$1:$I$89,5,0)</f>
        <v>218.39999999999984</v>
      </c>
      <c r="CA73" s="14">
        <f t="shared" si="93"/>
        <v>53.766986031998471</v>
      </c>
      <c r="CB73" s="22">
        <f t="shared" si="64"/>
        <v>474.02416733906375</v>
      </c>
      <c r="CC73" s="62">
        <f t="shared" si="65"/>
        <v>767.35750067239701</v>
      </c>
      <c r="CD73" s="62">
        <f ca="1">AVERAGE(OFFSET($CC$3,0,0,'Données projet'!$E$12+1,1))-AVERAGE(OFFSET($H$3,0,0,'Données projet'!$E$12+1,1))</f>
        <v>250.84814055099969</v>
      </c>
      <c r="CE73" s="62">
        <f t="shared" si="94"/>
        <v>226.15029417484465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241.99999999999994</v>
      </c>
      <c r="CU73" s="18">
        <f>CT73*VLOOKUP('Données projet'!$B$13,Paramètres!$A$1:$I$89,3,0)*VLOOKUP('Données projet'!$B$13,Paramètres!$A$1:$I$89,5,0)</f>
        <v>245.38799999999995</v>
      </c>
      <c r="CV73" s="14">
        <f t="shared" si="95"/>
        <v>59.597282764919569</v>
      </c>
      <c r="CW73" s="22">
        <f t="shared" si="67"/>
        <v>531.18270081556818</v>
      </c>
      <c r="CX73" s="62">
        <f t="shared" si="68"/>
        <v>824.51603414890155</v>
      </c>
      <c r="CY73" s="62">
        <f ca="1">AVERAGE(OFFSET($CX$3,0,0,'Données projet'!$E$13+1,1))-AVERAGE(OFFSET($H$3,0,0,'Données projet'!$E$13+1,1))</f>
        <v>385.00782828233201</v>
      </c>
      <c r="CZ73" s="62">
        <f t="shared" si="96"/>
        <v>216.22708298332475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344.51107518782362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327.17622590628559</v>
      </c>
      <c r="T74" s="62">
        <f t="shared" si="88"/>
        <v>379.61248288852113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4.1092666311668816E-5</v>
      </c>
      <c r="AC74" s="24">
        <f t="shared" si="57"/>
        <v>4.1092666311668816E-5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177</v>
      </c>
      <c r="AJ74" s="14">
        <f>AI74*VLOOKUP('Données projet'!$B$10,Paramètres!$A$1:$I$89,3,0)*VLOOKUP('Données projet'!$B$10,Paramètres!$A$1:$I$89,5,0)</f>
        <v>185.00040000000001</v>
      </c>
      <c r="AK74" s="14">
        <f t="shared" si="89"/>
        <v>46.43290268501466</v>
      </c>
      <c r="AL74" s="22">
        <f t="shared" si="58"/>
        <v>403.07966884306717</v>
      </c>
      <c r="AM74" s="62">
        <f t="shared" si="59"/>
        <v>696.41300217640048</v>
      </c>
      <c r="AN74" s="62">
        <f ca="1">AVERAGE(OFFSET($AM$3,0,0,'Données projet'!$E$10+1,1))-AVERAGE(OFFSET($H$3,0,0,'Données projet'!$E$10+1,1))</f>
        <v>276.87402314479681</v>
      </c>
      <c r="AO74" s="62">
        <f t="shared" si="90"/>
        <v>125.27302863901997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9.2222762759774927E-14</v>
      </c>
      <c r="BF74" s="14">
        <f t="shared" si="91"/>
        <v>1.3985662224947967E-12</v>
      </c>
      <c r="BG74" s="22">
        <f t="shared" si="61"/>
        <v>2.5964574826517121E-12</v>
      </c>
      <c r="BH74" s="62">
        <f t="shared" si="62"/>
        <v>293.33333333333593</v>
      </c>
      <c r="BI74" s="62">
        <f ca="1">AVERAGE(OFFSET($BH$3,0,0,'Données projet'!$E$11+1,1))-AVERAGE(OFFSET($H$3,0,0,'Données projet'!$E$11+1,1))</f>
        <v>236.29093866505224</v>
      </c>
      <c r="BJ74" s="62">
        <f t="shared" si="92"/>
        <v>258.22911730540892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5.2</v>
      </c>
      <c r="BY74" s="13">
        <f>IF('Données projet'!$A$114&gt;35,BY73+BX74-CG73,IF(A74&lt;'Données projet'!$A$114,$BV$205^A74,IF(A74='Données projet'!$A$114,'Données projet'!$B$114,BY73+BX74-CG73)))</f>
        <v>265.19999999999976</v>
      </c>
      <c r="BZ74" s="14">
        <f>BY74*VLOOKUP('Données projet'!$B$12,Paramètres!$A$1:$I$89,3,0)*VLOOKUP('Données projet'!$B$12,Paramètres!$A$1:$I$89,5,0)</f>
        <v>206.85599999999982</v>
      </c>
      <c r="CA74" s="14">
        <f t="shared" si="93"/>
        <v>51.247940588293027</v>
      </c>
      <c r="CB74" s="22">
        <f t="shared" si="64"/>
        <v>449.53102985794334</v>
      </c>
      <c r="CC74" s="62">
        <f t="shared" si="65"/>
        <v>742.86436319127665</v>
      </c>
      <c r="CD74" s="62">
        <f ca="1">AVERAGE(OFFSET($CC$3,0,0,'Données projet'!$E$12+1,1))-AVERAGE(OFFSET($H$3,0,0,'Données projet'!$E$12+1,1))</f>
        <v>250.84814055099969</v>
      </c>
      <c r="CE74" s="62">
        <f t="shared" si="94"/>
        <v>226.15029417484465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248.19999999999993</v>
      </c>
      <c r="CU74" s="18">
        <f>CT74*VLOOKUP('Données projet'!$B$13,Paramètres!$A$1:$I$89,3,0)*VLOOKUP('Données projet'!$B$13,Paramètres!$A$1:$I$89,5,0)</f>
        <v>251.67479999999995</v>
      </c>
      <c r="CV74" s="14">
        <f t="shared" si="95"/>
        <v>60.944434584138449</v>
      </c>
      <c r="CW74" s="22">
        <f t="shared" si="67"/>
        <v>544.47850023404101</v>
      </c>
      <c r="CX74" s="62">
        <f t="shared" si="68"/>
        <v>837.81183356737438</v>
      </c>
      <c r="CY74" s="62">
        <f ca="1">AVERAGE(OFFSET($CX$3,0,0,'Données projet'!$E$13+1,1))-AVERAGE(OFFSET($H$3,0,0,'Données projet'!$E$13+1,1))</f>
        <v>385.00782828233201</v>
      </c>
      <c r="CZ74" s="62">
        <f t="shared" si="96"/>
        <v>216.22708298332475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345.71478933243532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327.17622590628559</v>
      </c>
      <c r="T75" s="62">
        <f t="shared" si="88"/>
        <v>379.61248288852113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2.9056903006017015E-5</v>
      </c>
      <c r="AC75" s="24">
        <f t="shared" si="57"/>
        <v>2.9056903006017015E-5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182</v>
      </c>
      <c r="AJ75" s="14">
        <f>AI75*VLOOKUP('Données projet'!$B$10,Paramètres!$A$1:$I$89,3,0)*VLOOKUP('Données projet'!$B$10,Paramètres!$A$1:$I$89,5,0)</f>
        <v>190.22640000000001</v>
      </c>
      <c r="AK75" s="14">
        <f t="shared" si="89"/>
        <v>47.590003207063162</v>
      </c>
      <c r="AL75" s="22">
        <f t="shared" si="58"/>
        <v>414.19690225230164</v>
      </c>
      <c r="AM75" s="62">
        <f t="shared" si="59"/>
        <v>707.53023558563495</v>
      </c>
      <c r="AN75" s="62">
        <f ca="1">AVERAGE(OFFSET($AM$3,0,0,'Données projet'!$E$10+1,1))-AVERAGE(OFFSET($H$3,0,0,'Données projet'!$E$10+1,1))</f>
        <v>276.87402314479681</v>
      </c>
      <c r="AO75" s="62">
        <f t="shared" si="90"/>
        <v>125.27302863901997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9.2222762759774927E-14</v>
      </c>
      <c r="BF75" s="14">
        <f t="shared" si="91"/>
        <v>1.3985662224947967E-12</v>
      </c>
      <c r="BG75" s="22">
        <f t="shared" si="61"/>
        <v>2.5964574826517121E-12</v>
      </c>
      <c r="BH75" s="62">
        <f t="shared" si="62"/>
        <v>293.33333333333593</v>
      </c>
      <c r="BI75" s="62">
        <f ca="1">AVERAGE(OFFSET($BH$3,0,0,'Données projet'!$E$11+1,1))-AVERAGE(OFFSET($H$3,0,0,'Données projet'!$E$11+1,1))</f>
        <v>236.29093866505224</v>
      </c>
      <c r="BJ75" s="62">
        <f t="shared" si="92"/>
        <v>258.22911730540892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5.2</v>
      </c>
      <c r="BY75" s="13">
        <f>IF('Données projet'!$A$114&gt;35,BY74+BX75-CG74,IF(A75&lt;'Données projet'!$A$114,$BV$205^A75,IF(A75='Données projet'!$A$114,'Données projet'!$B$114,BY74+BX75-CG74)))</f>
        <v>270.39999999999975</v>
      </c>
      <c r="BZ75" s="14">
        <f>BY75*VLOOKUP('Données projet'!$B$12,Paramètres!$A$1:$I$89,3,0)*VLOOKUP('Données projet'!$B$12,Paramètres!$A$1:$I$89,5,0)</f>
        <v>210.91199999999981</v>
      </c>
      <c r="CA75" s="14">
        <f t="shared" si="93"/>
        <v>52.134830352456738</v>
      </c>
      <c r="CB75" s="22">
        <f t="shared" si="64"/>
        <v>458.13989619719513</v>
      </c>
      <c r="CC75" s="62">
        <f t="shared" si="65"/>
        <v>751.47322953052844</v>
      </c>
      <c r="CD75" s="62">
        <f ca="1">AVERAGE(OFFSET($CC$3,0,0,'Données projet'!$E$12+1,1))-AVERAGE(OFFSET($H$3,0,0,'Données projet'!$E$12+1,1))</f>
        <v>250.84814055099969</v>
      </c>
      <c r="CE75" s="62">
        <f t="shared" si="94"/>
        <v>226.15029417484465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254.39999999999992</v>
      </c>
      <c r="CU75" s="18">
        <f>CT75*VLOOKUP('Données projet'!$B$13,Paramètres!$A$1:$I$89,3,0)*VLOOKUP('Données projet'!$B$13,Paramètres!$A$1:$I$89,5,0)</f>
        <v>257.96159999999992</v>
      </c>
      <c r="CV75" s="14">
        <f t="shared" si="95"/>
        <v>62.287674609742481</v>
      </c>
      <c r="CW75" s="22">
        <f t="shared" si="67"/>
        <v>557.76748661196802</v>
      </c>
      <c r="CX75" s="62">
        <f t="shared" si="68"/>
        <v>851.10081994530128</v>
      </c>
      <c r="CY75" s="62">
        <f ca="1">AVERAGE(OFFSET($CX$3,0,0,'Données projet'!$E$13+1,1))-AVERAGE(OFFSET($H$3,0,0,'Données projet'!$E$13+1,1))</f>
        <v>385.00782828233201</v>
      </c>
      <c r="CZ75" s="62">
        <f t="shared" si="96"/>
        <v>216.22708298332475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346.9180951579346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327.17622590628559</v>
      </c>
      <c r="T76" s="62">
        <f t="shared" si="88"/>
        <v>379.61248288852113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2.0546333155834408E-5</v>
      </c>
      <c r="AC76" s="24">
        <f t="shared" si="57"/>
        <v>2.0546333155834408E-5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187</v>
      </c>
      <c r="AJ76" s="14">
        <f>AI76*VLOOKUP('Données projet'!$B$10,Paramètres!$A$1:$I$89,3,0)*VLOOKUP('Données projet'!$B$10,Paramètres!$A$1:$I$89,5,0)</f>
        <v>195.45240000000001</v>
      </c>
      <c r="AK76" s="14">
        <f t="shared" si="89"/>
        <v>48.743408969320619</v>
      </c>
      <c r="AL76" s="22">
        <f t="shared" si="58"/>
        <v>425.30770062156677</v>
      </c>
      <c r="AM76" s="62">
        <f t="shared" si="59"/>
        <v>718.64103395490008</v>
      </c>
      <c r="AN76" s="62">
        <f ca="1">AVERAGE(OFFSET($AM$3,0,0,'Données projet'!$E$10+1,1))-AVERAGE(OFFSET($H$3,0,0,'Données projet'!$E$10+1,1))</f>
        <v>276.87402314479681</v>
      </c>
      <c r="AO76" s="62">
        <f t="shared" si="90"/>
        <v>125.27302863901997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9.2222762759774927E-14</v>
      </c>
      <c r="BF76" s="14">
        <f t="shared" si="91"/>
        <v>1.3985662224947967E-12</v>
      </c>
      <c r="BG76" s="22">
        <f t="shared" si="61"/>
        <v>2.5964574826517121E-12</v>
      </c>
      <c r="BH76" s="62">
        <f t="shared" si="62"/>
        <v>293.33333333333593</v>
      </c>
      <c r="BI76" s="62">
        <f ca="1">AVERAGE(OFFSET($BH$3,0,0,'Données projet'!$E$11+1,1))-AVERAGE(OFFSET($H$3,0,0,'Données projet'!$E$11+1,1))</f>
        <v>236.29093866505224</v>
      </c>
      <c r="BJ76" s="62">
        <f t="shared" si="92"/>
        <v>258.22911730540892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5.2</v>
      </c>
      <c r="BY76" s="13">
        <f>IF('Données projet'!$A$114&gt;35,BY75+BX76-CG75,IF(A76&lt;'Données projet'!$A$114,$BV$205^A76,IF(A76='Données projet'!$A$114,'Données projet'!$B$114,BY75+BX76-CG75)))</f>
        <v>275.59999999999974</v>
      </c>
      <c r="BZ76" s="14">
        <f>BY76*VLOOKUP('Données projet'!$B$12,Paramètres!$A$1:$I$89,3,0)*VLOOKUP('Données projet'!$B$12,Paramètres!$A$1:$I$89,5,0)</f>
        <v>214.96799999999979</v>
      </c>
      <c r="CA76" s="14">
        <f t="shared" si="93"/>
        <v>53.019736939092944</v>
      </c>
      <c r="CB76" s="22">
        <f t="shared" si="64"/>
        <v>466.74530850225307</v>
      </c>
      <c r="CC76" s="62">
        <f t="shared" si="65"/>
        <v>760.07864183558638</v>
      </c>
      <c r="CD76" s="62">
        <f ca="1">AVERAGE(OFFSET($CC$3,0,0,'Données projet'!$E$12+1,1))-AVERAGE(OFFSET($H$3,0,0,'Données projet'!$E$12+1,1))</f>
        <v>250.84814055099969</v>
      </c>
      <c r="CE76" s="62">
        <f t="shared" si="94"/>
        <v>226.15029417484465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260.59999999999991</v>
      </c>
      <c r="CU76" s="18">
        <f>CT76*VLOOKUP('Données projet'!$B$13,Paramètres!$A$1:$I$89,3,0)*VLOOKUP('Données projet'!$B$13,Paramètres!$A$1:$I$89,5,0)</f>
        <v>264.24839999999995</v>
      </c>
      <c r="CV76" s="14">
        <f t="shared" si="95"/>
        <v>63.627109143733414</v>
      </c>
      <c r="CW76" s="22">
        <f t="shared" si="67"/>
        <v>571.04984509200233</v>
      </c>
      <c r="CX76" s="62">
        <f t="shared" si="68"/>
        <v>864.3831784253357</v>
      </c>
      <c r="CY76" s="62">
        <f ca="1">AVERAGE(OFFSET($CX$3,0,0,'Données projet'!$E$13+1,1))-AVERAGE(OFFSET($H$3,0,0,'Données projet'!$E$13+1,1))</f>
        <v>385.00782828233201</v>
      </c>
      <c r="CZ76" s="62">
        <f t="shared" si="96"/>
        <v>216.22708298332475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348.12099890422405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327.17622590628559</v>
      </c>
      <c r="T77" s="62">
        <f t="shared" si="88"/>
        <v>379.61248288852113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1.4528451503008507E-5</v>
      </c>
      <c r="AC77" s="24">
        <f t="shared" si="57"/>
        <v>1.4528451503008507E-5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192</v>
      </c>
      <c r="AJ77" s="14">
        <f>AI77*VLOOKUP('Données projet'!$B$10,Paramètres!$A$1:$I$89,3,0)*VLOOKUP('Données projet'!$B$10,Paramètres!$A$1:$I$89,5,0)</f>
        <v>200.67840000000004</v>
      </c>
      <c r="AK77" s="14">
        <f t="shared" si="89"/>
        <v>49.893230116477916</v>
      </c>
      <c r="AL77" s="22">
        <f t="shared" si="58"/>
        <v>436.41225578619907</v>
      </c>
      <c r="AM77" s="62">
        <f t="shared" si="59"/>
        <v>729.74558911953238</v>
      </c>
      <c r="AN77" s="62">
        <f ca="1">AVERAGE(OFFSET($AM$3,0,0,'Données projet'!$E$10+1,1))-AVERAGE(OFFSET($H$3,0,0,'Données projet'!$E$10+1,1))</f>
        <v>276.87402314479681</v>
      </c>
      <c r="AO77" s="62">
        <f t="shared" si="90"/>
        <v>125.27302863901997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9.2222762759774927E-14</v>
      </c>
      <c r="BF77" s="14">
        <f t="shared" si="91"/>
        <v>1.3985662224947967E-12</v>
      </c>
      <c r="BG77" s="22">
        <f t="shared" si="61"/>
        <v>2.5964574826517121E-12</v>
      </c>
      <c r="BH77" s="62">
        <f t="shared" si="62"/>
        <v>293.33333333333593</v>
      </c>
      <c r="BI77" s="62">
        <f ca="1">AVERAGE(OFFSET($BH$3,0,0,'Données projet'!$E$11+1,1))-AVERAGE(OFFSET($H$3,0,0,'Données projet'!$E$11+1,1))</f>
        <v>236.29093866505224</v>
      </c>
      <c r="BJ77" s="62">
        <f t="shared" si="92"/>
        <v>258.22911730540892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5.2</v>
      </c>
      <c r="BY77" s="13">
        <f>IF('Données projet'!$A$114&gt;35,BY76+BX77-CG76,IF(A77&lt;'Données projet'!$A$114,$BV$205^A77,IF(A77='Données projet'!$A$114,'Données projet'!$B$114,BY76+BX77-CG76)))</f>
        <v>280.79999999999973</v>
      </c>
      <c r="BZ77" s="14">
        <f>BY77*VLOOKUP('Données projet'!$B$12,Paramètres!$A$1:$I$89,3,0)*VLOOKUP('Données projet'!$B$12,Paramètres!$A$1:$I$89,5,0)</f>
        <v>219.0239999999998</v>
      </c>
      <c r="CA77" s="14">
        <f t="shared" si="93"/>
        <v>53.902702081308306</v>
      </c>
      <c r="CB77" s="22">
        <f t="shared" si="64"/>
        <v>475.34733945827821</v>
      </c>
      <c r="CC77" s="62">
        <f t="shared" si="65"/>
        <v>768.68067279161153</v>
      </c>
      <c r="CD77" s="62">
        <f ca="1">AVERAGE(OFFSET($CC$3,0,0,'Données projet'!$E$12+1,1))-AVERAGE(OFFSET($H$3,0,0,'Données projet'!$E$12+1,1))</f>
        <v>250.84814055099969</v>
      </c>
      <c r="CE77" s="62">
        <f t="shared" si="94"/>
        <v>226.15029417484465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266.7999999999999</v>
      </c>
      <c r="CU77" s="18">
        <f>CT77*VLOOKUP('Données projet'!$B$13,Paramètres!$A$1:$I$89,3,0)*VLOOKUP('Données projet'!$B$13,Paramètres!$A$1:$I$89,5,0)</f>
        <v>270.53519999999992</v>
      </c>
      <c r="CV77" s="14">
        <f t="shared" si="95"/>
        <v>64.962839141501405</v>
      </c>
      <c r="CW77" s="22">
        <f t="shared" si="67"/>
        <v>584.32575150478135</v>
      </c>
      <c r="CX77" s="62">
        <f t="shared" si="68"/>
        <v>877.65908483811472</v>
      </c>
      <c r="CY77" s="62">
        <f ca="1">AVERAGE(OFFSET($CX$3,0,0,'Données projet'!$E$13+1,1))-AVERAGE(OFFSET($H$3,0,0,'Données projet'!$E$13+1,1))</f>
        <v>385.00782828233201</v>
      </c>
      <c r="CZ77" s="62">
        <f t="shared" si="96"/>
        <v>216.22708298332475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349.32350663286911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327.17622590628559</v>
      </c>
      <c r="T78" s="62">
        <f t="shared" si="88"/>
        <v>379.61248288852113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1.0273166577917204E-5</v>
      </c>
      <c r="AC78" s="24">
        <f t="shared" si="57"/>
        <v>1.0273166577917204E-5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197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197</v>
      </c>
      <c r="AJ78" s="14">
        <f>AI78*VLOOKUP('Données projet'!$B$10,Paramètres!$A$1:$I$89,3,0)*VLOOKUP('Données projet'!$B$10,Paramètres!$A$1:$I$89,5,0)</f>
        <v>205.90440000000001</v>
      </c>
      <c r="AK78" s="14">
        <f t="shared" si="89"/>
        <v>51.039570729770148</v>
      </c>
      <c r="AL78" s="22">
        <f t="shared" si="58"/>
        <v>447.51074902101635</v>
      </c>
      <c r="AM78" s="62">
        <f t="shared" si="59"/>
        <v>740.84408235434967</v>
      </c>
      <c r="AN78" s="62">
        <f ca="1">AVERAGE(OFFSET($AM$3,0,0,'Données projet'!$E$10+1,1))-AVERAGE(OFFSET($H$3,0,0,'Données projet'!$E$10+1,1))</f>
        <v>276.87402314479681</v>
      </c>
      <c r="AO78" s="62">
        <f t="shared" si="90"/>
        <v>125.27302863901997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9.2222762759774927E-14</v>
      </c>
      <c r="BF78" s="14">
        <f t="shared" si="91"/>
        <v>1.3985662224947967E-12</v>
      </c>
      <c r="BG78" s="22">
        <f t="shared" si="61"/>
        <v>2.5964574826517121E-12</v>
      </c>
      <c r="BH78" s="62">
        <f t="shared" si="62"/>
        <v>293.33333333333593</v>
      </c>
      <c r="BI78" s="62">
        <f ca="1">AVERAGE(OFFSET($BH$3,0,0,'Données projet'!$E$11+1,1))-AVERAGE(OFFSET($H$3,0,0,'Données projet'!$E$11+1,1))</f>
        <v>236.29093866505224</v>
      </c>
      <c r="BJ78" s="62">
        <f t="shared" si="92"/>
        <v>258.22911730540892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286</v>
      </c>
      <c r="BW78" s="13">
        <f>VLOOKUP(A78,'Données projet'!$A$113:$I$133,9,0)</f>
        <v>5.2</v>
      </c>
      <c r="BX78" s="13">
        <f t="array" ref="BX78">INDEX(BW:BW,MIN(IF(ISNUMBER(BW78:BW274),ROW(BW78:BW274),"")))</f>
        <v>5.2</v>
      </c>
      <c r="BY78" s="13">
        <f>IF('Données projet'!$A$114&gt;35,BY77+BX78-CG77,IF(A78&lt;'Données projet'!$A$114,$BV$205^A78,IF(A78='Données projet'!$A$114,'Données projet'!$B$114,BY77+BX78-CG77)))</f>
        <v>285.99999999999972</v>
      </c>
      <c r="BZ78" s="14">
        <f>BY78*VLOOKUP('Données projet'!$B$12,Paramètres!$A$1:$I$89,3,0)*VLOOKUP('Données projet'!$B$12,Paramètres!$A$1:$I$89,5,0)</f>
        <v>223.07999999999979</v>
      </c>
      <c r="CA78" s="14">
        <f t="shared" si="93"/>
        <v>54.783765878062617</v>
      </c>
      <c r="CB78" s="22">
        <f t="shared" si="64"/>
        <v>483.94605890429199</v>
      </c>
      <c r="CC78" s="62">
        <f t="shared" si="65"/>
        <v>777.2793922376253</v>
      </c>
      <c r="CD78" s="62">
        <f ca="1">AVERAGE(OFFSET($CC$3,0,0,'Données projet'!$E$12+1,1))-AVERAGE(OFFSET($H$3,0,0,'Données projet'!$E$12+1,1))</f>
        <v>250.84814055099969</v>
      </c>
      <c r="CE78" s="62">
        <f t="shared" si="94"/>
        <v>226.15029417484465</v>
      </c>
      <c r="CF78" s="16">
        <f>IF(ISNA(VLOOKUP(A78,'Données projet'!$A$113:$I$133,3,0)),0,VLOOKUP(A78,'Données projet'!$A$113:$I$133,3,0))</f>
        <v>7</v>
      </c>
      <c r="CG78" s="16">
        <f>IF(ISNA(VLOOKUP(A78,'Données projet'!$A$113:$I$133,4,0)),0,VLOOKUP(A78,'Données projet'!$A$113:$I$133,4,0))</f>
        <v>286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273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272.99999999999989</v>
      </c>
      <c r="CU78" s="18">
        <f>CT78*VLOOKUP('Données projet'!$B$13,Paramètres!$A$1:$I$89,3,0)*VLOOKUP('Données projet'!$B$13,Paramètres!$A$1:$I$89,5,0)</f>
        <v>276.82199999999989</v>
      </c>
      <c r="CV78" s="14">
        <f t="shared" si="95"/>
        <v>66.29496059864374</v>
      </c>
      <c r="CW78" s="22">
        <f t="shared" si="67"/>
        <v>597.59537304263756</v>
      </c>
      <c r="CX78" s="62">
        <f t="shared" si="68"/>
        <v>890.92870637597093</v>
      </c>
      <c r="CY78" s="62">
        <f ca="1">AVERAGE(OFFSET($CX$3,0,0,'Données projet'!$E$13+1,1))-AVERAGE(OFFSET($H$3,0,0,'Données projet'!$E$13+1,1))</f>
        <v>385.00782828233201</v>
      </c>
      <c r="CZ78" s="62">
        <f t="shared" si="96"/>
        <v>216.22708298332475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42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350.5256242345036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327.17622590628559</v>
      </c>
      <c r="T79" s="62">
        <f t="shared" si="88"/>
        <v>379.61248288852113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7.2642257515042537E-6</v>
      </c>
      <c r="AC79" s="24">
        <f t="shared" si="57"/>
        <v>7.2642257515042537E-6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173.6</v>
      </c>
      <c r="AJ79" s="14">
        <f>AI79*VLOOKUP('Données projet'!$B$10,Paramètres!$A$1:$I$89,3,0)*VLOOKUP('Données projet'!$B$10,Paramètres!$A$1:$I$89,5,0)</f>
        <v>181.44672</v>
      </c>
      <c r="AK79" s="14">
        <f t="shared" si="89"/>
        <v>45.64390459939613</v>
      </c>
      <c r="AL79" s="22">
        <f t="shared" si="58"/>
        <v>395.51617117728159</v>
      </c>
      <c r="AM79" s="62">
        <f t="shared" si="59"/>
        <v>688.84950451061491</v>
      </c>
      <c r="AN79" s="62">
        <f ca="1">AVERAGE(OFFSET($AM$3,0,0,'Données projet'!$E$10+1,1))-AVERAGE(OFFSET($H$3,0,0,'Données projet'!$E$10+1,1))</f>
        <v>276.87402314479681</v>
      </c>
      <c r="AO79" s="62">
        <f t="shared" si="90"/>
        <v>125.27302863901997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9.2222762759774927E-14</v>
      </c>
      <c r="BF79" s="14">
        <f t="shared" si="91"/>
        <v>1.3985662224947967E-12</v>
      </c>
      <c r="BG79" s="22">
        <f t="shared" si="61"/>
        <v>2.5964574826517121E-12</v>
      </c>
      <c r="BH79" s="62">
        <f t="shared" si="62"/>
        <v>293.33333333333593</v>
      </c>
      <c r="BI79" s="62">
        <f ca="1">AVERAGE(OFFSET($BH$3,0,0,'Données projet'!$E$11+1,1))-AVERAGE(OFFSET($H$3,0,0,'Données projet'!$E$11+1,1))</f>
        <v>236.29093866505224</v>
      </c>
      <c r="BJ79" s="62">
        <f t="shared" si="92"/>
        <v>258.22911730540892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-2.8421709430404007E-13</v>
      </c>
      <c r="BZ79" s="14">
        <f>BY79*VLOOKUP('Données projet'!$B$12,Paramètres!$A$1:$I$89,3,0)*VLOOKUP('Données projet'!$B$12,Paramètres!$A$1:$I$89,5,0)</f>
        <v>-2.2168933355715128E-13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250.84814055099969</v>
      </c>
      <c r="CE79" s="62">
        <f t="shared" si="94"/>
        <v>226.15029417484465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5.9</v>
      </c>
      <c r="CT79" s="13">
        <f>IF('Données projet'!$A$140&gt;35,CT78+CS79-DB78,IF(A79&lt;'Données projet'!$A$140,$CQ$205^A79,IF(A79='Données projet'!$A$140,'Données projet'!$B$140,CT78+CS79-DB78)))</f>
        <v>236.89999999999986</v>
      </c>
      <c r="CU79" s="18">
        <f>CT79*VLOOKUP('Données projet'!$B$13,Paramètres!$A$1:$I$89,3,0)*VLOOKUP('Données projet'!$B$13,Paramètres!$A$1:$I$89,5,0)</f>
        <v>240.21659999999989</v>
      </c>
      <c r="CV79" s="14">
        <f t="shared" si="95"/>
        <v>58.486130580357745</v>
      </c>
      <c r="CW79" s="22">
        <f t="shared" si="67"/>
        <v>520.24058909412281</v>
      </c>
      <c r="CX79" s="62">
        <f t="shared" si="68"/>
        <v>813.57392242745618</v>
      </c>
      <c r="CY79" s="62">
        <f ca="1">AVERAGE(OFFSET($CX$3,0,0,'Données projet'!$E$13+1,1))-AVERAGE(OFFSET($H$3,0,0,'Données projet'!$E$13+1,1))</f>
        <v>385.00782828233201</v>
      </c>
      <c r="CZ79" s="62">
        <f t="shared" si="96"/>
        <v>216.22708298332475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351.72735743583411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327.17622590628559</v>
      </c>
      <c r="T80" s="62">
        <f t="shared" si="88"/>
        <v>379.61248288852113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5.136583288958602E-6</v>
      </c>
      <c r="AC80" s="24">
        <f t="shared" si="57"/>
        <v>5.136583288958602E-6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178.2</v>
      </c>
      <c r="AJ80" s="14">
        <f>AI80*VLOOKUP('Données projet'!$B$10,Paramètres!$A$1:$I$89,3,0)*VLOOKUP('Données projet'!$B$10,Paramètres!$A$1:$I$89,5,0)</f>
        <v>186.25464000000002</v>
      </c>
      <c r="AK80" s="14">
        <f t="shared" si="89"/>
        <v>46.71094990392961</v>
      </c>
      <c r="AL80" s="22">
        <f t="shared" si="58"/>
        <v>405.74840241601078</v>
      </c>
      <c r="AM80" s="62">
        <f t="shared" si="59"/>
        <v>699.08173574934403</v>
      </c>
      <c r="AN80" s="62">
        <f ca="1">AVERAGE(OFFSET($AM$3,0,0,'Données projet'!$E$10+1,1))-AVERAGE(OFFSET($H$3,0,0,'Données projet'!$E$10+1,1))</f>
        <v>276.87402314479681</v>
      </c>
      <c r="AO80" s="62">
        <f t="shared" si="90"/>
        <v>125.27302863901997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9.2222762759774927E-14</v>
      </c>
      <c r="BF80" s="14">
        <f t="shared" si="91"/>
        <v>1.3985662224947967E-12</v>
      </c>
      <c r="BG80" s="22">
        <f t="shared" si="61"/>
        <v>2.5964574826517121E-12</v>
      </c>
      <c r="BH80" s="62">
        <f t="shared" si="62"/>
        <v>293.33333333333593</v>
      </c>
      <c r="BI80" s="62">
        <f ca="1">AVERAGE(OFFSET($BH$3,0,0,'Données projet'!$E$11+1,1))-AVERAGE(OFFSET($H$3,0,0,'Données projet'!$E$11+1,1))</f>
        <v>236.29093866505224</v>
      </c>
      <c r="BJ80" s="62">
        <f t="shared" si="92"/>
        <v>258.22911730540892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-2.8421709430404007E-13</v>
      </c>
      <c r="BZ80" s="14">
        <f>BY80*VLOOKUP('Données projet'!$B$12,Paramètres!$A$1:$I$89,3,0)*VLOOKUP('Données projet'!$B$12,Paramètres!$A$1:$I$89,5,0)</f>
        <v>-2.2168933355715128E-13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250.84814055099969</v>
      </c>
      <c r="CE80" s="62">
        <f t="shared" si="94"/>
        <v>226.15029417484465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5.9</v>
      </c>
      <c r="CT80" s="13">
        <f>IF('Données projet'!$A$140&gt;35,CT79+CS80-DB79,IF(A80&lt;'Données projet'!$A$140,$CQ$205^A80,IF(A80='Données projet'!$A$140,'Données projet'!$B$140,CT79+CS80-DB79)))</f>
        <v>242.79999999999987</v>
      </c>
      <c r="CU80" s="18">
        <f>CT80*VLOOKUP('Données projet'!$B$13,Paramètres!$A$1:$I$89,3,0)*VLOOKUP('Données projet'!$B$13,Paramètres!$A$1:$I$89,5,0)</f>
        <v>246.19919999999988</v>
      </c>
      <c r="CV80" s="14">
        <f t="shared" si="95"/>
        <v>59.77133248344078</v>
      </c>
      <c r="CW80" s="22">
        <f t="shared" si="67"/>
        <v>532.89867740865918</v>
      </c>
      <c r="CX80" s="62">
        <f t="shared" si="68"/>
        <v>826.23201074199255</v>
      </c>
      <c r="CY80" s="62">
        <f ca="1">AVERAGE(OFFSET($CX$3,0,0,'Données projet'!$E$13+1,1))-AVERAGE(OFFSET($H$3,0,0,'Données projet'!$E$13+1,1))</f>
        <v>385.00782828233201</v>
      </c>
      <c r="CZ80" s="62">
        <f t="shared" si="96"/>
        <v>216.22708298332475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352.92871180627031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327.17622590628559</v>
      </c>
      <c r="T81" s="62">
        <f t="shared" si="88"/>
        <v>379.61248288852113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3.6321128757521269E-6</v>
      </c>
      <c r="AC81" s="24">
        <f t="shared" si="57"/>
        <v>3.6321128757521269E-6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182.79999999999998</v>
      </c>
      <c r="AJ81" s="14">
        <f>AI81*VLOOKUP('Données projet'!$B$10,Paramètres!$A$1:$I$89,3,0)*VLOOKUP('Données projet'!$B$10,Paramètres!$A$1:$I$89,5,0)</f>
        <v>191.06256000000002</v>
      </c>
      <c r="AK81" s="14">
        <f t="shared" si="89"/>
        <v>47.774793478923506</v>
      </c>
      <c r="AL81" s="22">
        <f t="shared" si="58"/>
        <v>415.97505730912513</v>
      </c>
      <c r="AM81" s="62">
        <f t="shared" si="59"/>
        <v>709.30839064245845</v>
      </c>
      <c r="AN81" s="62">
        <f ca="1">AVERAGE(OFFSET($AM$3,0,0,'Données projet'!$E$10+1,1))-AVERAGE(OFFSET($H$3,0,0,'Données projet'!$E$10+1,1))</f>
        <v>276.87402314479681</v>
      </c>
      <c r="AO81" s="62">
        <f t="shared" si="90"/>
        <v>125.27302863901997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9.2222762759774927E-14</v>
      </c>
      <c r="BF81" s="14">
        <f t="shared" si="91"/>
        <v>1.3985662224947967E-12</v>
      </c>
      <c r="BG81" s="22">
        <f t="shared" si="61"/>
        <v>2.5964574826517121E-12</v>
      </c>
      <c r="BH81" s="62">
        <f t="shared" si="62"/>
        <v>293.33333333333593</v>
      </c>
      <c r="BI81" s="62">
        <f ca="1">AVERAGE(OFFSET($BH$3,0,0,'Données projet'!$E$11+1,1))-AVERAGE(OFFSET($H$3,0,0,'Données projet'!$E$11+1,1))</f>
        <v>236.29093866505224</v>
      </c>
      <c r="BJ81" s="62">
        <f t="shared" si="92"/>
        <v>258.22911730540892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-2.8421709430404007E-13</v>
      </c>
      <c r="BZ81" s="14">
        <f>BY81*VLOOKUP('Données projet'!$B$12,Paramètres!$A$1:$I$89,3,0)*VLOOKUP('Données projet'!$B$12,Paramètres!$A$1:$I$89,5,0)</f>
        <v>-2.2168933355715128E-13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250.84814055099969</v>
      </c>
      <c r="CE81" s="62">
        <f t="shared" si="94"/>
        <v>226.15029417484465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5.9</v>
      </c>
      <c r="CT81" s="13">
        <f>IF('Données projet'!$A$140&gt;35,CT80+CS81-DB80,IF(A81&lt;'Données projet'!$A$140,$CQ$205^A81,IF(A81='Données projet'!$A$140,'Données projet'!$B$140,CT80+CS81-DB80)))</f>
        <v>248.69999999999987</v>
      </c>
      <c r="CU81" s="18">
        <f>CT81*VLOOKUP('Données projet'!$B$13,Paramètres!$A$1:$I$89,3,0)*VLOOKUP('Données projet'!$B$13,Paramètres!$A$1:$I$89,5,0)</f>
        <v>252.18179999999987</v>
      </c>
      <c r="CV81" s="14">
        <f t="shared" si="95"/>
        <v>61.052903950515969</v>
      </c>
      <c r="CW81" s="22">
        <f t="shared" si="67"/>
        <v>545.55044271381507</v>
      </c>
      <c r="CX81" s="62">
        <f t="shared" si="68"/>
        <v>838.88377604714833</v>
      </c>
      <c r="CY81" s="62">
        <f ca="1">AVERAGE(OFFSET($CX$3,0,0,'Données projet'!$E$13+1,1))-AVERAGE(OFFSET($H$3,0,0,'Données projet'!$E$13+1,1))</f>
        <v>385.00782828233201</v>
      </c>
      <c r="CZ81" s="62">
        <f t="shared" si="96"/>
        <v>216.22708298332475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354.12969276420569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327.17622590628559</v>
      </c>
      <c r="T82" s="62">
        <f t="shared" si="88"/>
        <v>379.61248288852113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2.568291644479301E-6</v>
      </c>
      <c r="AC82" s="24">
        <f t="shared" si="57"/>
        <v>2.568291644479301E-6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187.39999999999998</v>
      </c>
      <c r="AJ82" s="14">
        <f>AI82*VLOOKUP('Données projet'!$B$10,Paramètres!$A$1:$I$89,3,0)*VLOOKUP('Données projet'!$B$10,Paramètres!$A$1:$I$89,5,0)</f>
        <v>195.87047999999999</v>
      </c>
      <c r="AK82" s="14">
        <f t="shared" si="89"/>
        <v>48.835525158837896</v>
      </c>
      <c r="AL82" s="22">
        <f t="shared" si="58"/>
        <v>426.1962923183093</v>
      </c>
      <c r="AM82" s="62">
        <f t="shared" si="59"/>
        <v>719.52962565164262</v>
      </c>
      <c r="AN82" s="62">
        <f ca="1">AVERAGE(OFFSET($AM$3,0,0,'Données projet'!$E$10+1,1))-AVERAGE(OFFSET($H$3,0,0,'Données projet'!$E$10+1,1))</f>
        <v>276.87402314479681</v>
      </c>
      <c r="AO82" s="62">
        <f t="shared" si="90"/>
        <v>125.27302863901997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9.2222762759774927E-14</v>
      </c>
      <c r="BF82" s="14">
        <f t="shared" si="91"/>
        <v>1.3985662224947967E-12</v>
      </c>
      <c r="BG82" s="22">
        <f t="shared" si="61"/>
        <v>2.5964574826517121E-12</v>
      </c>
      <c r="BH82" s="62">
        <f t="shared" si="62"/>
        <v>293.33333333333593</v>
      </c>
      <c r="BI82" s="62">
        <f ca="1">AVERAGE(OFFSET($BH$3,0,0,'Données projet'!$E$11+1,1))-AVERAGE(OFFSET($H$3,0,0,'Données projet'!$E$11+1,1))</f>
        <v>236.29093866505224</v>
      </c>
      <c r="BJ82" s="62">
        <f t="shared" si="92"/>
        <v>258.22911730540892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-2.8421709430404007E-13</v>
      </c>
      <c r="BZ82" s="14">
        <f>BY82*VLOOKUP('Données projet'!$B$12,Paramètres!$A$1:$I$89,3,0)*VLOOKUP('Données projet'!$B$12,Paramètres!$A$1:$I$89,5,0)</f>
        <v>-2.2168933355715128E-13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250.84814055099969</v>
      </c>
      <c r="CE82" s="62">
        <f t="shared" si="94"/>
        <v>226.15029417484465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5.9</v>
      </c>
      <c r="CT82" s="13">
        <f>IF('Données projet'!$A$140&gt;35,CT81+CS82-DB81,IF(A82&lt;'Données projet'!$A$140,$CQ$205^A82,IF(A82='Données projet'!$A$140,'Données projet'!$B$140,CT81+CS82-DB81)))</f>
        <v>254.59999999999988</v>
      </c>
      <c r="CU82" s="18">
        <f>CT82*VLOOKUP('Données projet'!$B$13,Paramètres!$A$1:$I$89,3,0)*VLOOKUP('Données projet'!$B$13,Paramètres!$A$1:$I$89,5,0)</f>
        <v>258.16439999999989</v>
      </c>
      <c r="CV82" s="14">
        <f t="shared" si="95"/>
        <v>62.3309410183914</v>
      </c>
      <c r="CW82" s="22">
        <f t="shared" si="67"/>
        <v>558.19605227369811</v>
      </c>
      <c r="CX82" s="62">
        <f t="shared" si="68"/>
        <v>851.52938560703137</v>
      </c>
      <c r="CY82" s="62">
        <f ca="1">AVERAGE(OFFSET($CX$3,0,0,'Données projet'!$E$13+1,1))-AVERAGE(OFFSET($H$3,0,0,'Données projet'!$E$13+1,1))</f>
        <v>385.00782828233201</v>
      </c>
      <c r="CZ82" s="62">
        <f t="shared" si="96"/>
        <v>216.22708298332475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355.33030558297088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327.17622590628559</v>
      </c>
      <c r="T83" s="62">
        <f t="shared" si="88"/>
        <v>379.61248288852113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1.8160564378760634E-6</v>
      </c>
      <c r="AC83" s="24">
        <f t="shared" si="57"/>
        <v>1.8160564378760634E-6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191.99999999999997</v>
      </c>
      <c r="AJ83" s="14">
        <f>AI83*VLOOKUP('Données projet'!$B$10,Paramètres!$A$1:$I$89,3,0)*VLOOKUP('Données projet'!$B$10,Paramètres!$A$1:$I$89,5,0)</f>
        <v>200.67839999999998</v>
      </c>
      <c r="AK83" s="14">
        <f t="shared" si="89"/>
        <v>49.893230116477866</v>
      </c>
      <c r="AL83" s="22">
        <f t="shared" si="58"/>
        <v>436.41225578619895</v>
      </c>
      <c r="AM83" s="62">
        <f t="shared" si="59"/>
        <v>729.74558911953227</v>
      </c>
      <c r="AN83" s="62">
        <f ca="1">AVERAGE(OFFSET($AM$3,0,0,'Données projet'!$E$10+1,1))-AVERAGE(OFFSET($H$3,0,0,'Données projet'!$E$10+1,1))</f>
        <v>276.87402314479681</v>
      </c>
      <c r="AO83" s="62">
        <f t="shared" si="90"/>
        <v>125.27302863901997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9.2222762759774927E-14</v>
      </c>
      <c r="BF83" s="14">
        <f t="shared" si="91"/>
        <v>1.3985662224947967E-12</v>
      </c>
      <c r="BG83" s="22">
        <f t="shared" si="61"/>
        <v>2.5964574826517121E-12</v>
      </c>
      <c r="BH83" s="62">
        <f t="shared" si="62"/>
        <v>293.33333333333593</v>
      </c>
      <c r="BI83" s="62">
        <f ca="1">AVERAGE(OFFSET($BH$3,0,0,'Données projet'!$E$11+1,1))-AVERAGE(OFFSET($H$3,0,0,'Données projet'!$E$11+1,1))</f>
        <v>236.29093866505224</v>
      </c>
      <c r="BJ83" s="62">
        <f t="shared" si="92"/>
        <v>258.22911730540892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-2.8421709430404007E-13</v>
      </c>
      <c r="BZ83" s="14">
        <f>BY83*VLOOKUP('Données projet'!$B$12,Paramètres!$A$1:$I$89,3,0)*VLOOKUP('Données projet'!$B$12,Paramètres!$A$1:$I$89,5,0)</f>
        <v>-2.2168933355715128E-13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250.84814055099969</v>
      </c>
      <c r="CE83" s="62">
        <f t="shared" si="94"/>
        <v>226.15029417484465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5.9</v>
      </c>
      <c r="CT83" s="13">
        <f>IF('Données projet'!$A$140&gt;35,CT82+CS83-DB82,IF(A83&lt;'Données projet'!$A$140,$CQ$205^A83,IF(A83='Données projet'!$A$140,'Données projet'!$B$140,CT82+CS83-DB82)))</f>
        <v>260.49999999999989</v>
      </c>
      <c r="CU83" s="18">
        <f>CT83*VLOOKUP('Données projet'!$B$13,Paramètres!$A$1:$I$89,3,0)*VLOOKUP('Données projet'!$B$13,Paramètres!$A$1:$I$89,5,0)</f>
        <v>264.14699999999988</v>
      </c>
      <c r="CV83" s="14">
        <f t="shared" si="95"/>
        <v>63.605535018865886</v>
      </c>
      <c r="CW83" s="22">
        <f t="shared" si="67"/>
        <v>570.83566515785787</v>
      </c>
      <c r="CX83" s="62">
        <f t="shared" si="68"/>
        <v>864.16899849119113</v>
      </c>
      <c r="CY83" s="62">
        <f ca="1">AVERAGE(OFFSET($CX$3,0,0,'Données projet'!$E$13+1,1))-AVERAGE(OFFSET($H$3,0,0,'Données projet'!$E$13+1,1))</f>
        <v>385.00782828233201</v>
      </c>
      <c r="CZ83" s="62">
        <f t="shared" si="96"/>
        <v>216.22708298332475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356.53055539648136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327.17622590628559</v>
      </c>
      <c r="T84" s="62">
        <f t="shared" si="88"/>
        <v>379.61248288852113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1.2841458222396505E-6</v>
      </c>
      <c r="AC84" s="24">
        <f t="shared" si="57"/>
        <v>1.2841458222396505E-6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196.39999999999998</v>
      </c>
      <c r="AJ84" s="14">
        <f>AI84*VLOOKUP('Données projet'!$B$10,Paramètres!$A$1:$I$89,3,0)*VLOOKUP('Données projet'!$B$10,Paramètres!$A$1:$I$89,5,0)</f>
        <v>205.27727999999999</v>
      </c>
      <c r="AK84" s="14">
        <f t="shared" si="89"/>
        <v>50.902190319943116</v>
      </c>
      <c r="AL84" s="22">
        <f t="shared" si="58"/>
        <v>446.17924414056756</v>
      </c>
      <c r="AM84" s="62">
        <f t="shared" si="59"/>
        <v>739.51257747390082</v>
      </c>
      <c r="AN84" s="62">
        <f ca="1">AVERAGE(OFFSET($AM$3,0,0,'Données projet'!$E$10+1,1))-AVERAGE(OFFSET($H$3,0,0,'Données projet'!$E$10+1,1))</f>
        <v>276.87402314479681</v>
      </c>
      <c r="AO84" s="62">
        <f t="shared" si="90"/>
        <v>125.27302863901997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9.2222762759774927E-14</v>
      </c>
      <c r="BF84" s="14">
        <f t="shared" si="91"/>
        <v>1.3985662224947967E-12</v>
      </c>
      <c r="BG84" s="22">
        <f t="shared" si="61"/>
        <v>2.5964574826517121E-12</v>
      </c>
      <c r="BH84" s="62">
        <f t="shared" si="62"/>
        <v>293.33333333333593</v>
      </c>
      <c r="BI84" s="62">
        <f ca="1">AVERAGE(OFFSET($BH$3,0,0,'Données projet'!$E$11+1,1))-AVERAGE(OFFSET($H$3,0,0,'Données projet'!$E$11+1,1))</f>
        <v>236.29093866505224</v>
      </c>
      <c r="BJ84" s="62">
        <f t="shared" si="92"/>
        <v>258.22911730540892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-2.8421709430404007E-13</v>
      </c>
      <c r="BZ84" s="14">
        <f>BY84*VLOOKUP('Données projet'!$B$12,Paramètres!$A$1:$I$89,3,0)*VLOOKUP('Données projet'!$B$12,Paramètres!$A$1:$I$89,5,0)</f>
        <v>-2.2168933355715128E-13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250.84814055099969</v>
      </c>
      <c r="CE84" s="62">
        <f t="shared" si="94"/>
        <v>226.15029417484465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5.9</v>
      </c>
      <c r="CT84" s="13">
        <f>IF('Données projet'!$A$140&gt;35,CT83+CS84-DB83,IF(A84&lt;'Données projet'!$A$140,$CQ$205^A84,IF(A84='Données projet'!$A$140,'Données projet'!$B$140,CT83+CS84-DB83)))</f>
        <v>266.39999999999986</v>
      </c>
      <c r="CU84" s="18">
        <f>CT84*VLOOKUP('Données projet'!$B$13,Paramètres!$A$1:$I$89,3,0)*VLOOKUP('Données projet'!$B$13,Paramètres!$A$1:$I$89,5,0)</f>
        <v>270.12959999999987</v>
      </c>
      <c r="CV84" s="14">
        <f t="shared" si="95"/>
        <v>64.876772910497735</v>
      </c>
      <c r="CW84" s="22">
        <f t="shared" si="67"/>
        <v>583.46943281911661</v>
      </c>
      <c r="CX84" s="62">
        <f t="shared" si="68"/>
        <v>876.80276615244998</v>
      </c>
      <c r="CY84" s="62">
        <f ca="1">AVERAGE(OFFSET($CX$3,0,0,'Données projet'!$E$13+1,1))-AVERAGE(OFFSET($H$3,0,0,'Données projet'!$E$13+1,1))</f>
        <v>385.00782828233201</v>
      </c>
      <c r="CZ84" s="62">
        <f t="shared" si="96"/>
        <v>216.22708298332475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357.73044720459762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327.17622590628559</v>
      </c>
      <c r="T85" s="62">
        <f t="shared" si="88"/>
        <v>379.61248288852113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9.0802821893803171E-7</v>
      </c>
      <c r="AC85" s="24">
        <f t="shared" si="57"/>
        <v>9.0802821893803171E-7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200.79999999999998</v>
      </c>
      <c r="AJ85" s="14">
        <f>AI85*VLOOKUP('Données projet'!$B$10,Paramètres!$A$1:$I$89,3,0)*VLOOKUP('Données projet'!$B$10,Paramètres!$A$1:$I$89,5,0)</f>
        <v>209.87616</v>
      </c>
      <c r="AK85" s="14">
        <f t="shared" si="89"/>
        <v>51.908522613517754</v>
      </c>
      <c r="AL85" s="22">
        <f t="shared" si="58"/>
        <v>455.94165555187675</v>
      </c>
      <c r="AM85" s="62">
        <f t="shared" si="59"/>
        <v>749.27498888521006</v>
      </c>
      <c r="AN85" s="62">
        <f ca="1">AVERAGE(OFFSET($AM$3,0,0,'Données projet'!$E$10+1,1))-AVERAGE(OFFSET($H$3,0,0,'Données projet'!$E$10+1,1))</f>
        <v>276.87402314479681</v>
      </c>
      <c r="AO85" s="62">
        <f t="shared" si="90"/>
        <v>125.27302863901997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9.2222762759774927E-14</v>
      </c>
      <c r="BF85" s="14">
        <f t="shared" si="91"/>
        <v>1.3985662224947967E-12</v>
      </c>
      <c r="BG85" s="22">
        <f t="shared" si="61"/>
        <v>2.5964574826517121E-12</v>
      </c>
      <c r="BH85" s="62">
        <f t="shared" si="62"/>
        <v>293.33333333333593</v>
      </c>
      <c r="BI85" s="62">
        <f ca="1">AVERAGE(OFFSET($BH$3,0,0,'Données projet'!$E$11+1,1))-AVERAGE(OFFSET($H$3,0,0,'Données projet'!$E$11+1,1))</f>
        <v>236.29093866505224</v>
      </c>
      <c r="BJ85" s="62">
        <f t="shared" si="92"/>
        <v>258.22911730540892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-2.8421709430404007E-13</v>
      </c>
      <c r="BZ85" s="14">
        <f>BY85*VLOOKUP('Données projet'!$B$12,Paramètres!$A$1:$I$89,3,0)*VLOOKUP('Données projet'!$B$12,Paramètres!$A$1:$I$89,5,0)</f>
        <v>-2.2168933355715128E-13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250.84814055099969</v>
      </c>
      <c r="CE85" s="62">
        <f t="shared" si="94"/>
        <v>226.15029417484465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5.9</v>
      </c>
      <c r="CT85" s="13">
        <f>IF('Données projet'!$A$140&gt;35,CT84+CS85-DB84,IF(A85&lt;'Données projet'!$A$140,$CQ$205^A85,IF(A85='Données projet'!$A$140,'Données projet'!$B$140,CT84+CS85-DB84)))</f>
        <v>272.29999999999984</v>
      </c>
      <c r="CU85" s="18">
        <f>CT85*VLOOKUP('Données projet'!$B$13,Paramètres!$A$1:$I$89,3,0)*VLOOKUP('Données projet'!$B$13,Paramètres!$A$1:$I$89,5,0)</f>
        <v>276.11219999999986</v>
      </c>
      <c r="CV85" s="14">
        <f t="shared" si="95"/>
        <v>66.144737580152963</v>
      </c>
      <c r="CW85" s="22">
        <f t="shared" si="67"/>
        <v>596.09749961876616</v>
      </c>
      <c r="CX85" s="62">
        <f t="shared" si="68"/>
        <v>889.43083295209954</v>
      </c>
      <c r="CY85" s="62">
        <f ca="1">AVERAGE(OFFSET($CX$3,0,0,'Données projet'!$E$13+1,1))-AVERAGE(OFFSET($H$3,0,0,'Données projet'!$E$13+1,1))</f>
        <v>385.00782828233201</v>
      </c>
      <c r="CZ85" s="62">
        <f t="shared" si="96"/>
        <v>216.22708298332475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358.92998587821728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327.17622590628559</v>
      </c>
      <c r="T86" s="62">
        <f t="shared" si="88"/>
        <v>379.61248288852113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6.4207291111982525E-7</v>
      </c>
      <c r="AC86" s="24">
        <f t="shared" si="57"/>
        <v>6.4207291111982525E-7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205.2</v>
      </c>
      <c r="AJ86" s="14">
        <f>AI86*VLOOKUP('Données projet'!$B$10,Paramètres!$A$1:$I$89,3,0)*VLOOKUP('Données projet'!$B$10,Paramètres!$A$1:$I$89,5,0)</f>
        <v>214.47504000000001</v>
      </c>
      <c r="AK86" s="14">
        <f t="shared" si="89"/>
        <v>52.912291212091404</v>
      </c>
      <c r="AL86" s="22">
        <f t="shared" si="58"/>
        <v>465.69960186105914</v>
      </c>
      <c r="AM86" s="62">
        <f t="shared" si="59"/>
        <v>759.03293519439239</v>
      </c>
      <c r="AN86" s="62">
        <f ca="1">AVERAGE(OFFSET($AM$3,0,0,'Données projet'!$E$10+1,1))-AVERAGE(OFFSET($H$3,0,0,'Données projet'!$E$10+1,1))</f>
        <v>276.87402314479681</v>
      </c>
      <c r="AO86" s="62">
        <f t="shared" si="90"/>
        <v>125.27302863901997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9.2222762759774927E-14</v>
      </c>
      <c r="BF86" s="14">
        <f t="shared" si="91"/>
        <v>1.3985662224947967E-12</v>
      </c>
      <c r="BG86" s="22">
        <f t="shared" si="61"/>
        <v>2.5964574826517121E-12</v>
      </c>
      <c r="BH86" s="62">
        <f t="shared" si="62"/>
        <v>293.33333333333593</v>
      </c>
      <c r="BI86" s="62">
        <f ca="1">AVERAGE(OFFSET($BH$3,0,0,'Données projet'!$E$11+1,1))-AVERAGE(OFFSET($H$3,0,0,'Données projet'!$E$11+1,1))</f>
        <v>236.29093866505224</v>
      </c>
      <c r="BJ86" s="62">
        <f t="shared" si="92"/>
        <v>258.22911730540892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-2.8421709430404007E-13</v>
      </c>
      <c r="BZ86" s="14">
        <f>BY86*VLOOKUP('Données projet'!$B$12,Paramètres!$A$1:$I$89,3,0)*VLOOKUP('Données projet'!$B$12,Paramètres!$A$1:$I$89,5,0)</f>
        <v>-2.2168933355715128E-13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250.84814055099969</v>
      </c>
      <c r="CE86" s="62">
        <f t="shared" si="94"/>
        <v>226.15029417484465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5.9</v>
      </c>
      <c r="CT86" s="13">
        <f>IF('Données projet'!$A$140&gt;35,CT85+CS86-DB85,IF(A86&lt;'Données projet'!$A$140,$CQ$205^A86,IF(A86='Données projet'!$A$140,'Données projet'!$B$140,CT85+CS86-DB85)))</f>
        <v>278.19999999999982</v>
      </c>
      <c r="CU86" s="18">
        <f>CT86*VLOOKUP('Données projet'!$B$13,Paramètres!$A$1:$I$89,3,0)*VLOOKUP('Données projet'!$B$13,Paramètres!$A$1:$I$89,5,0)</f>
        <v>282.09479999999985</v>
      </c>
      <c r="CV86" s="14">
        <f t="shared" si="95"/>
        <v>67.409508117681739</v>
      </c>
      <c r="CW86" s="22">
        <f t="shared" si="67"/>
        <v>608.72000330496201</v>
      </c>
      <c r="CX86" s="62">
        <f t="shared" si="68"/>
        <v>902.05333663829538</v>
      </c>
      <c r="CY86" s="62">
        <f ca="1">AVERAGE(OFFSET($CX$3,0,0,'Données projet'!$E$13+1,1))-AVERAGE(OFFSET($H$3,0,0,'Données projet'!$E$13+1,1))</f>
        <v>385.00782828233201</v>
      </c>
      <c r="CZ86" s="62">
        <f t="shared" si="96"/>
        <v>216.22708298332475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360.12917616411374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327.17622590628559</v>
      </c>
      <c r="T87" s="62">
        <f t="shared" si="88"/>
        <v>379.61248288852113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4.5401410946901586E-7</v>
      </c>
      <c r="AC87" s="24">
        <f t="shared" si="57"/>
        <v>4.5401410946901586E-7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209.6</v>
      </c>
      <c r="AJ87" s="14">
        <f>AI87*VLOOKUP('Données projet'!$B$10,Paramètres!$A$1:$I$89,3,0)*VLOOKUP('Données projet'!$B$10,Paramètres!$A$1:$I$89,5,0)</f>
        <v>219.07392000000004</v>
      </c>
      <c r="AK87" s="14">
        <f t="shared" si="89"/>
        <v>53.913557419387772</v>
      </c>
      <c r="AL87" s="22">
        <f t="shared" si="58"/>
        <v>475.45318983876706</v>
      </c>
      <c r="AM87" s="62">
        <f t="shared" si="59"/>
        <v>768.78652317210037</v>
      </c>
      <c r="AN87" s="62">
        <f ca="1">AVERAGE(OFFSET($AM$3,0,0,'Données projet'!$E$10+1,1))-AVERAGE(OFFSET($H$3,0,0,'Données projet'!$E$10+1,1))</f>
        <v>276.87402314479681</v>
      </c>
      <c r="AO87" s="62">
        <f t="shared" si="90"/>
        <v>125.27302863901997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9.2222762759774927E-14</v>
      </c>
      <c r="BF87" s="14">
        <f t="shared" si="91"/>
        <v>1.3985662224947967E-12</v>
      </c>
      <c r="BG87" s="22">
        <f t="shared" si="61"/>
        <v>2.5964574826517121E-12</v>
      </c>
      <c r="BH87" s="62">
        <f t="shared" si="62"/>
        <v>293.33333333333593</v>
      </c>
      <c r="BI87" s="62">
        <f ca="1">AVERAGE(OFFSET($BH$3,0,0,'Données projet'!$E$11+1,1))-AVERAGE(OFFSET($H$3,0,0,'Données projet'!$E$11+1,1))</f>
        <v>236.29093866505224</v>
      </c>
      <c r="BJ87" s="62">
        <f t="shared" si="92"/>
        <v>258.22911730540892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-2.8421709430404007E-13</v>
      </c>
      <c r="BZ87" s="14">
        <f>BY87*VLOOKUP('Données projet'!$B$12,Paramètres!$A$1:$I$89,3,0)*VLOOKUP('Données projet'!$B$12,Paramètres!$A$1:$I$89,5,0)</f>
        <v>-2.2168933355715128E-13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250.84814055099969</v>
      </c>
      <c r="CE87" s="62">
        <f t="shared" si="94"/>
        <v>226.15029417484465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5.9</v>
      </c>
      <c r="CT87" s="13">
        <f>IF('Données projet'!$A$140&gt;35,CT86+CS87-DB86,IF(A87&lt;'Données projet'!$A$140,$CQ$205^A87,IF(A87='Données projet'!$A$140,'Données projet'!$B$140,CT86+CS87-DB86)))</f>
        <v>284.0999999999998</v>
      </c>
      <c r="CU87" s="18">
        <f>CT87*VLOOKUP('Données projet'!$B$13,Paramètres!$A$1:$I$89,3,0)*VLOOKUP('Données projet'!$B$13,Paramètres!$A$1:$I$89,5,0)</f>
        <v>288.07739999999984</v>
      </c>
      <c r="CV87" s="14">
        <f t="shared" si="95"/>
        <v>68.671160066636261</v>
      </c>
      <c r="CW87" s="22">
        <f t="shared" si="67"/>
        <v>621.33707544939125</v>
      </c>
      <c r="CX87" s="62">
        <f t="shared" si="68"/>
        <v>914.67040878272451</v>
      </c>
      <c r="CY87" s="62">
        <f ca="1">AVERAGE(OFFSET($CX$3,0,0,'Données projet'!$E$13+1,1))-AVERAGE(OFFSET($H$3,0,0,'Données projet'!$E$13+1,1))</f>
        <v>385.00782828233201</v>
      </c>
      <c r="CZ87" s="62">
        <f t="shared" si="96"/>
        <v>216.22708298332475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361.32802268953901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327.17622590628559</v>
      </c>
      <c r="T88" s="62">
        <f t="shared" si="88"/>
        <v>379.61248288852113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3.2103645555991263E-7</v>
      </c>
      <c r="AC88" s="24">
        <f t="shared" si="57"/>
        <v>3.2103645555991263E-7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214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214</v>
      </c>
      <c r="AJ88" s="14">
        <f>AI88*VLOOKUP('Données projet'!$B$10,Paramètres!$A$1:$I$89,3,0)*VLOOKUP('Données projet'!$B$10,Paramètres!$A$1:$I$89,5,0)</f>
        <v>223.6728</v>
      </c>
      <c r="AK88" s="14">
        <f t="shared" si="89"/>
        <v>54.91237981823884</v>
      </c>
      <c r="AL88" s="22">
        <f t="shared" si="58"/>
        <v>485.20252151676596</v>
      </c>
      <c r="AM88" s="62">
        <f t="shared" si="59"/>
        <v>778.53585485009921</v>
      </c>
      <c r="AN88" s="62">
        <f ca="1">AVERAGE(OFFSET($AM$3,0,0,'Données projet'!$E$10+1,1))-AVERAGE(OFFSET($H$3,0,0,'Données projet'!$E$10+1,1))</f>
        <v>276.87402314479681</v>
      </c>
      <c r="AO88" s="62">
        <f t="shared" si="90"/>
        <v>125.27302863901997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9.2222762759774927E-14</v>
      </c>
      <c r="BF88" s="14">
        <f t="shared" si="91"/>
        <v>1.3985662224947967E-12</v>
      </c>
      <c r="BG88" s="22">
        <f t="shared" si="61"/>
        <v>2.5964574826517121E-12</v>
      </c>
      <c r="BH88" s="62">
        <f t="shared" si="62"/>
        <v>293.33333333333593</v>
      </c>
      <c r="BI88" s="62">
        <f ca="1">AVERAGE(OFFSET($BH$3,0,0,'Données projet'!$E$11+1,1))-AVERAGE(OFFSET($H$3,0,0,'Données projet'!$E$11+1,1))</f>
        <v>236.29093866505224</v>
      </c>
      <c r="BJ88" s="62">
        <f t="shared" si="92"/>
        <v>258.22911730540892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-2.8421709430404007E-13</v>
      </c>
      <c r="BZ88" s="14">
        <f>BY88*VLOOKUP('Données projet'!$B$12,Paramètres!$A$1:$I$89,3,0)*VLOOKUP('Données projet'!$B$12,Paramètres!$A$1:$I$89,5,0)</f>
        <v>-2.2168933355715128E-13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250.84814055099969</v>
      </c>
      <c r="CE88" s="62">
        <f t="shared" si="94"/>
        <v>226.15029417484465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290</v>
      </c>
      <c r="CR88" s="13">
        <f>VLOOKUP(A88,'Données projet'!$A$139:$I$159,9,0)</f>
        <v>5.9</v>
      </c>
      <c r="CS88" s="13">
        <f t="array" ref="CS88">INDEX(CR:CR,MIN(IF(ISNUMBER(CR88:CR284),ROW(CR88:CR284),"")))</f>
        <v>5.9</v>
      </c>
      <c r="CT88" s="13">
        <f>IF('Données projet'!$A$140&gt;35,CT87+CS88-DB87,IF(A88&lt;'Données projet'!$A$140,$CQ$205^A88,IF(A88='Données projet'!$A$140,'Données projet'!$B$140,CT87+CS88-DB87)))</f>
        <v>289.99999999999977</v>
      </c>
      <c r="CU88" s="18">
        <f>CT88*VLOOKUP('Données projet'!$B$13,Paramètres!$A$1:$I$89,3,0)*VLOOKUP('Données projet'!$B$13,Paramètres!$A$1:$I$89,5,0)</f>
        <v>294.05999999999977</v>
      </c>
      <c r="CV88" s="14">
        <f t="shared" si="95"/>
        <v>69.929765653573313</v>
      </c>
      <c r="CW88" s="22">
        <f t="shared" si="67"/>
        <v>633.94884184663977</v>
      </c>
      <c r="CX88" s="62">
        <f t="shared" si="68"/>
        <v>927.28217517997314</v>
      </c>
      <c r="CY88" s="62">
        <f ca="1">AVERAGE(OFFSET($CX$3,0,0,'Données projet'!$E$13+1,1))-AVERAGE(OFFSET($H$3,0,0,'Données projet'!$E$13+1,1))</f>
        <v>385.00782828233201</v>
      </c>
      <c r="CZ88" s="62">
        <f t="shared" si="96"/>
        <v>216.22708298332475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42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362.52652996660277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327.17622590628559</v>
      </c>
      <c r="T89" s="62">
        <f t="shared" si="88"/>
        <v>379.61248288852113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2.2700705473450793E-7</v>
      </c>
      <c r="AC89" s="24">
        <f t="shared" si="57"/>
        <v>2.2700705473450793E-7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</v>
      </c>
      <c r="AI89" s="14">
        <f>IF('Données projet'!$A$62&gt;35,AI88+AH89-AQ88,IF(A89&lt;'Données projet'!$A$62,$AF$205^A89,IF(A89='Données projet'!$A$62,'Données projet'!$B$62,AI88+AH89-AQ88)))</f>
        <v>190</v>
      </c>
      <c r="AJ89" s="14">
        <f>AI89*VLOOKUP('Données projet'!$B$10,Paramètres!$A$1:$I$89,3,0)*VLOOKUP('Données projet'!$B$10,Paramètres!$A$1:$I$89,5,0)</f>
        <v>198.58800000000002</v>
      </c>
      <c r="AK89" s="14">
        <f t="shared" si="89"/>
        <v>49.433725020229133</v>
      </c>
      <c r="AL89" s="22">
        <f t="shared" si="58"/>
        <v>431.97117107689911</v>
      </c>
      <c r="AM89" s="62">
        <f t="shared" si="59"/>
        <v>725.30450441023243</v>
      </c>
      <c r="AN89" s="62">
        <f ca="1">AVERAGE(OFFSET($AM$3,0,0,'Données projet'!$E$10+1,1))-AVERAGE(OFFSET($H$3,0,0,'Données projet'!$E$10+1,1))</f>
        <v>276.87402314479681</v>
      </c>
      <c r="AO89" s="62">
        <f t="shared" si="90"/>
        <v>125.27302863901997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9.2222762759774927E-14</v>
      </c>
      <c r="BF89" s="14">
        <f t="shared" si="91"/>
        <v>1.3985662224947967E-12</v>
      </c>
      <c r="BG89" s="22">
        <f t="shared" si="61"/>
        <v>2.5964574826517121E-12</v>
      </c>
      <c r="BH89" s="62">
        <f t="shared" si="62"/>
        <v>293.33333333333593</v>
      </c>
      <c r="BI89" s="62">
        <f ca="1">AVERAGE(OFFSET($BH$3,0,0,'Données projet'!$E$11+1,1))-AVERAGE(OFFSET($H$3,0,0,'Données projet'!$E$11+1,1))</f>
        <v>236.29093866505224</v>
      </c>
      <c r="BJ89" s="62">
        <f t="shared" si="92"/>
        <v>258.22911730540892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-2.8421709430404007E-13</v>
      </c>
      <c r="BZ89" s="14">
        <f>BY89*VLOOKUP('Données projet'!$B$12,Paramètres!$A$1:$I$89,3,0)*VLOOKUP('Données projet'!$B$12,Paramètres!$A$1:$I$89,5,0)</f>
        <v>-2.2168933355715128E-13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250.84814055099969</v>
      </c>
      <c r="CE89" s="62">
        <f t="shared" si="94"/>
        <v>226.15029417484465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5.2</v>
      </c>
      <c r="CT89" s="13">
        <f>IF('Données projet'!$A$140&gt;35,CT88+CS89-DB88,IF(A89&lt;'Données projet'!$A$140,$CQ$205^A89,IF(A89='Données projet'!$A$140,'Données projet'!$B$140,CT88+CS89-DB88)))</f>
        <v>253.19999999999976</v>
      </c>
      <c r="CU89" s="18">
        <f>CT89*VLOOKUP('Données projet'!$B$13,Paramètres!$A$1:$I$89,3,0)*VLOOKUP('Données projet'!$B$13,Paramètres!$A$1:$I$89,5,0)</f>
        <v>256.74479999999977</v>
      </c>
      <c r="CV89" s="14">
        <f t="shared" si="95"/>
        <v>62.027992887126103</v>
      </c>
      <c r="CW89" s="22">
        <f t="shared" si="67"/>
        <v>555.19594761174415</v>
      </c>
      <c r="CX89" s="62">
        <f t="shared" si="68"/>
        <v>848.52928094507752</v>
      </c>
      <c r="CY89" s="62">
        <f ca="1">AVERAGE(OFFSET($CX$3,0,0,'Données projet'!$E$13+1,1))-AVERAGE(OFFSET($H$3,0,0,'Données projet'!$E$13+1,1))</f>
        <v>385.00782828233201</v>
      </c>
      <c r="CZ89" s="62">
        <f t="shared" si="96"/>
        <v>216.22708298332475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363.72470239644252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327.17622590628559</v>
      </c>
      <c r="T90" s="62">
        <f t="shared" si="88"/>
        <v>379.61248288852113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1.6051822777995631E-7</v>
      </c>
      <c r="AC90" s="24">
        <f t="shared" si="57"/>
        <v>1.6051822777995631E-7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</v>
      </c>
      <c r="AI90" s="14">
        <f>IF('Données projet'!$A$62&gt;35,AI89+AH90-AQ89,IF(A90&lt;'Données projet'!$A$62,$AF$205^A90,IF(A90='Données projet'!$A$62,'Données projet'!$B$62,AI89+AH90-AQ89)))</f>
        <v>194</v>
      </c>
      <c r="AJ90" s="14">
        <f>AI90*VLOOKUP('Données projet'!$B$10,Paramètres!$A$1:$I$89,3,0)*VLOOKUP('Données projet'!$B$10,Paramètres!$A$1:$I$89,5,0)</f>
        <v>202.76880000000003</v>
      </c>
      <c r="AK90" s="14">
        <f t="shared" si="89"/>
        <v>50.352178389783333</v>
      </c>
      <c r="AL90" s="22">
        <f t="shared" si="58"/>
        <v>440.85237069553938</v>
      </c>
      <c r="AM90" s="62">
        <f t="shared" si="59"/>
        <v>734.18570402887269</v>
      </c>
      <c r="AN90" s="62">
        <f ca="1">AVERAGE(OFFSET($AM$3,0,0,'Données projet'!$E$10+1,1))-AVERAGE(OFFSET($H$3,0,0,'Données projet'!$E$10+1,1))</f>
        <v>276.87402314479681</v>
      </c>
      <c r="AO90" s="62">
        <f t="shared" si="90"/>
        <v>125.27302863901997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9.2222762759774927E-14</v>
      </c>
      <c r="BF90" s="14">
        <f t="shared" si="91"/>
        <v>1.3985662224947967E-12</v>
      </c>
      <c r="BG90" s="22">
        <f t="shared" si="61"/>
        <v>2.5964574826517121E-12</v>
      </c>
      <c r="BH90" s="62">
        <f t="shared" si="62"/>
        <v>293.33333333333593</v>
      </c>
      <c r="BI90" s="62">
        <f ca="1">AVERAGE(OFFSET($BH$3,0,0,'Données projet'!$E$11+1,1))-AVERAGE(OFFSET($H$3,0,0,'Données projet'!$E$11+1,1))</f>
        <v>236.29093866505224</v>
      </c>
      <c r="BJ90" s="62">
        <f t="shared" si="92"/>
        <v>258.22911730540892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-2.8421709430404007E-13</v>
      </c>
      <c r="BZ90" s="14">
        <f>BY90*VLOOKUP('Données projet'!$B$12,Paramètres!$A$1:$I$89,3,0)*VLOOKUP('Données projet'!$B$12,Paramètres!$A$1:$I$89,5,0)</f>
        <v>-2.2168933355715128E-13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250.84814055099969</v>
      </c>
      <c r="CE90" s="62">
        <f t="shared" si="94"/>
        <v>226.15029417484465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5.2</v>
      </c>
      <c r="CT90" s="13">
        <f>IF('Données projet'!$A$140&gt;35,CT89+CS90-DB89,IF(A90&lt;'Données projet'!$A$140,$CQ$205^A90,IF(A90='Données projet'!$A$140,'Données projet'!$B$140,CT89+CS90-DB89)))</f>
        <v>258.39999999999975</v>
      </c>
      <c r="CU90" s="18">
        <f>CT90*VLOOKUP('Données projet'!$B$13,Paramètres!$A$1:$I$89,3,0)*VLOOKUP('Données projet'!$B$13,Paramètres!$A$1:$I$89,5,0)</f>
        <v>262.01759999999973</v>
      </c>
      <c r="CV90" s="14">
        <f t="shared" si="95"/>
        <v>63.152255067978103</v>
      </c>
      <c r="CW90" s="22">
        <f t="shared" si="67"/>
        <v>566.33749757672797</v>
      </c>
      <c r="CX90" s="62">
        <f t="shared" si="68"/>
        <v>859.67083091006134</v>
      </c>
      <c r="CY90" s="62">
        <f ca="1">AVERAGE(OFFSET($CX$3,0,0,'Données projet'!$E$13+1,1))-AVERAGE(OFFSET($H$3,0,0,'Données projet'!$E$13+1,1))</f>
        <v>385.00782828233201</v>
      </c>
      <c r="CZ90" s="62">
        <f t="shared" si="96"/>
        <v>216.22708298332475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364.92254427319637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327.17622590628559</v>
      </c>
      <c r="T91" s="62">
        <f t="shared" si="88"/>
        <v>379.61248288852113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1.1350352736725396E-7</v>
      </c>
      <c r="AC91" s="24">
        <f t="shared" si="57"/>
        <v>1.1350352736725396E-7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</v>
      </c>
      <c r="AI91" s="14">
        <f>IF('Données projet'!$A$62&gt;35,AI90+AH91-AQ90,IF(A91&lt;'Données projet'!$A$62,$AF$205^A91,IF(A91='Données projet'!$A$62,'Données projet'!$B$62,AI90+AH91-AQ90)))</f>
        <v>198</v>
      </c>
      <c r="AJ91" s="14">
        <f>AI91*VLOOKUP('Données projet'!$B$10,Paramètres!$A$1:$I$89,3,0)*VLOOKUP('Données projet'!$B$10,Paramètres!$A$1:$I$89,5,0)</f>
        <v>206.9496</v>
      </c>
      <c r="AK91" s="14">
        <f t="shared" si="89"/>
        <v>51.268429949375538</v>
      </c>
      <c r="AL91" s="22">
        <f t="shared" si="58"/>
        <v>449.7297354951624</v>
      </c>
      <c r="AM91" s="62">
        <f t="shared" si="59"/>
        <v>743.06306882849572</v>
      </c>
      <c r="AN91" s="62">
        <f ca="1">AVERAGE(OFFSET($AM$3,0,0,'Données projet'!$E$10+1,1))-AVERAGE(OFFSET($H$3,0,0,'Données projet'!$E$10+1,1))</f>
        <v>276.87402314479681</v>
      </c>
      <c r="AO91" s="62">
        <f t="shared" si="90"/>
        <v>125.27302863901997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9.2222762759774927E-14</v>
      </c>
      <c r="BF91" s="14">
        <f t="shared" si="91"/>
        <v>1.3985662224947967E-12</v>
      </c>
      <c r="BG91" s="22">
        <f t="shared" si="61"/>
        <v>2.5964574826517121E-12</v>
      </c>
      <c r="BH91" s="62">
        <f t="shared" si="62"/>
        <v>293.33333333333593</v>
      </c>
      <c r="BI91" s="62">
        <f ca="1">AVERAGE(OFFSET($BH$3,0,0,'Données projet'!$E$11+1,1))-AVERAGE(OFFSET($H$3,0,0,'Données projet'!$E$11+1,1))</f>
        <v>236.29093866505224</v>
      </c>
      <c r="BJ91" s="62">
        <f t="shared" si="92"/>
        <v>258.22911730540892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-2.8421709430404007E-13</v>
      </c>
      <c r="BZ91" s="14">
        <f>BY91*VLOOKUP('Données projet'!$B$12,Paramètres!$A$1:$I$89,3,0)*VLOOKUP('Données projet'!$B$12,Paramètres!$A$1:$I$89,5,0)</f>
        <v>-2.2168933355715128E-13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250.84814055099969</v>
      </c>
      <c r="CE91" s="62">
        <f t="shared" si="94"/>
        <v>226.15029417484465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5.2</v>
      </c>
      <c r="CT91" s="13">
        <f>IF('Données projet'!$A$140&gt;35,CT90+CS91-DB90,IF(A91&lt;'Données projet'!$A$140,$CQ$205^A91,IF(A91='Données projet'!$A$140,'Données projet'!$B$140,CT90+CS91-DB90)))</f>
        <v>263.59999999999974</v>
      </c>
      <c r="CU91" s="18">
        <f>CT91*VLOOKUP('Données projet'!$B$13,Paramètres!$A$1:$I$89,3,0)*VLOOKUP('Données projet'!$B$13,Paramètres!$A$1:$I$89,5,0)</f>
        <v>267.29039999999975</v>
      </c>
      <c r="CV91" s="14">
        <f t="shared" si="95"/>
        <v>64.273886654661325</v>
      </c>
      <c r="CW91" s="22">
        <f t="shared" si="67"/>
        <v>577.47446592353469</v>
      </c>
      <c r="CX91" s="62">
        <f t="shared" si="68"/>
        <v>870.80779925686807</v>
      </c>
      <c r="CY91" s="62">
        <f ca="1">AVERAGE(OFFSET($CX$3,0,0,'Données projet'!$E$13+1,1))-AVERAGE(OFFSET($H$3,0,0,'Données projet'!$E$13+1,1))</f>
        <v>385.00782828233201</v>
      </c>
      <c r="CZ91" s="62">
        <f t="shared" si="96"/>
        <v>216.22708298332475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366.12005978779001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327.17622590628559</v>
      </c>
      <c r="T92" s="62">
        <f t="shared" si="88"/>
        <v>379.61248288852113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8.0259113889978157E-8</v>
      </c>
      <c r="AC92" s="24">
        <f t="shared" si="57"/>
        <v>8.0259113889978157E-8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</v>
      </c>
      <c r="AI92" s="14">
        <f>IF('Données projet'!$A$62&gt;35,AI91+AH92-AQ91,IF(A92&lt;'Données projet'!$A$62,$AF$205^A92,IF(A92='Données projet'!$A$62,'Données projet'!$B$62,AI91+AH92-AQ91)))</f>
        <v>202</v>
      </c>
      <c r="AJ92" s="14">
        <f>AI92*VLOOKUP('Données projet'!$B$10,Paramètres!$A$1:$I$89,3,0)*VLOOKUP('Données projet'!$B$10,Paramètres!$A$1:$I$89,5,0)</f>
        <v>211.13040000000001</v>
      </c>
      <c r="AK92" s="14">
        <f t="shared" si="89"/>
        <v>52.182529306074585</v>
      </c>
      <c r="AL92" s="22">
        <f t="shared" si="58"/>
        <v>458.60335187474652</v>
      </c>
      <c r="AM92" s="62">
        <f t="shared" si="59"/>
        <v>751.93668520807978</v>
      </c>
      <c r="AN92" s="62">
        <f ca="1">AVERAGE(OFFSET($AM$3,0,0,'Données projet'!$E$10+1,1))-AVERAGE(OFFSET($H$3,0,0,'Données projet'!$E$10+1,1))</f>
        <v>276.87402314479681</v>
      </c>
      <c r="AO92" s="62">
        <f t="shared" si="90"/>
        <v>125.27302863901997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9.2222762759774927E-14</v>
      </c>
      <c r="BF92" s="14">
        <f t="shared" si="91"/>
        <v>1.3985662224947967E-12</v>
      </c>
      <c r="BG92" s="22">
        <f t="shared" si="61"/>
        <v>2.5964574826517121E-12</v>
      </c>
      <c r="BH92" s="62">
        <f t="shared" si="62"/>
        <v>293.33333333333593</v>
      </c>
      <c r="BI92" s="62">
        <f ca="1">AVERAGE(OFFSET($BH$3,0,0,'Données projet'!$E$11+1,1))-AVERAGE(OFFSET($H$3,0,0,'Données projet'!$E$11+1,1))</f>
        <v>236.29093866505224</v>
      </c>
      <c r="BJ92" s="62">
        <f t="shared" si="92"/>
        <v>258.22911730540892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-2.8421709430404007E-13</v>
      </c>
      <c r="BZ92" s="14">
        <f>BY92*VLOOKUP('Données projet'!$B$12,Paramètres!$A$1:$I$89,3,0)*VLOOKUP('Données projet'!$B$12,Paramètres!$A$1:$I$89,5,0)</f>
        <v>-2.2168933355715128E-13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250.84814055099969</v>
      </c>
      <c r="CE92" s="62">
        <f t="shared" si="94"/>
        <v>226.15029417484465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5.2</v>
      </c>
      <c r="CT92" s="13">
        <f>IF('Données projet'!$A$140&gt;35,CT91+CS92-DB91,IF(A92&lt;'Données projet'!$A$140,$CQ$205^A92,IF(A92='Données projet'!$A$140,'Données projet'!$B$140,CT91+CS92-DB91)))</f>
        <v>268.79999999999973</v>
      </c>
      <c r="CU92" s="18">
        <f>CT92*VLOOKUP('Données projet'!$B$13,Paramètres!$A$1:$I$89,3,0)*VLOOKUP('Données projet'!$B$13,Paramètres!$A$1:$I$89,5,0)</f>
        <v>272.56319999999977</v>
      </c>
      <c r="CV92" s="14">
        <f t="shared" si="95"/>
        <v>65.392945522034552</v>
      </c>
      <c r="CW92" s="22">
        <f t="shared" si="67"/>
        <v>588.6069534508764</v>
      </c>
      <c r="CX92" s="62">
        <f t="shared" si="68"/>
        <v>881.94028678420977</v>
      </c>
      <c r="CY92" s="62">
        <f ca="1">AVERAGE(OFFSET($CX$3,0,0,'Données projet'!$E$13+1,1))-AVERAGE(OFFSET($H$3,0,0,'Données projet'!$E$13+1,1))</f>
        <v>385.00782828233201</v>
      </c>
      <c r="CZ92" s="62">
        <f t="shared" si="96"/>
        <v>216.22708298332475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367.31725303154894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327.17622590628559</v>
      </c>
      <c r="T93" s="62">
        <f t="shared" si="88"/>
        <v>379.61248288852113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5.6751763683626982E-8</v>
      </c>
      <c r="AC93" s="24">
        <f t="shared" si="57"/>
        <v>5.6751763683626982E-8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4</v>
      </c>
      <c r="AI93" s="14">
        <f>IF('Données projet'!$A$62&gt;35,AI92+AH93-AQ92,IF(A93&lt;'Données projet'!$A$62,$AF$205^A93,IF(A93='Données projet'!$A$62,'Données projet'!$B$62,AI92+AH93-AQ92)))</f>
        <v>206</v>
      </c>
      <c r="AJ93" s="14">
        <f>AI93*VLOOKUP('Données projet'!$B$10,Paramètres!$A$1:$I$89,3,0)*VLOOKUP('Données projet'!$B$10,Paramètres!$A$1:$I$89,5,0)</f>
        <v>215.31120000000001</v>
      </c>
      <c r="AK93" s="14">
        <f t="shared" si="89"/>
        <v>53.094523989958148</v>
      </c>
      <c r="AL93" s="22">
        <f t="shared" si="58"/>
        <v>467.47330261584381</v>
      </c>
      <c r="AM93" s="62">
        <f t="shared" si="59"/>
        <v>760.80663594917712</v>
      </c>
      <c r="AN93" s="62">
        <f ca="1">AVERAGE(OFFSET($AM$3,0,0,'Données projet'!$E$10+1,1))-AVERAGE(OFFSET($H$3,0,0,'Données projet'!$E$10+1,1))</f>
        <v>276.87402314479681</v>
      </c>
      <c r="AO93" s="62">
        <f t="shared" si="90"/>
        <v>125.27302863901997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9.2222762759774927E-14</v>
      </c>
      <c r="BF93" s="14">
        <f t="shared" si="91"/>
        <v>1.3985662224947967E-12</v>
      </c>
      <c r="BG93" s="22">
        <f t="shared" si="61"/>
        <v>2.5964574826517121E-12</v>
      </c>
      <c r="BH93" s="62">
        <f t="shared" si="62"/>
        <v>293.33333333333593</v>
      </c>
      <c r="BI93" s="62">
        <f ca="1">AVERAGE(OFFSET($BH$3,0,0,'Données projet'!$E$11+1,1))-AVERAGE(OFFSET($H$3,0,0,'Données projet'!$E$11+1,1))</f>
        <v>236.29093866505224</v>
      </c>
      <c r="BJ93" s="62">
        <f t="shared" si="92"/>
        <v>258.22911730540892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-2.8421709430404007E-13</v>
      </c>
      <c r="BZ93" s="14">
        <f>BY93*VLOOKUP('Données projet'!$B$12,Paramètres!$A$1:$I$89,3,0)*VLOOKUP('Données projet'!$B$12,Paramètres!$A$1:$I$89,5,0)</f>
        <v>-2.2168933355715128E-13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250.84814055099969</v>
      </c>
      <c r="CE93" s="62">
        <f t="shared" si="94"/>
        <v>226.15029417484465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5.2</v>
      </c>
      <c r="CT93" s="13">
        <f>IF('Données projet'!$A$140&gt;35,CT92+CS93-DB92,IF(A93&lt;'Données projet'!$A$140,$CQ$205^A93,IF(A93='Données projet'!$A$140,'Données projet'!$B$140,CT92+CS93-DB92)))</f>
        <v>273.99999999999972</v>
      </c>
      <c r="CU93" s="18">
        <f>CT93*VLOOKUP('Données projet'!$B$13,Paramètres!$A$1:$I$89,3,0)*VLOOKUP('Données projet'!$B$13,Paramètres!$A$1:$I$89,5,0)</f>
        <v>277.83599999999973</v>
      </c>
      <c r="CV93" s="14">
        <f t="shared" si="95"/>
        <v>66.509487177652261</v>
      </c>
      <c r="CW93" s="22">
        <f t="shared" si="67"/>
        <v>599.73505683441056</v>
      </c>
      <c r="CX93" s="62">
        <f t="shared" si="68"/>
        <v>893.06839016774393</v>
      </c>
      <c r="CY93" s="62">
        <f ca="1">AVERAGE(OFFSET($CX$3,0,0,'Données projet'!$E$13+1,1))-AVERAGE(OFFSET($H$3,0,0,'Données projet'!$E$13+1,1))</f>
        <v>385.00782828233201</v>
      </c>
      <c r="CZ93" s="62">
        <f t="shared" si="96"/>
        <v>216.22708298332475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368.51412799964498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327.17622590628559</v>
      </c>
      <c r="T94" s="62">
        <f t="shared" si="88"/>
        <v>379.61248288852113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4.0129556944989078E-8</v>
      </c>
      <c r="AC94" s="24">
        <f t="shared" si="57"/>
        <v>4.0129556944989078E-8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</v>
      </c>
      <c r="AI94" s="14">
        <f>IF('Données projet'!$A$62&gt;35,AI93+AH94-AQ93,IF(A94&lt;'Données projet'!$A$62,$AF$205^A94,IF(A94='Données projet'!$A$62,'Données projet'!$B$62,AI93+AH94-AQ93)))</f>
        <v>210</v>
      </c>
      <c r="AJ94" s="14">
        <f>AI94*VLOOKUP('Données projet'!$B$10,Paramètres!$A$1:$I$89,3,0)*VLOOKUP('Données projet'!$B$10,Paramètres!$A$1:$I$89,5,0)</f>
        <v>219.49200000000005</v>
      </c>
      <c r="AK94" s="14">
        <f t="shared" si="89"/>
        <v>54.004459579686667</v>
      </c>
      <c r="AL94" s="22">
        <f t="shared" si="58"/>
        <v>476.3396671012876</v>
      </c>
      <c r="AM94" s="62">
        <f t="shared" si="59"/>
        <v>769.67300043462092</v>
      </c>
      <c r="AN94" s="62">
        <f ca="1">AVERAGE(OFFSET($AM$3,0,0,'Données projet'!$E$10+1,1))-AVERAGE(OFFSET($H$3,0,0,'Données projet'!$E$10+1,1))</f>
        <v>276.87402314479681</v>
      </c>
      <c r="AO94" s="62">
        <f t="shared" si="90"/>
        <v>125.27302863901997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9.2222762759774927E-14</v>
      </c>
      <c r="BF94" s="14">
        <f t="shared" si="91"/>
        <v>1.3985662224947967E-12</v>
      </c>
      <c r="BG94" s="22">
        <f t="shared" si="61"/>
        <v>2.5964574826517121E-12</v>
      </c>
      <c r="BH94" s="62">
        <f t="shared" si="62"/>
        <v>293.33333333333593</v>
      </c>
      <c r="BI94" s="62">
        <f ca="1">AVERAGE(OFFSET($BH$3,0,0,'Données projet'!$E$11+1,1))-AVERAGE(OFFSET($H$3,0,0,'Données projet'!$E$11+1,1))</f>
        <v>236.29093866505224</v>
      </c>
      <c r="BJ94" s="62">
        <f t="shared" si="92"/>
        <v>258.22911730540892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-2.8421709430404007E-13</v>
      </c>
      <c r="BZ94" s="14">
        <f>BY94*VLOOKUP('Données projet'!$B$12,Paramètres!$A$1:$I$89,3,0)*VLOOKUP('Données projet'!$B$12,Paramètres!$A$1:$I$89,5,0)</f>
        <v>-2.2168933355715128E-13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250.84814055099969</v>
      </c>
      <c r="CE94" s="62">
        <f t="shared" si="94"/>
        <v>226.15029417484465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5.2</v>
      </c>
      <c r="CT94" s="13">
        <f>IF('Données projet'!$A$140&gt;35,CT93+CS94-DB93,IF(A94&lt;'Données projet'!$A$140,$CQ$205^A94,IF(A94='Données projet'!$A$140,'Données projet'!$B$140,CT93+CS94-DB93)))</f>
        <v>279.1999999999997</v>
      </c>
      <c r="CU94" s="18">
        <f>CT94*VLOOKUP('Données projet'!$B$13,Paramètres!$A$1:$I$89,3,0)*VLOOKUP('Données projet'!$B$13,Paramètres!$A$1:$I$89,5,0)</f>
        <v>283.10879999999975</v>
      </c>
      <c r="CV94" s="14">
        <f t="shared" si="95"/>
        <v>67.623564901653808</v>
      </c>
      <c r="CW94" s="22">
        <f t="shared" si="67"/>
        <v>610.85886887037998</v>
      </c>
      <c r="CX94" s="62">
        <f t="shared" si="68"/>
        <v>904.19220220371335</v>
      </c>
      <c r="CY94" s="62">
        <f ca="1">AVERAGE(OFFSET($CX$3,0,0,'Données projet'!$E$13+1,1))-AVERAGE(OFFSET($H$3,0,0,'Données projet'!$E$13+1,1))</f>
        <v>385.00782828233201</v>
      </c>
      <c r="CZ94" s="62">
        <f t="shared" si="96"/>
        <v>216.22708298332475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369.71068859438765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327.17622590628559</v>
      </c>
      <c r="T95" s="62">
        <f t="shared" si="88"/>
        <v>379.61248288852113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2.8375881841813491E-8</v>
      </c>
      <c r="AC95" s="24">
        <f t="shared" si="57"/>
        <v>2.8375881841813491E-8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</v>
      </c>
      <c r="AI95" s="14">
        <f>IF('Données projet'!$A$62&gt;35,AI94+AH95-AQ94,IF(A95&lt;'Données projet'!$A$62,$AF$205^A95,IF(A95='Données projet'!$A$62,'Données projet'!$B$62,AI94+AH95-AQ94)))</f>
        <v>214</v>
      </c>
      <c r="AJ95" s="14">
        <f>AI95*VLOOKUP('Données projet'!$B$10,Paramètres!$A$1:$I$89,3,0)*VLOOKUP('Données projet'!$B$10,Paramètres!$A$1:$I$89,5,0)</f>
        <v>223.6728</v>
      </c>
      <c r="AK95" s="14">
        <f t="shared" si="89"/>
        <v>54.91237981823884</v>
      </c>
      <c r="AL95" s="22">
        <f t="shared" si="58"/>
        <v>485.20252151676596</v>
      </c>
      <c r="AM95" s="62">
        <f t="shared" si="59"/>
        <v>778.53585485009921</v>
      </c>
      <c r="AN95" s="62">
        <f ca="1">AVERAGE(OFFSET($AM$3,0,0,'Données projet'!$E$10+1,1))-AVERAGE(OFFSET($H$3,0,0,'Données projet'!$E$10+1,1))</f>
        <v>276.87402314479681</v>
      </c>
      <c r="AO95" s="62">
        <f t="shared" si="90"/>
        <v>125.27302863901997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9.2222762759774927E-14</v>
      </c>
      <c r="BF95" s="14">
        <f t="shared" si="91"/>
        <v>1.3985662224947967E-12</v>
      </c>
      <c r="BG95" s="22">
        <f t="shared" si="61"/>
        <v>2.5964574826517121E-12</v>
      </c>
      <c r="BH95" s="62">
        <f t="shared" si="62"/>
        <v>293.33333333333593</v>
      </c>
      <c r="BI95" s="62">
        <f ca="1">AVERAGE(OFFSET($BH$3,0,0,'Données projet'!$E$11+1,1))-AVERAGE(OFFSET($H$3,0,0,'Données projet'!$E$11+1,1))</f>
        <v>236.29093866505224</v>
      </c>
      <c r="BJ95" s="62">
        <f t="shared" si="92"/>
        <v>258.22911730540892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-2.8421709430404007E-13</v>
      </c>
      <c r="BZ95" s="14">
        <f>BY95*VLOOKUP('Données projet'!$B$12,Paramètres!$A$1:$I$89,3,0)*VLOOKUP('Données projet'!$B$12,Paramètres!$A$1:$I$89,5,0)</f>
        <v>-2.2168933355715128E-13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250.84814055099969</v>
      </c>
      <c r="CE95" s="62">
        <f t="shared" si="94"/>
        <v>226.15029417484465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5.2</v>
      </c>
      <c r="CT95" s="13">
        <f>IF('Données projet'!$A$140&gt;35,CT94+CS95-DB94,IF(A95&lt;'Données projet'!$A$140,$CQ$205^A95,IF(A95='Données projet'!$A$140,'Données projet'!$B$140,CT94+CS95-DB94)))</f>
        <v>284.39999999999969</v>
      </c>
      <c r="CU95" s="18">
        <f>CT95*VLOOKUP('Données projet'!$B$13,Paramètres!$A$1:$I$89,3,0)*VLOOKUP('Données projet'!$B$13,Paramètres!$A$1:$I$89,5,0)</f>
        <v>288.38159999999971</v>
      </c>
      <c r="CV95" s="14">
        <f t="shared" si="95"/>
        <v>68.735229875936554</v>
      </c>
      <c r="CW95" s="22">
        <f t="shared" si="67"/>
        <v>621.97847870058888</v>
      </c>
      <c r="CX95" s="62">
        <f t="shared" si="68"/>
        <v>915.31181203392225</v>
      </c>
      <c r="CY95" s="62">
        <f ca="1">AVERAGE(OFFSET($CX$3,0,0,'Données projet'!$E$13+1,1))-AVERAGE(OFFSET($H$3,0,0,'Données projet'!$E$13+1,1))</f>
        <v>385.00782828233201</v>
      </c>
      <c r="CZ95" s="62">
        <f t="shared" si="96"/>
        <v>216.22708298332475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370.90693862836775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327.17622590628559</v>
      </c>
      <c r="T96" s="62">
        <f t="shared" si="88"/>
        <v>379.61248288852113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2.0064778472494539E-8</v>
      </c>
      <c r="AC96" s="24">
        <f t="shared" si="57"/>
        <v>2.0064778472494539E-8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</v>
      </c>
      <c r="AI96" s="14">
        <f>IF('Données projet'!$A$62&gt;35,AI95+AH96-AQ95,IF(A96&lt;'Données projet'!$A$62,$AF$205^A96,IF(A96='Données projet'!$A$62,'Données projet'!$B$62,AI95+AH96-AQ95)))</f>
        <v>218</v>
      </c>
      <c r="AJ96" s="14">
        <f>AI96*VLOOKUP('Données projet'!$B$10,Paramètres!$A$1:$I$89,3,0)*VLOOKUP('Données projet'!$B$10,Paramètres!$A$1:$I$89,5,0)</f>
        <v>227.8536</v>
      </c>
      <c r="AK96" s="14">
        <f t="shared" si="89"/>
        <v>55.818326719749798</v>
      </c>
      <c r="AL96" s="22">
        <f t="shared" si="58"/>
        <v>494.06193903689763</v>
      </c>
      <c r="AM96" s="62">
        <f t="shared" si="59"/>
        <v>787.39527237023094</v>
      </c>
      <c r="AN96" s="62">
        <f ca="1">AVERAGE(OFFSET($AM$3,0,0,'Données projet'!$E$10+1,1))-AVERAGE(OFFSET($H$3,0,0,'Données projet'!$E$10+1,1))</f>
        <v>276.87402314479681</v>
      </c>
      <c r="AO96" s="62">
        <f t="shared" si="90"/>
        <v>125.27302863901997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9.2222762759774927E-14</v>
      </c>
      <c r="BF96" s="14">
        <f t="shared" si="91"/>
        <v>1.3985662224947967E-12</v>
      </c>
      <c r="BG96" s="22">
        <f t="shared" si="61"/>
        <v>2.5964574826517121E-12</v>
      </c>
      <c r="BH96" s="62">
        <f t="shared" si="62"/>
        <v>293.33333333333593</v>
      </c>
      <c r="BI96" s="62">
        <f ca="1">AVERAGE(OFFSET($BH$3,0,0,'Données projet'!$E$11+1,1))-AVERAGE(OFFSET($H$3,0,0,'Données projet'!$E$11+1,1))</f>
        <v>236.29093866505224</v>
      </c>
      <c r="BJ96" s="62">
        <f t="shared" si="92"/>
        <v>258.22911730540892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-2.8421709430404007E-13</v>
      </c>
      <c r="BZ96" s="14">
        <f>BY96*VLOOKUP('Données projet'!$B$12,Paramètres!$A$1:$I$89,3,0)*VLOOKUP('Données projet'!$B$12,Paramètres!$A$1:$I$89,5,0)</f>
        <v>-2.2168933355715128E-13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250.84814055099969</v>
      </c>
      <c r="CE96" s="62">
        <f t="shared" si="94"/>
        <v>226.15029417484465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5.2</v>
      </c>
      <c r="CT96" s="13">
        <f>IF('Données projet'!$A$140&gt;35,CT95+CS96-DB95,IF(A96&lt;'Données projet'!$A$140,$CQ$205^A96,IF(A96='Données projet'!$A$140,'Données projet'!$B$140,CT95+CS96-DB95)))</f>
        <v>289.59999999999968</v>
      </c>
      <c r="CU96" s="18">
        <f>CT96*VLOOKUP('Données projet'!$B$13,Paramètres!$A$1:$I$89,3,0)*VLOOKUP('Données projet'!$B$13,Paramètres!$A$1:$I$89,5,0)</f>
        <v>293.65439999999973</v>
      </c>
      <c r="CV96" s="14">
        <f t="shared" si="95"/>
        <v>69.844531303614474</v>
      </c>
      <c r="CW96" s="22">
        <f t="shared" si="67"/>
        <v>633.09397202046136</v>
      </c>
      <c r="CX96" s="62">
        <f t="shared" si="68"/>
        <v>926.42730535379474</v>
      </c>
      <c r="CY96" s="62">
        <f ca="1">AVERAGE(OFFSET($CX$3,0,0,'Données projet'!$E$13+1,1))-AVERAGE(OFFSET($H$3,0,0,'Données projet'!$E$13+1,1))</f>
        <v>385.00782828233201</v>
      </c>
      <c r="CZ96" s="62">
        <f t="shared" si="96"/>
        <v>216.22708298332475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372.10288182746245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327.17622590628559</v>
      </c>
      <c r="T97" s="62">
        <f t="shared" si="88"/>
        <v>379.61248288852113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1.4187940920906746E-8</v>
      </c>
      <c r="AC97" s="24">
        <f t="shared" si="57"/>
        <v>1.4187940920906746E-8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</v>
      </c>
      <c r="AI97" s="14">
        <f>IF('Données projet'!$A$62&gt;35,AI96+AH97-AQ96,IF(A97&lt;'Données projet'!$A$62,$AF$205^A97,IF(A97='Données projet'!$A$62,'Données projet'!$B$62,AI96+AH97-AQ96)))</f>
        <v>222</v>
      </c>
      <c r="AJ97" s="14">
        <f>AI97*VLOOKUP('Données projet'!$B$10,Paramètres!$A$1:$I$89,3,0)*VLOOKUP('Données projet'!$B$10,Paramètres!$A$1:$I$89,5,0)</f>
        <v>232.03440000000003</v>
      </c>
      <c r="AK97" s="14">
        <f t="shared" si="89"/>
        <v>56.722340668285831</v>
      </c>
      <c r="AL97" s="22">
        <f t="shared" si="58"/>
        <v>502.91798999726456</v>
      </c>
      <c r="AM97" s="62">
        <f t="shared" si="59"/>
        <v>796.25132333059787</v>
      </c>
      <c r="AN97" s="62">
        <f ca="1">AVERAGE(OFFSET($AM$3,0,0,'Données projet'!$E$10+1,1))-AVERAGE(OFFSET($H$3,0,0,'Données projet'!$E$10+1,1))</f>
        <v>276.87402314479681</v>
      </c>
      <c r="AO97" s="62">
        <f t="shared" si="90"/>
        <v>125.27302863901997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9.2222762759774927E-14</v>
      </c>
      <c r="BF97" s="14">
        <f t="shared" si="91"/>
        <v>1.3985662224947967E-12</v>
      </c>
      <c r="BG97" s="22">
        <f t="shared" si="61"/>
        <v>2.5964574826517121E-12</v>
      </c>
      <c r="BH97" s="62">
        <f t="shared" si="62"/>
        <v>293.33333333333593</v>
      </c>
      <c r="BI97" s="62">
        <f ca="1">AVERAGE(OFFSET($BH$3,0,0,'Données projet'!$E$11+1,1))-AVERAGE(OFFSET($H$3,0,0,'Données projet'!$E$11+1,1))</f>
        <v>236.29093866505224</v>
      </c>
      <c r="BJ97" s="62">
        <f t="shared" si="92"/>
        <v>258.22911730540892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-2.8421709430404007E-13</v>
      </c>
      <c r="BZ97" s="14">
        <f>BY97*VLOOKUP('Données projet'!$B$12,Paramètres!$A$1:$I$89,3,0)*VLOOKUP('Données projet'!$B$12,Paramètres!$A$1:$I$89,5,0)</f>
        <v>-2.2168933355715128E-13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250.84814055099969</v>
      </c>
      <c r="CE97" s="62">
        <f t="shared" si="94"/>
        <v>226.15029417484465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5.2</v>
      </c>
      <c r="CT97" s="13">
        <f>IF('Données projet'!$A$140&gt;35,CT96+CS97-DB96,IF(A97&lt;'Données projet'!$A$140,$CQ$205^A97,IF(A97='Données projet'!$A$140,'Données projet'!$B$140,CT96+CS97-DB96)))</f>
        <v>294.79999999999967</v>
      </c>
      <c r="CU97" s="18">
        <f>CT97*VLOOKUP('Données projet'!$B$13,Paramètres!$A$1:$I$89,3,0)*VLOOKUP('Données projet'!$B$13,Paramètres!$A$1:$I$89,5,0)</f>
        <v>298.92719999999969</v>
      </c>
      <c r="CV97" s="14">
        <f t="shared" si="95"/>
        <v>70.951516519653524</v>
      </c>
      <c r="CW97" s="22">
        <f t="shared" si="67"/>
        <v>644.20543127172925</v>
      </c>
      <c r="CX97" s="62">
        <f t="shared" si="68"/>
        <v>937.53876460506262</v>
      </c>
      <c r="CY97" s="62">
        <f ca="1">AVERAGE(OFFSET($CX$3,0,0,'Données projet'!$E$13+1,1))-AVERAGE(OFFSET($H$3,0,0,'Données projet'!$E$13+1,1))</f>
        <v>385.00782828233201</v>
      </c>
      <c r="CZ97" s="62">
        <f t="shared" si="96"/>
        <v>216.22708298332475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373.29852183370838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327.17622590628559</v>
      </c>
      <c r="T98" s="62">
        <f t="shared" si="88"/>
        <v>379.61248288852113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1.003238923624727E-8</v>
      </c>
      <c r="AC98" s="24">
        <f t="shared" si="57"/>
        <v>1.003238923624727E-8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226</v>
      </c>
      <c r="AG98" s="13">
        <f>VLOOKUP(A98,'Données projet'!$A$61:$I$81,9,0)</f>
        <v>4</v>
      </c>
      <c r="AH98" s="13">
        <f t="array" ref="AH98">INDEX(AG:AG,MIN(IF(ISNUMBER(AG98:AG294),ROW(AG98:AG294),"")))</f>
        <v>4</v>
      </c>
      <c r="AI98" s="14">
        <f>IF('Données projet'!$A$62&gt;35,AI97+AH98-AQ97,IF(A98&lt;'Données projet'!$A$62,$AF$205^A98,IF(A98='Données projet'!$A$62,'Données projet'!$B$62,AI97+AH98-AQ97)))</f>
        <v>226</v>
      </c>
      <c r="AJ98" s="14">
        <f>AI98*VLOOKUP('Données projet'!$B$10,Paramètres!$A$1:$I$89,3,0)*VLOOKUP('Données projet'!$B$10,Paramètres!$A$1:$I$89,5,0)</f>
        <v>236.21520000000004</v>
      </c>
      <c r="AK98" s="14">
        <f t="shared" si="89"/>
        <v>57.624460509298522</v>
      </c>
      <c r="AL98" s="22">
        <f t="shared" si="58"/>
        <v>511.7707420536949</v>
      </c>
      <c r="AM98" s="62">
        <f t="shared" si="59"/>
        <v>805.10407538702816</v>
      </c>
      <c r="AN98" s="62">
        <f ca="1">AVERAGE(OFFSET($AM$3,0,0,'Données projet'!$E$10+1,1))-AVERAGE(OFFSET($H$3,0,0,'Données projet'!$E$10+1,1))</f>
        <v>276.87402314479681</v>
      </c>
      <c r="AO98" s="62">
        <f t="shared" si="90"/>
        <v>125.27302863901997</v>
      </c>
      <c r="AP98" s="16">
        <f>IF(ISNA(VLOOKUP(A98,'Données projet'!$A$61:$I$81,3,0)),0,VLOOKUP(A98,'Données projet'!$A$61:$I$81,3,0))</f>
        <v>7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9.2222762759774927E-14</v>
      </c>
      <c r="BF98" s="14">
        <f t="shared" si="91"/>
        <v>1.3985662224947967E-12</v>
      </c>
      <c r="BG98" s="22">
        <f t="shared" si="61"/>
        <v>2.5964574826517121E-12</v>
      </c>
      <c r="BH98" s="62">
        <f t="shared" si="62"/>
        <v>293.33333333333593</v>
      </c>
      <c r="BI98" s="62">
        <f ca="1">AVERAGE(OFFSET($BH$3,0,0,'Données projet'!$E$11+1,1))-AVERAGE(OFFSET($H$3,0,0,'Données projet'!$E$11+1,1))</f>
        <v>236.29093866505224</v>
      </c>
      <c r="BJ98" s="62">
        <f t="shared" si="92"/>
        <v>258.22911730540892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-2.8421709430404007E-13</v>
      </c>
      <c r="BZ98" s="14">
        <f>BY98*VLOOKUP('Données projet'!$B$12,Paramètres!$A$1:$I$89,3,0)*VLOOKUP('Données projet'!$B$12,Paramètres!$A$1:$I$89,5,0)</f>
        <v>-2.2168933355715128E-13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250.84814055099969</v>
      </c>
      <c r="CE98" s="62">
        <f t="shared" si="94"/>
        <v>226.15029417484465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300</v>
      </c>
      <c r="CR98" s="13">
        <f>VLOOKUP(A98,'Données projet'!$A$139:$I$159,9,0)</f>
        <v>5.2</v>
      </c>
      <c r="CS98" s="13">
        <f t="array" ref="CS98">INDEX(CR:CR,MIN(IF(ISNUMBER(CR98:CR294),ROW(CR98:CR294),"")))</f>
        <v>5.2</v>
      </c>
      <c r="CT98" s="13">
        <f>IF('Données projet'!$A$140&gt;35,CT97+CS98-DB97,IF(A98&lt;'Données projet'!$A$140,$CQ$205^A98,IF(A98='Données projet'!$A$140,'Données projet'!$B$140,CT97+CS98-DB97)))</f>
        <v>299.99999999999966</v>
      </c>
      <c r="CU98" s="18">
        <f>CT98*VLOOKUP('Données projet'!$B$13,Paramètres!$A$1:$I$89,3,0)*VLOOKUP('Données projet'!$B$13,Paramètres!$A$1:$I$89,5,0)</f>
        <v>304.19999999999965</v>
      </c>
      <c r="CV98" s="14">
        <f t="shared" si="95"/>
        <v>72.056231093481003</v>
      </c>
      <c r="CW98" s="22">
        <f t="shared" si="67"/>
        <v>655.31293582114552</v>
      </c>
      <c r="CX98" s="62">
        <f t="shared" si="68"/>
        <v>948.64626915447889</v>
      </c>
      <c r="CY98" s="62">
        <f ca="1">AVERAGE(OFFSET($CX$3,0,0,'Données projet'!$E$13+1,1))-AVERAGE(OFFSET($H$3,0,0,'Données projet'!$E$13+1,1))</f>
        <v>385.00782828233201</v>
      </c>
      <c r="CZ98" s="62">
        <f t="shared" si="96"/>
        <v>216.22708298332475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42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374.49386220805047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327.17622590628559</v>
      </c>
      <c r="T99" s="62">
        <f t="shared" si="88"/>
        <v>379.61248288852113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7.0939704604533728E-9</v>
      </c>
      <c r="AC99" s="24">
        <f t="shared" si="57"/>
        <v>7.0939704604533728E-9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3.4</v>
      </c>
      <c r="AI99" s="14">
        <f>IF('Données projet'!$A$62&gt;35,AI98+AH99-AQ98,IF(A99&lt;'Données projet'!$A$62,$AF$205^A99,IF(A99='Données projet'!$A$62,'Données projet'!$B$62,AI98+AH99-AQ98)))</f>
        <v>201.4</v>
      </c>
      <c r="AJ99" s="14">
        <f>AI99*VLOOKUP('Données projet'!$B$10,Paramètres!$A$1:$I$89,3,0)*VLOOKUP('Données projet'!$B$10,Paramètres!$A$1:$I$89,5,0)</f>
        <v>210.50328000000005</v>
      </c>
      <c r="AK99" s="14">
        <f t="shared" si="89"/>
        <v>52.045549714335849</v>
      </c>
      <c r="AL99" s="22">
        <f t="shared" si="58"/>
        <v>457.27254508580171</v>
      </c>
      <c r="AM99" s="62">
        <f t="shared" si="59"/>
        <v>750.60587841913502</v>
      </c>
      <c r="AN99" s="62">
        <f ca="1">AVERAGE(OFFSET($AM$3,0,0,'Données projet'!$E$10+1,1))-AVERAGE(OFFSET($H$3,0,0,'Données projet'!$E$10+1,1))</f>
        <v>276.87402314479681</v>
      </c>
      <c r="AO99" s="62">
        <f t="shared" si="90"/>
        <v>125.27302863901997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9.2222762759774927E-14</v>
      </c>
      <c r="BF99" s="14">
        <f t="shared" si="91"/>
        <v>1.3985662224947967E-12</v>
      </c>
      <c r="BG99" s="22">
        <f t="shared" si="61"/>
        <v>2.5964574826517121E-12</v>
      </c>
      <c r="BH99" s="62">
        <f t="shared" si="62"/>
        <v>293.33333333333593</v>
      </c>
      <c r="BI99" s="62">
        <f ca="1">AVERAGE(OFFSET($BH$3,0,0,'Données projet'!$E$11+1,1))-AVERAGE(OFFSET($H$3,0,0,'Données projet'!$E$11+1,1))</f>
        <v>236.29093866505224</v>
      </c>
      <c r="BJ99" s="62">
        <f t="shared" si="92"/>
        <v>258.22911730540892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-2.8421709430404007E-13</v>
      </c>
      <c r="BZ99" s="14">
        <f>BY99*VLOOKUP('Données projet'!$B$12,Paramètres!$A$1:$I$89,3,0)*VLOOKUP('Données projet'!$B$12,Paramètres!$A$1:$I$89,5,0)</f>
        <v>-2.2168933355715128E-13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250.84814055099969</v>
      </c>
      <c r="CE99" s="62">
        <f t="shared" si="94"/>
        <v>226.15029417484465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4.7</v>
      </c>
      <c r="CT99" s="13">
        <f>IF('Données projet'!$A$140&gt;35,CT98+CS99-DB98,IF(A99&lt;'Données projet'!$A$140,$CQ$205^A99,IF(A99='Données projet'!$A$140,'Données projet'!$B$140,CT98+CS99-DB98)))</f>
        <v>262.69999999999965</v>
      </c>
      <c r="CU99" s="18">
        <f>CT99*VLOOKUP('Données projet'!$B$13,Paramètres!$A$1:$I$89,3,0)*VLOOKUP('Données projet'!$B$13,Paramètres!$A$1:$I$89,5,0)</f>
        <v>266.37779999999964</v>
      </c>
      <c r="CV99" s="14">
        <f t="shared" si="95"/>
        <v>64.079943804672666</v>
      </c>
      <c r="CW99" s="22">
        <f t="shared" si="67"/>
        <v>575.54723712647092</v>
      </c>
      <c r="CX99" s="62">
        <f t="shared" si="68"/>
        <v>868.88057045980418</v>
      </c>
      <c r="CY99" s="62">
        <f ca="1">AVERAGE(OFFSET($CX$3,0,0,'Données projet'!$E$13+1,1))-AVERAGE(OFFSET($H$3,0,0,'Données projet'!$E$13+1,1))</f>
        <v>385.00782828233201</v>
      </c>
      <c r="CZ99" s="62">
        <f t="shared" si="96"/>
        <v>216.22708298332475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375.68890643297289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327.17622590628559</v>
      </c>
      <c r="T100" s="62">
        <f t="shared" si="88"/>
        <v>379.61248288852113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5.0161946181236348E-9</v>
      </c>
      <c r="AC100" s="24">
        <f t="shared" si="57"/>
        <v>5.0161946181236348E-9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3.4</v>
      </c>
      <c r="AI100" s="14">
        <f>IF('Données projet'!$A$62&gt;35,AI99+AH100-AQ99,IF(A100&lt;'Données projet'!$A$62,$AF$205^A100,IF(A100='Données projet'!$A$62,'Données projet'!$B$62,AI99+AH100-AQ99)))</f>
        <v>204.8</v>
      </c>
      <c r="AJ100" s="14">
        <f>AI100*VLOOKUP('Données projet'!$B$10,Paramètres!$A$1:$I$89,3,0)*VLOOKUP('Données projet'!$B$10,Paramètres!$A$1:$I$89,5,0)</f>
        <v>214.05696000000003</v>
      </c>
      <c r="AK100" s="14">
        <f t="shared" si="89"/>
        <v>52.821143827018723</v>
      </c>
      <c r="AL100" s="22">
        <f t="shared" si="58"/>
        <v>464.81269749872439</v>
      </c>
      <c r="AM100" s="62">
        <f t="shared" si="59"/>
        <v>758.1460308320577</v>
      </c>
      <c r="AN100" s="62">
        <f ca="1">AVERAGE(OFFSET($AM$3,0,0,'Données projet'!$E$10+1,1))-AVERAGE(OFFSET($H$3,0,0,'Données projet'!$E$10+1,1))</f>
        <v>276.87402314479681</v>
      </c>
      <c r="AO100" s="62">
        <f t="shared" si="90"/>
        <v>125.27302863901997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9.2222762759774927E-14</v>
      </c>
      <c r="BF100" s="14">
        <f t="shared" si="91"/>
        <v>1.3985662224947967E-12</v>
      </c>
      <c r="BG100" s="22">
        <f t="shared" si="61"/>
        <v>2.5964574826517121E-12</v>
      </c>
      <c r="BH100" s="62">
        <f t="shared" si="62"/>
        <v>293.33333333333593</v>
      </c>
      <c r="BI100" s="62">
        <f ca="1">AVERAGE(OFFSET($BH$3,0,0,'Données projet'!$E$11+1,1))-AVERAGE(OFFSET($H$3,0,0,'Données projet'!$E$11+1,1))</f>
        <v>236.29093866505224</v>
      </c>
      <c r="BJ100" s="62">
        <f t="shared" si="92"/>
        <v>258.22911730540892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-2.8421709430404007E-13</v>
      </c>
      <c r="BZ100" s="14">
        <f>BY100*VLOOKUP('Données projet'!$B$12,Paramètres!$A$1:$I$89,3,0)*VLOOKUP('Données projet'!$B$12,Paramètres!$A$1:$I$89,5,0)</f>
        <v>-2.2168933355715128E-13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250.84814055099969</v>
      </c>
      <c r="CE100" s="62">
        <f t="shared" si="94"/>
        <v>226.15029417484465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4.7</v>
      </c>
      <c r="CT100" s="13">
        <f>IF('Données projet'!$A$140&gt;35,CT99+CS100-DB99,IF(A100&lt;'Données projet'!$A$140,$CQ$205^A100,IF(A100='Données projet'!$A$140,'Données projet'!$B$140,CT99+CS100-DB99)))</f>
        <v>267.39999999999964</v>
      </c>
      <c r="CU100" s="18">
        <f>CT100*VLOOKUP('Données projet'!$B$13,Paramètres!$A$1:$I$89,3,0)*VLOOKUP('Données projet'!$B$13,Paramètres!$A$1:$I$89,5,0)</f>
        <v>271.14359999999965</v>
      </c>
      <c r="CV100" s="14">
        <f t="shared" si="95"/>
        <v>65.091910336447413</v>
      </c>
      <c r="CW100" s="22">
        <f t="shared" si="67"/>
        <v>585.61018050264533</v>
      </c>
      <c r="CX100" s="62">
        <f t="shared" si="68"/>
        <v>878.94351383597859</v>
      </c>
      <c r="CY100" s="62">
        <f ca="1">AVERAGE(OFFSET($CX$3,0,0,'Données projet'!$E$13+1,1))-AVERAGE(OFFSET($H$3,0,0,'Données projet'!$E$13+1,1))</f>
        <v>385.00782828233201</v>
      </c>
      <c r="CZ100" s="62">
        <f t="shared" si="96"/>
        <v>216.22708298332475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376.88365791501889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327.17622590628559</v>
      </c>
      <c r="T101" s="62">
        <f t="shared" si="88"/>
        <v>379.61248288852113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3.5469852302266864E-9</v>
      </c>
      <c r="AC101" s="24">
        <f t="shared" si="57"/>
        <v>3.5469852302266864E-9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3.4</v>
      </c>
      <c r="AI101" s="14">
        <f>IF('Données projet'!$A$62&gt;35,AI100+AH101-AQ100,IF(A101&lt;'Données projet'!$A$62,$AF$205^A101,IF(A101='Données projet'!$A$62,'Données projet'!$B$62,AI100+AH101-AQ100)))</f>
        <v>208.20000000000002</v>
      </c>
      <c r="AJ101" s="14">
        <f>AI101*VLOOKUP('Données projet'!$B$10,Paramètres!$A$1:$I$89,3,0)*VLOOKUP('Données projet'!$B$10,Paramètres!$A$1:$I$89,5,0)</f>
        <v>217.61064000000005</v>
      </c>
      <c r="AK101" s="14">
        <f t="shared" si="89"/>
        <v>53.595240539151249</v>
      </c>
      <c r="AL101" s="22">
        <f t="shared" si="58"/>
        <v>472.35024193902177</v>
      </c>
      <c r="AM101" s="62">
        <f t="shared" si="59"/>
        <v>765.68357527235503</v>
      </c>
      <c r="AN101" s="62">
        <f ca="1">AVERAGE(OFFSET($AM$3,0,0,'Données projet'!$E$10+1,1))-AVERAGE(OFFSET($H$3,0,0,'Données projet'!$E$10+1,1))</f>
        <v>276.87402314479681</v>
      </c>
      <c r="AO101" s="62">
        <f t="shared" si="90"/>
        <v>125.27302863901997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9.2222762759774927E-14</v>
      </c>
      <c r="BF101" s="14">
        <f t="shared" si="91"/>
        <v>1.3985662224947967E-12</v>
      </c>
      <c r="BG101" s="22">
        <f t="shared" si="61"/>
        <v>2.5964574826517121E-12</v>
      </c>
      <c r="BH101" s="62">
        <f t="shared" si="62"/>
        <v>293.33333333333593</v>
      </c>
      <c r="BI101" s="62">
        <f ca="1">AVERAGE(OFFSET($BH$3,0,0,'Données projet'!$E$11+1,1))-AVERAGE(OFFSET($H$3,0,0,'Données projet'!$E$11+1,1))</f>
        <v>236.29093866505224</v>
      </c>
      <c r="BJ101" s="62">
        <f t="shared" si="92"/>
        <v>258.22911730540892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-2.8421709430404007E-13</v>
      </c>
      <c r="BZ101" s="14">
        <f>BY101*VLOOKUP('Données projet'!$B$12,Paramètres!$A$1:$I$89,3,0)*VLOOKUP('Données projet'!$B$12,Paramètres!$A$1:$I$89,5,0)</f>
        <v>-2.2168933355715128E-13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250.84814055099969</v>
      </c>
      <c r="CE101" s="62">
        <f t="shared" si="94"/>
        <v>226.15029417484465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4.7</v>
      </c>
      <c r="CT101" s="13">
        <f>IF('Données projet'!$A$140&gt;35,CT100+CS101-DB100,IF(A101&lt;'Données projet'!$A$140,$CQ$205^A101,IF(A101='Données projet'!$A$140,'Données projet'!$B$140,CT100+CS101-DB100)))</f>
        <v>272.09999999999962</v>
      </c>
      <c r="CU101" s="18">
        <f>CT101*VLOOKUP('Données projet'!$B$13,Paramètres!$A$1:$I$89,3,0)*VLOOKUP('Données projet'!$B$13,Paramètres!$A$1:$I$89,5,0)</f>
        <v>275.90939999999961</v>
      </c>
      <c r="CV101" s="14">
        <f t="shared" si="95"/>
        <v>66.101808465810961</v>
      </c>
      <c r="CW101" s="22">
        <f t="shared" si="67"/>
        <v>595.66952141128684</v>
      </c>
      <c r="CX101" s="62">
        <f t="shared" si="68"/>
        <v>889.00285474462021</v>
      </c>
      <c r="CY101" s="62">
        <f ca="1">AVERAGE(OFFSET($CX$3,0,0,'Données projet'!$E$13+1,1))-AVERAGE(OFFSET($H$3,0,0,'Données projet'!$E$13+1,1))</f>
        <v>385.00782828233201</v>
      </c>
      <c r="CZ101" s="62">
        <f t="shared" si="96"/>
        <v>216.22708298332475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378.07811998720388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327.17622590628559</v>
      </c>
      <c r="T102" s="62">
        <f t="shared" si="88"/>
        <v>379.61248288852113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2.5080973090618174E-9</v>
      </c>
      <c r="AC102" s="24">
        <f t="shared" si="57"/>
        <v>2.5080973090618174E-9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3.4</v>
      </c>
      <c r="AI102" s="14">
        <f>IF('Données projet'!$A$62&gt;35,AI101+AH102-AQ101,IF(A102&lt;'Données projet'!$A$62,$AF$205^A102,IF(A102='Données projet'!$A$62,'Données projet'!$B$62,AI101+AH102-AQ101)))</f>
        <v>211.60000000000002</v>
      </c>
      <c r="AJ102" s="14">
        <f>AI102*VLOOKUP('Données projet'!$B$10,Paramètres!$A$1:$I$89,3,0)*VLOOKUP('Données projet'!$B$10,Paramètres!$A$1:$I$89,5,0)</f>
        <v>221.16432000000003</v>
      </c>
      <c r="AK102" s="14">
        <f t="shared" si="89"/>
        <v>54.367867126828884</v>
      </c>
      <c r="AL102" s="22">
        <f t="shared" si="58"/>
        <v>479.88522591256037</v>
      </c>
      <c r="AM102" s="62">
        <f t="shared" si="59"/>
        <v>773.21855924589363</v>
      </c>
      <c r="AN102" s="62">
        <f ca="1">AVERAGE(OFFSET($AM$3,0,0,'Données projet'!$E$10+1,1))-AVERAGE(OFFSET($H$3,0,0,'Données projet'!$E$10+1,1))</f>
        <v>276.87402314479681</v>
      </c>
      <c r="AO102" s="62">
        <f t="shared" si="90"/>
        <v>125.27302863901997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9.2222762759774927E-14</v>
      </c>
      <c r="BF102" s="14">
        <f t="shared" si="91"/>
        <v>1.3985662224947967E-12</v>
      </c>
      <c r="BG102" s="22">
        <f t="shared" si="61"/>
        <v>2.5964574826517121E-12</v>
      </c>
      <c r="BH102" s="62">
        <f t="shared" si="62"/>
        <v>293.33333333333593</v>
      </c>
      <c r="BI102" s="62">
        <f ca="1">AVERAGE(OFFSET($BH$3,0,0,'Données projet'!$E$11+1,1))-AVERAGE(OFFSET($H$3,0,0,'Données projet'!$E$11+1,1))</f>
        <v>236.29093866505224</v>
      </c>
      <c r="BJ102" s="62">
        <f t="shared" si="92"/>
        <v>258.22911730540892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-2.8421709430404007E-13</v>
      </c>
      <c r="BZ102" s="14">
        <f>BY102*VLOOKUP('Données projet'!$B$12,Paramètres!$A$1:$I$89,3,0)*VLOOKUP('Données projet'!$B$12,Paramètres!$A$1:$I$89,5,0)</f>
        <v>-2.2168933355715128E-13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250.84814055099969</v>
      </c>
      <c r="CE102" s="62">
        <f t="shared" si="94"/>
        <v>226.15029417484465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4.7</v>
      </c>
      <c r="CT102" s="13">
        <f>IF('Données projet'!$A$140&gt;35,CT101+CS102-DB101,IF(A102&lt;'Données projet'!$A$140,$CQ$205^A102,IF(A102='Données projet'!$A$140,'Données projet'!$B$140,CT101+CS102-DB101)))</f>
        <v>276.79999999999961</v>
      </c>
      <c r="CU102" s="18">
        <f>CT102*VLOOKUP('Données projet'!$B$13,Paramètres!$A$1:$I$89,3,0)*VLOOKUP('Données projet'!$B$13,Paramètres!$A$1:$I$89,5,0)</f>
        <v>280.67519999999962</v>
      </c>
      <c r="CV102" s="14">
        <f t="shared" si="95"/>
        <v>67.109678043026435</v>
      </c>
      <c r="CW102" s="22">
        <f t="shared" si="67"/>
        <v>605.72532925827045</v>
      </c>
      <c r="CX102" s="62">
        <f t="shared" si="68"/>
        <v>899.05866259160371</v>
      </c>
      <c r="CY102" s="62">
        <f ca="1">AVERAGE(OFFSET($CX$3,0,0,'Données projet'!$E$13+1,1))-AVERAGE(OFFSET($H$3,0,0,'Données projet'!$E$13+1,1))</f>
        <v>385.00782828233201</v>
      </c>
      <c r="CZ102" s="62">
        <f t="shared" si="96"/>
        <v>216.22708298332475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379.27229591132925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327.17622590628559</v>
      </c>
      <c r="T103" s="62">
        <f t="shared" si="88"/>
        <v>379.61248288852113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1.7734926151133432E-9</v>
      </c>
      <c r="AC103" s="24">
        <f t="shared" si="57"/>
        <v>1.7734926151133432E-9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3.4</v>
      </c>
      <c r="AI103" s="14">
        <f>IF('Données projet'!$A$62&gt;35,AI102+AH103-AQ102,IF(A103&lt;'Données projet'!$A$62,$AF$205^A103,IF(A103='Données projet'!$A$62,'Données projet'!$B$62,AI102+AH103-AQ102)))</f>
        <v>215.00000000000003</v>
      </c>
      <c r="AJ103" s="14">
        <f>AI103*VLOOKUP('Données projet'!$B$10,Paramètres!$A$1:$I$89,3,0)*VLOOKUP('Données projet'!$B$10,Paramètres!$A$1:$I$89,5,0)</f>
        <v>224.71800000000007</v>
      </c>
      <c r="AK103" s="14">
        <f t="shared" si="89"/>
        <v>55.13904993933199</v>
      </c>
      <c r="AL103" s="22">
        <f t="shared" si="58"/>
        <v>487.41769531100323</v>
      </c>
      <c r="AM103" s="62">
        <f t="shared" si="59"/>
        <v>780.75102864433654</v>
      </c>
      <c r="AN103" s="62">
        <f ca="1">AVERAGE(OFFSET($AM$3,0,0,'Données projet'!$E$10+1,1))-AVERAGE(OFFSET($H$3,0,0,'Données projet'!$E$10+1,1))</f>
        <v>276.87402314479681</v>
      </c>
      <c r="AO103" s="62">
        <f t="shared" si="90"/>
        <v>125.27302863901997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9.2222762759774927E-14</v>
      </c>
      <c r="BF103" s="14">
        <f t="shared" si="91"/>
        <v>1.3985662224947967E-12</v>
      </c>
      <c r="BG103" s="22">
        <f t="shared" si="61"/>
        <v>2.5964574826517121E-12</v>
      </c>
      <c r="BH103" s="62">
        <f t="shared" si="62"/>
        <v>293.33333333333593</v>
      </c>
      <c r="BI103" s="62">
        <f ca="1">AVERAGE(OFFSET($BH$3,0,0,'Données projet'!$E$11+1,1))-AVERAGE(OFFSET($H$3,0,0,'Données projet'!$E$11+1,1))</f>
        <v>236.29093866505224</v>
      </c>
      <c r="BJ103" s="62">
        <f t="shared" si="92"/>
        <v>258.22911730540892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-2.8421709430404007E-13</v>
      </c>
      <c r="BZ103" s="14">
        <f>BY103*VLOOKUP('Données projet'!$B$12,Paramètres!$A$1:$I$89,3,0)*VLOOKUP('Données projet'!$B$12,Paramètres!$A$1:$I$89,5,0)</f>
        <v>-2.2168933355715128E-13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250.84814055099969</v>
      </c>
      <c r="CE103" s="62">
        <f t="shared" si="94"/>
        <v>226.15029417484465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4.7</v>
      </c>
      <c r="CT103" s="13">
        <f>IF('Données projet'!$A$140&gt;35,CT102+CS103-DB102,IF(A103&lt;'Données projet'!$A$140,$CQ$205^A103,IF(A103='Données projet'!$A$140,'Données projet'!$B$140,CT102+CS103-DB102)))</f>
        <v>281.4999999999996</v>
      </c>
      <c r="CU103" s="18">
        <f>CT103*VLOOKUP('Données projet'!$B$13,Paramètres!$A$1:$I$89,3,0)*VLOOKUP('Données projet'!$B$13,Paramètres!$A$1:$I$89,5,0)</f>
        <v>285.44099999999958</v>
      </c>
      <c r="CV103" s="14">
        <f t="shared" si="95"/>
        <v>68.115557487507047</v>
      </c>
      <c r="CW103" s="22">
        <f t="shared" si="67"/>
        <v>615.77767095740739</v>
      </c>
      <c r="CX103" s="62">
        <f t="shared" si="68"/>
        <v>909.11100429074077</v>
      </c>
      <c r="CY103" s="62">
        <f ca="1">AVERAGE(OFFSET($CX$3,0,0,'Données projet'!$E$13+1,1))-AVERAGE(OFFSET($H$3,0,0,'Données projet'!$E$13+1,1))</f>
        <v>385.00782828233201</v>
      </c>
      <c r="CZ103" s="62">
        <f t="shared" si="96"/>
        <v>216.22708298332475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380.46618888020032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327.17622590628559</v>
      </c>
      <c r="T104" s="62">
        <f t="shared" si="88"/>
        <v>379.61248288852113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1.2540486545309087E-9</v>
      </c>
      <c r="AC104" s="24">
        <f t="shared" si="57"/>
        <v>1.2540486545309087E-9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218.40000000000003</v>
      </c>
      <c r="AJ104" s="14">
        <f>AI104*VLOOKUP('Données projet'!$B$10,Paramètres!$A$1:$I$89,3,0)*VLOOKUP('Données projet'!$B$10,Paramètres!$A$1:$I$89,5,0)</f>
        <v>228.27168000000006</v>
      </c>
      <c r="AK104" s="14">
        <f t="shared" si="89"/>
        <v>55.908814444767799</v>
      </c>
      <c r="AL104" s="22">
        <f t="shared" si="58"/>
        <v>494.94769449130405</v>
      </c>
      <c r="AM104" s="62">
        <f t="shared" si="59"/>
        <v>788.28102782463736</v>
      </c>
      <c r="AN104" s="62">
        <f ca="1">AVERAGE(OFFSET($AM$3,0,0,'Données projet'!$E$10+1,1))-AVERAGE(OFFSET($H$3,0,0,'Données projet'!$E$10+1,1))</f>
        <v>276.87402314479681</v>
      </c>
      <c r="AO104" s="62">
        <f t="shared" si="90"/>
        <v>125.27302863901997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9.2222762759774927E-14</v>
      </c>
      <c r="BF104" s="14">
        <f t="shared" si="91"/>
        <v>1.3985662224947967E-12</v>
      </c>
      <c r="BG104" s="22">
        <f t="shared" si="61"/>
        <v>2.5964574826517121E-12</v>
      </c>
      <c r="BH104" s="62">
        <f t="shared" si="62"/>
        <v>293.33333333333593</v>
      </c>
      <c r="BI104" s="62">
        <f ca="1">AVERAGE(OFFSET($BH$3,0,0,'Données projet'!$E$11+1,1))-AVERAGE(OFFSET($H$3,0,0,'Données projet'!$E$11+1,1))</f>
        <v>236.29093866505224</v>
      </c>
      <c r="BJ104" s="62">
        <f t="shared" si="92"/>
        <v>258.22911730540892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-2.8421709430404007E-13</v>
      </c>
      <c r="BZ104" s="14">
        <f>BY104*VLOOKUP('Données projet'!$B$12,Paramètres!$A$1:$I$89,3,0)*VLOOKUP('Données projet'!$B$12,Paramètres!$A$1:$I$89,5,0)</f>
        <v>-2.2168933355715128E-13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250.84814055099969</v>
      </c>
      <c r="CE104" s="62">
        <f t="shared" si="94"/>
        <v>226.15029417484465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4.7</v>
      </c>
      <c r="CT104" s="13">
        <f>IF('Données projet'!$A$140&gt;35,CT103+CS104-DB103,IF(A104&lt;'Données projet'!$A$140,$CQ$205^A104,IF(A104='Données projet'!$A$140,'Données projet'!$B$140,CT103+CS104-DB103)))</f>
        <v>286.19999999999959</v>
      </c>
      <c r="CU104" s="18">
        <f>CT104*VLOOKUP('Données projet'!$B$13,Paramètres!$A$1:$I$89,3,0)*VLOOKUP('Données projet'!$B$13,Paramètres!$A$1:$I$89,5,0)</f>
        <v>290.20679999999959</v>
      </c>
      <c r="CV104" s="14">
        <f t="shared" si="95"/>
        <v>69.119483862208341</v>
      </c>
      <c r="CW104" s="22">
        <f t="shared" si="67"/>
        <v>625.82661106001206</v>
      </c>
      <c r="CX104" s="62">
        <f t="shared" si="68"/>
        <v>919.15994439334531</v>
      </c>
      <c r="CY104" s="62">
        <f ca="1">AVERAGE(OFFSET($CX$3,0,0,'Données projet'!$E$13+1,1))-AVERAGE(OFFSET($H$3,0,0,'Données projet'!$E$13+1,1))</f>
        <v>385.00782828233201</v>
      </c>
      <c r="CZ104" s="62">
        <f t="shared" si="96"/>
        <v>216.22708298332475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381.6598020197543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327.17622590628559</v>
      </c>
      <c r="T105" s="62">
        <f t="shared" si="88"/>
        <v>379.61248288852113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8.867463075566716E-10</v>
      </c>
      <c r="AC105" s="24">
        <f t="shared" si="57"/>
        <v>8.867463075566716E-10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221.80000000000004</v>
      </c>
      <c r="AJ105" s="14">
        <f>AI105*VLOOKUP('Données projet'!$B$10,Paramètres!$A$1:$I$89,3,0)*VLOOKUP('Données projet'!$B$10,Paramètres!$A$1:$I$89,5,0)</f>
        <v>231.82536000000005</v>
      </c>
      <c r="AK105" s="14">
        <f t="shared" si="89"/>
        <v>56.677185272788428</v>
      </c>
      <c r="AL105" s="22">
        <f t="shared" si="58"/>
        <v>502.47526635010666</v>
      </c>
      <c r="AM105" s="62">
        <f t="shared" si="59"/>
        <v>795.80859968343998</v>
      </c>
      <c r="AN105" s="62">
        <f ca="1">AVERAGE(OFFSET($AM$3,0,0,'Données projet'!$E$10+1,1))-AVERAGE(OFFSET($H$3,0,0,'Données projet'!$E$10+1,1))</f>
        <v>276.87402314479681</v>
      </c>
      <c r="AO105" s="62">
        <f t="shared" si="90"/>
        <v>125.27302863901997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9.2222762759774927E-14</v>
      </c>
      <c r="BF105" s="14">
        <f t="shared" si="91"/>
        <v>1.3985662224947967E-12</v>
      </c>
      <c r="BG105" s="22">
        <f t="shared" si="61"/>
        <v>2.5964574826517121E-12</v>
      </c>
      <c r="BH105" s="62">
        <f t="shared" si="62"/>
        <v>293.33333333333593</v>
      </c>
      <c r="BI105" s="62">
        <f ca="1">AVERAGE(OFFSET($BH$3,0,0,'Données projet'!$E$11+1,1))-AVERAGE(OFFSET($H$3,0,0,'Données projet'!$E$11+1,1))</f>
        <v>236.29093866505224</v>
      </c>
      <c r="BJ105" s="62">
        <f t="shared" si="92"/>
        <v>258.22911730540892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-2.8421709430404007E-13</v>
      </c>
      <c r="BZ105" s="14">
        <f>BY105*VLOOKUP('Données projet'!$B$12,Paramètres!$A$1:$I$89,3,0)*VLOOKUP('Données projet'!$B$12,Paramètres!$A$1:$I$89,5,0)</f>
        <v>-2.2168933355715128E-13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250.84814055099969</v>
      </c>
      <c r="CE105" s="62">
        <f t="shared" si="94"/>
        <v>226.15029417484465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4.7</v>
      </c>
      <c r="CT105" s="13">
        <f>IF('Données projet'!$A$140&gt;35,CT104+CS105-DB104,IF(A105&lt;'Données projet'!$A$140,$CQ$205^A105,IF(A105='Données projet'!$A$140,'Données projet'!$B$140,CT104+CS105-DB104)))</f>
        <v>290.89999999999958</v>
      </c>
      <c r="CU105" s="18">
        <f>CT105*VLOOKUP('Données projet'!$B$13,Paramètres!$A$1:$I$89,3,0)*VLOOKUP('Données projet'!$B$13,Paramètres!$A$1:$I$89,5,0)</f>
        <v>294.9725999999996</v>
      </c>
      <c r="CV105" s="14">
        <f t="shared" si="95"/>
        <v>70.121492942994351</v>
      </c>
      <c r="CW105" s="22">
        <f t="shared" si="67"/>
        <v>635.87221187571447</v>
      </c>
      <c r="CX105" s="62">
        <f t="shared" si="68"/>
        <v>929.20554520904784</v>
      </c>
      <c r="CY105" s="62">
        <f ca="1">AVERAGE(OFFSET($CX$3,0,0,'Données projet'!$E$13+1,1))-AVERAGE(OFFSET($H$3,0,0,'Données projet'!$E$13+1,1))</f>
        <v>385.00782828233201</v>
      </c>
      <c r="CZ105" s="62">
        <f t="shared" si="96"/>
        <v>216.22708298332475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382.85313839110199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327.17622590628559</v>
      </c>
      <c r="T106" s="62">
        <f t="shared" si="88"/>
        <v>379.61248288852113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6.2702432726545435E-10</v>
      </c>
      <c r="AC106" s="24">
        <f t="shared" si="57"/>
        <v>6.2702432726545435E-10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225.20000000000005</v>
      </c>
      <c r="AJ106" s="14">
        <f>AI106*VLOOKUP('Données projet'!$B$10,Paramètres!$A$1:$I$89,3,0)*VLOOKUP('Données projet'!$B$10,Paramètres!$A$1:$I$89,5,0)</f>
        <v>235.37904000000009</v>
      </c>
      <c r="AK106" s="14">
        <f t="shared" si="89"/>
        <v>57.444186254616433</v>
      </c>
      <c r="AL106" s="22">
        <f t="shared" si="58"/>
        <v>510.00045239345712</v>
      </c>
      <c r="AM106" s="62">
        <f t="shared" si="59"/>
        <v>803.33378572679044</v>
      </c>
      <c r="AN106" s="62">
        <f ca="1">AVERAGE(OFFSET($AM$3,0,0,'Données projet'!$E$10+1,1))-AVERAGE(OFFSET($H$3,0,0,'Données projet'!$E$10+1,1))</f>
        <v>276.87402314479681</v>
      </c>
      <c r="AO106" s="62">
        <f t="shared" si="90"/>
        <v>125.27302863901997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9.2222762759774927E-14</v>
      </c>
      <c r="BF106" s="14">
        <f t="shared" si="91"/>
        <v>1.3985662224947967E-12</v>
      </c>
      <c r="BG106" s="22">
        <f t="shared" si="61"/>
        <v>2.5964574826517121E-12</v>
      </c>
      <c r="BH106" s="62">
        <f t="shared" si="62"/>
        <v>293.33333333333593</v>
      </c>
      <c r="BI106" s="62">
        <f ca="1">AVERAGE(OFFSET($BH$3,0,0,'Données projet'!$E$11+1,1))-AVERAGE(OFFSET($H$3,0,0,'Données projet'!$E$11+1,1))</f>
        <v>236.29093866505224</v>
      </c>
      <c r="BJ106" s="62">
        <f t="shared" si="92"/>
        <v>258.22911730540892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-2.8421709430404007E-13</v>
      </c>
      <c r="BZ106" s="14">
        <f>BY106*VLOOKUP('Données projet'!$B$12,Paramètres!$A$1:$I$89,3,0)*VLOOKUP('Données projet'!$B$12,Paramètres!$A$1:$I$89,5,0)</f>
        <v>-2.2168933355715128E-13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250.84814055099969</v>
      </c>
      <c r="CE106" s="62">
        <f t="shared" si="94"/>
        <v>226.15029417484465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4.7</v>
      </c>
      <c r="CT106" s="13">
        <f>IF('Données projet'!$A$140&gt;35,CT105+CS106-DB105,IF(A106&lt;'Données projet'!$A$140,$CQ$205^A106,IF(A106='Données projet'!$A$140,'Données projet'!$B$140,CT105+CS106-DB105)))</f>
        <v>295.59999999999957</v>
      </c>
      <c r="CU106" s="18">
        <f>CT106*VLOOKUP('Données projet'!$B$13,Paramètres!$A$1:$I$89,3,0)*VLOOKUP('Données projet'!$B$13,Paramètres!$A$1:$I$89,5,0)</f>
        <v>299.73839999999961</v>
      </c>
      <c r="CV106" s="14">
        <f t="shared" si="95"/>
        <v>71.121619283394352</v>
      </c>
      <c r="CW106" s="22">
        <f t="shared" si="67"/>
        <v>645.91453358524438</v>
      </c>
      <c r="CX106" s="62">
        <f t="shared" si="68"/>
        <v>939.24786691857776</v>
      </c>
      <c r="CY106" s="62">
        <f ca="1">AVERAGE(OFFSET($CX$3,0,0,'Données projet'!$E$13+1,1))-AVERAGE(OFFSET($H$3,0,0,'Données projet'!$E$13+1,1))</f>
        <v>385.00782828233201</v>
      </c>
      <c r="CZ106" s="62">
        <f t="shared" si="96"/>
        <v>216.22708298332475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384.04620099248854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327.17622590628559</v>
      </c>
      <c r="T107" s="62">
        <f t="shared" si="88"/>
        <v>379.61248288852113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4.433731537783358E-10</v>
      </c>
      <c r="AC107" s="24">
        <f t="shared" si="57"/>
        <v>4.433731537783358E-10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228.60000000000005</v>
      </c>
      <c r="AJ107" s="14">
        <f>AI107*VLOOKUP('Données projet'!$B$10,Paramètres!$A$1:$I$89,3,0)*VLOOKUP('Données projet'!$B$10,Paramètres!$A$1:$I$89,5,0)</f>
        <v>238.93272000000007</v>
      </c>
      <c r="AK107" s="14">
        <f t="shared" si="89"/>
        <v>58.209840460583308</v>
      </c>
      <c r="AL107" s="22">
        <f t="shared" si="58"/>
        <v>517.52329280218271</v>
      </c>
      <c r="AM107" s="62">
        <f t="shared" si="59"/>
        <v>810.85662613551608</v>
      </c>
      <c r="AN107" s="62">
        <f ca="1">AVERAGE(OFFSET($AM$3,0,0,'Données projet'!$E$10+1,1))-AVERAGE(OFFSET($H$3,0,0,'Données projet'!$E$10+1,1))</f>
        <v>276.87402314479681</v>
      </c>
      <c r="AO107" s="62">
        <f t="shared" si="90"/>
        <v>125.27302863901997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9.2222762759774927E-14</v>
      </c>
      <c r="BF107" s="14">
        <f t="shared" si="91"/>
        <v>1.3985662224947967E-12</v>
      </c>
      <c r="BG107" s="22">
        <f t="shared" si="61"/>
        <v>2.5964574826517121E-12</v>
      </c>
      <c r="BH107" s="62">
        <f t="shared" si="62"/>
        <v>293.33333333333593</v>
      </c>
      <c r="BI107" s="62">
        <f ca="1">AVERAGE(OFFSET($BH$3,0,0,'Données projet'!$E$11+1,1))-AVERAGE(OFFSET($H$3,0,0,'Données projet'!$E$11+1,1))</f>
        <v>236.29093866505224</v>
      </c>
      <c r="BJ107" s="62">
        <f t="shared" si="92"/>
        <v>258.22911730540892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-2.8421709430404007E-13</v>
      </c>
      <c r="BZ107" s="14">
        <f>BY107*VLOOKUP('Données projet'!$B$12,Paramètres!$A$1:$I$89,3,0)*VLOOKUP('Données projet'!$B$12,Paramètres!$A$1:$I$89,5,0)</f>
        <v>-2.2168933355715128E-13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250.84814055099969</v>
      </c>
      <c r="CE107" s="62">
        <f t="shared" si="94"/>
        <v>226.15029417484465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4.7</v>
      </c>
      <c r="CT107" s="13">
        <f>IF('Données projet'!$A$140&gt;35,CT106+CS107-DB106,IF(A107&lt;'Données projet'!$A$140,$CQ$205^A107,IF(A107='Données projet'!$A$140,'Données projet'!$B$140,CT106+CS107-DB106)))</f>
        <v>300.29999999999956</v>
      </c>
      <c r="CU107" s="18">
        <f>CT107*VLOOKUP('Données projet'!$B$13,Paramètres!$A$1:$I$89,3,0)*VLOOKUP('Données projet'!$B$13,Paramètres!$A$1:$I$89,5,0)</f>
        <v>304.50419999999957</v>
      </c>
      <c r="CV107" s="14">
        <f t="shared" si="95"/>
        <v>72.11989627512429</v>
      </c>
      <c r="CW107" s="22">
        <f t="shared" si="67"/>
        <v>655.95363434584067</v>
      </c>
      <c r="CX107" s="62">
        <f t="shared" si="68"/>
        <v>949.28696767917404</v>
      </c>
      <c r="CY107" s="62">
        <f ca="1">AVERAGE(OFFSET($CX$3,0,0,'Données projet'!$E$13+1,1))-AVERAGE(OFFSET($H$3,0,0,'Données projet'!$E$13+1,1))</f>
        <v>385.00782828233201</v>
      </c>
      <c r="CZ107" s="62">
        <f t="shared" si="96"/>
        <v>216.22708298332475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385.23899276117606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327.17622590628559</v>
      </c>
      <c r="T108" s="62">
        <f t="shared" si="88"/>
        <v>379.61248288852113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3.1351216363272717E-10</v>
      </c>
      <c r="AC108" s="24">
        <f t="shared" si="57"/>
        <v>3.1351216363272717E-10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232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232.00000000000006</v>
      </c>
      <c r="AJ108" s="14">
        <f>AI108*VLOOKUP('Données projet'!$B$10,Paramètres!$A$1:$I$89,3,0)*VLOOKUP('Données projet'!$B$10,Paramètres!$A$1:$I$89,5,0)</f>
        <v>242.48640000000009</v>
      </c>
      <c r="AK108" s="14">
        <f t="shared" si="89"/>
        <v>58.974170235372476</v>
      </c>
      <c r="AL108" s="22">
        <f t="shared" si="58"/>
        <v>525.04382649327385</v>
      </c>
      <c r="AM108" s="62">
        <f t="shared" si="59"/>
        <v>818.37715982660711</v>
      </c>
      <c r="AN108" s="62">
        <f ca="1">AVERAGE(OFFSET($AM$3,0,0,'Données projet'!$E$10+1,1))-AVERAGE(OFFSET($H$3,0,0,'Données projet'!$E$10+1,1))</f>
        <v>276.87402314479681</v>
      </c>
      <c r="AO108" s="62">
        <f t="shared" si="90"/>
        <v>125.27302863901997</v>
      </c>
      <c r="AP108" s="16">
        <f>IF(ISNA(VLOOKUP(A108,'Données projet'!$A$61:$I$81,3,0)),0,VLOOKUP(A108,'Données projet'!$A$61:$I$81,3,0))</f>
        <v>8</v>
      </c>
      <c r="AQ108" s="16">
        <f>IF(ISNA(VLOOKUP(A108,'Données projet'!$A$61:$I$81,4,0)),0,VLOOKUP(A108,'Données projet'!$A$61:$I$81,4,0))</f>
        <v>28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9.2222762759774927E-14</v>
      </c>
      <c r="BF108" s="14">
        <f t="shared" si="91"/>
        <v>1.3985662224947967E-12</v>
      </c>
      <c r="BG108" s="22">
        <f t="shared" si="61"/>
        <v>2.5964574826517121E-12</v>
      </c>
      <c r="BH108" s="62">
        <f t="shared" si="62"/>
        <v>293.33333333333593</v>
      </c>
      <c r="BI108" s="62">
        <f ca="1">AVERAGE(OFFSET($BH$3,0,0,'Données projet'!$E$11+1,1))-AVERAGE(OFFSET($H$3,0,0,'Données projet'!$E$11+1,1))</f>
        <v>236.29093866505224</v>
      </c>
      <c r="BJ108" s="62">
        <f t="shared" si="92"/>
        <v>258.22911730540892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-2.8421709430404007E-13</v>
      </c>
      <c r="BZ108" s="14">
        <f>BY108*VLOOKUP('Données projet'!$B$12,Paramètres!$A$1:$I$89,3,0)*VLOOKUP('Données projet'!$B$12,Paramètres!$A$1:$I$89,5,0)</f>
        <v>-2.2168933355715128E-13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250.84814055099969</v>
      </c>
      <c r="CE108" s="62">
        <f t="shared" si="94"/>
        <v>226.15029417484465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305</v>
      </c>
      <c r="CR108" s="13">
        <f>VLOOKUP(A108,'Données projet'!$A$139:$I$159,9,0)</f>
        <v>4.7</v>
      </c>
      <c r="CS108" s="13">
        <f t="array" ref="CS108">INDEX(CR:CR,MIN(IF(ISNUMBER(CR108:CR304),ROW(CR108:CR304),"")))</f>
        <v>4.7</v>
      </c>
      <c r="CT108" s="13">
        <f>IF('Données projet'!$A$140&gt;35,CT107+CS108-DB107,IF(A108&lt;'Données projet'!$A$140,$CQ$205^A108,IF(A108='Données projet'!$A$140,'Données projet'!$B$140,CT107+CS108-DB107)))</f>
        <v>304.99999999999955</v>
      </c>
      <c r="CU108" s="18">
        <f>CT108*VLOOKUP('Données projet'!$B$13,Paramètres!$A$1:$I$89,3,0)*VLOOKUP('Données projet'!$B$13,Paramètres!$A$1:$I$89,5,0)</f>
        <v>309.26999999999958</v>
      </c>
      <c r="CV108" s="14">
        <f t="shared" si="95"/>
        <v>73.116356204710968</v>
      </c>
      <c r="CW108" s="22">
        <f t="shared" si="67"/>
        <v>665.98957038987078</v>
      </c>
      <c r="CX108" s="62">
        <f t="shared" si="68"/>
        <v>959.32290372320404</v>
      </c>
      <c r="CY108" s="62">
        <f ca="1">AVERAGE(OFFSET($CX$3,0,0,'Données projet'!$E$13+1,1))-AVERAGE(OFFSET($H$3,0,0,'Données projet'!$E$13+1,1))</f>
        <v>385.00782828233201</v>
      </c>
      <c r="CZ108" s="62">
        <f t="shared" si="96"/>
        <v>216.22708298332475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41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386.43151657525294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327.17622590628559</v>
      </c>
      <c r="T109" s="62">
        <f t="shared" si="88"/>
        <v>379.61248288852113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2.216865768891679E-10</v>
      </c>
      <c r="AC109" s="24">
        <f t="shared" si="57"/>
        <v>2.216865768891679E-10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2.9</v>
      </c>
      <c r="AI109" s="14">
        <f>IF('Données projet'!$A$62&gt;35,AI108+AH109-AQ108,IF(A109&lt;'Données projet'!$A$62,$AF$205^A109,IF(A109='Données projet'!$A$62,'Données projet'!$B$62,AI108+AH109-AQ108)))</f>
        <v>206.90000000000006</v>
      </c>
      <c r="AJ109" s="14">
        <f>AI109*VLOOKUP('Données projet'!$B$10,Paramètres!$A$1:$I$89,3,0)*VLOOKUP('Données projet'!$B$10,Paramètres!$A$1:$I$89,5,0)</f>
        <v>216.25188000000009</v>
      </c>
      <c r="AK109" s="14">
        <f t="shared" si="89"/>
        <v>53.299437439378558</v>
      </c>
      <c r="AL109" s="22">
        <f t="shared" si="58"/>
        <v>469.46854454025112</v>
      </c>
      <c r="AM109" s="62">
        <f t="shared" si="59"/>
        <v>762.80187787358443</v>
      </c>
      <c r="AN109" s="62">
        <f ca="1">AVERAGE(OFFSET($AM$3,0,0,'Données projet'!$E$10+1,1))-AVERAGE(OFFSET($H$3,0,0,'Données projet'!$E$10+1,1))</f>
        <v>276.87402314479681</v>
      </c>
      <c r="AO109" s="62">
        <f t="shared" si="90"/>
        <v>125.27302863901997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9.2222762759774927E-14</v>
      </c>
      <c r="BF109" s="14">
        <f t="shared" si="91"/>
        <v>1.3985662224947967E-12</v>
      </c>
      <c r="BG109" s="22">
        <f t="shared" si="61"/>
        <v>2.5964574826517121E-12</v>
      </c>
      <c r="BH109" s="62">
        <f t="shared" si="62"/>
        <v>293.33333333333593</v>
      </c>
      <c r="BI109" s="62">
        <f ca="1">AVERAGE(OFFSET($BH$3,0,0,'Données projet'!$E$11+1,1))-AVERAGE(OFFSET($H$3,0,0,'Données projet'!$E$11+1,1))</f>
        <v>236.29093866505224</v>
      </c>
      <c r="BJ109" s="62">
        <f t="shared" si="92"/>
        <v>258.22911730540892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-2.8421709430404007E-13</v>
      </c>
      <c r="BZ109" s="14">
        <f>BY109*VLOOKUP('Données projet'!$B$12,Paramètres!$A$1:$I$89,3,0)*VLOOKUP('Données projet'!$B$12,Paramètres!$A$1:$I$89,5,0)</f>
        <v>-2.2168933355715128E-13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250.84814055099969</v>
      </c>
      <c r="CE109" s="62">
        <f t="shared" si="94"/>
        <v>226.15029417484465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</v>
      </c>
      <c r="CT109" s="13">
        <f>IF('Données projet'!$A$140&gt;35,CT108+CS109-DB108,IF(A109&lt;'Données projet'!$A$140,$CQ$205^A109,IF(A109='Données projet'!$A$140,'Données projet'!$B$140,CT108+CS109-DB108)))</f>
        <v>267.99999999999955</v>
      </c>
      <c r="CU109" s="18">
        <f>CT109*VLOOKUP('Données projet'!$B$13,Paramètres!$A$1:$I$89,3,0)*VLOOKUP('Données projet'!$B$13,Paramètres!$A$1:$I$89,5,0)</f>
        <v>271.75199999999955</v>
      </c>
      <c r="CV109" s="14">
        <f t="shared" si="95"/>
        <v>65.22094782472486</v>
      </c>
      <c r="CW109" s="22">
        <f t="shared" si="67"/>
        <v>586.89455079472839</v>
      </c>
      <c r="CX109" s="62">
        <f t="shared" si="68"/>
        <v>880.22788412806176</v>
      </c>
      <c r="CY109" s="62">
        <f ca="1">AVERAGE(OFFSET($CX$3,0,0,'Données projet'!$E$13+1,1))-AVERAGE(OFFSET($H$3,0,0,'Données projet'!$E$13+1,1))</f>
        <v>385.00782828233201</v>
      </c>
      <c r="CZ109" s="62">
        <f t="shared" si="96"/>
        <v>216.22708298332475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387.62377525537238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327.17622590628559</v>
      </c>
      <c r="T110" s="62">
        <f t="shared" si="88"/>
        <v>379.61248288852113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1.5675608181636359E-10</v>
      </c>
      <c r="AC110" s="24">
        <f t="shared" si="57"/>
        <v>1.5675608181636359E-10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2.9</v>
      </c>
      <c r="AI110" s="14">
        <f>IF('Données projet'!$A$62&gt;35,AI109+AH110-AQ109,IF(A110&lt;'Données projet'!$A$62,$AF$205^A110,IF(A110='Données projet'!$A$62,'Données projet'!$B$62,AI109+AH110-AQ109)))</f>
        <v>209.80000000000007</v>
      </c>
      <c r="AJ110" s="14">
        <f>AI110*VLOOKUP('Données projet'!$B$10,Paramètres!$A$1:$I$89,3,0)*VLOOKUP('Données projet'!$B$10,Paramètres!$A$1:$I$89,5,0)</f>
        <v>219.28296000000009</v>
      </c>
      <c r="AK110" s="14">
        <f t="shared" si="89"/>
        <v>53.959011021227695</v>
      </c>
      <c r="AL110" s="22">
        <f t="shared" si="58"/>
        <v>475.89643286197173</v>
      </c>
      <c r="AM110" s="62">
        <f t="shared" si="59"/>
        <v>769.22976619530505</v>
      </c>
      <c r="AN110" s="62">
        <f ca="1">AVERAGE(OFFSET($AM$3,0,0,'Données projet'!$E$10+1,1))-AVERAGE(OFFSET($H$3,0,0,'Données projet'!$E$10+1,1))</f>
        <v>276.87402314479681</v>
      </c>
      <c r="AO110" s="62">
        <f t="shared" si="90"/>
        <v>125.27302863901997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9.2222762759774927E-14</v>
      </c>
      <c r="BF110" s="14">
        <f t="shared" si="91"/>
        <v>1.3985662224947967E-12</v>
      </c>
      <c r="BG110" s="22">
        <f t="shared" si="61"/>
        <v>2.5964574826517121E-12</v>
      </c>
      <c r="BH110" s="62">
        <f t="shared" si="62"/>
        <v>293.33333333333593</v>
      </c>
      <c r="BI110" s="62">
        <f ca="1">AVERAGE(OFFSET($BH$3,0,0,'Données projet'!$E$11+1,1))-AVERAGE(OFFSET($H$3,0,0,'Données projet'!$E$11+1,1))</f>
        <v>236.29093866505224</v>
      </c>
      <c r="BJ110" s="62">
        <f t="shared" si="92"/>
        <v>258.22911730540892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-2.8421709430404007E-13</v>
      </c>
      <c r="BZ110" s="14">
        <f>BY110*VLOOKUP('Données projet'!$B$12,Paramètres!$A$1:$I$89,3,0)*VLOOKUP('Données projet'!$B$12,Paramètres!$A$1:$I$89,5,0)</f>
        <v>-2.2168933355715128E-13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250.84814055099969</v>
      </c>
      <c r="CE110" s="62">
        <f t="shared" si="94"/>
        <v>226.15029417484465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</v>
      </c>
      <c r="CT110" s="13">
        <f>IF('Données projet'!$A$140&gt;35,CT109+CS110-DB109,IF(A110&lt;'Données projet'!$A$140,$CQ$205^A110,IF(A110='Données projet'!$A$140,'Données projet'!$B$140,CT109+CS110-DB109)))</f>
        <v>271.99999999999955</v>
      </c>
      <c r="CU110" s="18">
        <f>CT110*VLOOKUP('Données projet'!$B$13,Paramètres!$A$1:$I$89,3,0)*VLOOKUP('Données projet'!$B$13,Paramètres!$A$1:$I$89,5,0)</f>
        <v>275.80799999999954</v>
      </c>
      <c r="CV110" s="14">
        <f t="shared" si="95"/>
        <v>66.080342531440536</v>
      </c>
      <c r="CW110" s="22">
        <f t="shared" si="67"/>
        <v>595.45552990892475</v>
      </c>
      <c r="CX110" s="62">
        <f t="shared" si="68"/>
        <v>888.788863242258</v>
      </c>
      <c r="CY110" s="62">
        <f ca="1">AVERAGE(OFFSET($CX$3,0,0,'Données projet'!$E$13+1,1))-AVERAGE(OFFSET($H$3,0,0,'Données projet'!$E$13+1,1))</f>
        <v>385.00782828233201</v>
      </c>
      <c r="CZ110" s="62">
        <f t="shared" si="96"/>
        <v>216.22708298332475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388.81577156642459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327.17622590628559</v>
      </c>
      <c r="T111" s="62">
        <f t="shared" si="88"/>
        <v>379.61248288852113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1.1084328844458395E-10</v>
      </c>
      <c r="AC111" s="24">
        <f t="shared" si="57"/>
        <v>1.1084328844458395E-10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2.9</v>
      </c>
      <c r="AI111" s="14">
        <f>IF('Données projet'!$A$62&gt;35,AI110+AH111-AQ110,IF(A111&lt;'Données projet'!$A$62,$AF$205^A111,IF(A111='Données projet'!$A$62,'Données projet'!$B$62,AI110+AH111-AQ110)))</f>
        <v>212.70000000000007</v>
      </c>
      <c r="AJ111" s="14">
        <f>AI111*VLOOKUP('Données projet'!$B$10,Paramètres!$A$1:$I$89,3,0)*VLOOKUP('Données projet'!$B$10,Paramètres!$A$1:$I$89,5,0)</f>
        <v>222.31404000000012</v>
      </c>
      <c r="AK111" s="14">
        <f t="shared" si="89"/>
        <v>54.617524192536123</v>
      </c>
      <c r="AL111" s="22">
        <f t="shared" si="58"/>
        <v>482.32247430200056</v>
      </c>
      <c r="AM111" s="62">
        <f t="shared" si="59"/>
        <v>775.65580763533387</v>
      </c>
      <c r="AN111" s="62">
        <f ca="1">AVERAGE(OFFSET($AM$3,0,0,'Données projet'!$E$10+1,1))-AVERAGE(OFFSET($H$3,0,0,'Données projet'!$E$10+1,1))</f>
        <v>276.87402314479681</v>
      </c>
      <c r="AO111" s="62">
        <f t="shared" si="90"/>
        <v>125.27302863901997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9.2222762759774927E-14</v>
      </c>
      <c r="BF111" s="14">
        <f t="shared" si="91"/>
        <v>1.3985662224947967E-12</v>
      </c>
      <c r="BG111" s="22">
        <f t="shared" si="61"/>
        <v>2.5964574826517121E-12</v>
      </c>
      <c r="BH111" s="62">
        <f t="shared" si="62"/>
        <v>293.33333333333593</v>
      </c>
      <c r="BI111" s="62">
        <f ca="1">AVERAGE(OFFSET($BH$3,0,0,'Données projet'!$E$11+1,1))-AVERAGE(OFFSET($H$3,0,0,'Données projet'!$E$11+1,1))</f>
        <v>236.29093866505224</v>
      </c>
      <c r="BJ111" s="62">
        <f t="shared" si="92"/>
        <v>258.22911730540892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-2.8421709430404007E-13</v>
      </c>
      <c r="BZ111" s="14">
        <f>BY111*VLOOKUP('Données projet'!$B$12,Paramètres!$A$1:$I$89,3,0)*VLOOKUP('Données projet'!$B$12,Paramètres!$A$1:$I$89,5,0)</f>
        <v>-2.2168933355715128E-13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250.84814055099969</v>
      </c>
      <c r="CE111" s="62">
        <f t="shared" si="94"/>
        <v>226.15029417484465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</v>
      </c>
      <c r="CT111" s="13">
        <f>IF('Données projet'!$A$140&gt;35,CT110+CS111-DB110,IF(A111&lt;'Données projet'!$A$140,$CQ$205^A111,IF(A111='Données projet'!$A$140,'Données projet'!$B$140,CT110+CS111-DB110)))</f>
        <v>275.99999999999955</v>
      </c>
      <c r="CU111" s="18">
        <f>CT111*VLOOKUP('Données projet'!$B$13,Paramètres!$A$1:$I$89,3,0)*VLOOKUP('Données projet'!$B$13,Paramètres!$A$1:$I$89,5,0)</f>
        <v>279.86399999999958</v>
      </c>
      <c r="CV111" s="14">
        <f t="shared" si="95"/>
        <v>66.93826735896495</v>
      </c>
      <c r="CW111" s="22">
        <f t="shared" si="67"/>
        <v>604.01394898352987</v>
      </c>
      <c r="CX111" s="62">
        <f t="shared" si="68"/>
        <v>897.34728231686313</v>
      </c>
      <c r="CY111" s="62">
        <f ca="1">AVERAGE(OFFSET($CX$3,0,0,'Données projet'!$E$13+1,1))-AVERAGE(OFFSET($H$3,0,0,'Données projet'!$E$13+1,1))</f>
        <v>385.00782828233201</v>
      </c>
      <c r="CZ111" s="62">
        <f t="shared" si="96"/>
        <v>216.22708298332475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390.00750821914528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327.17622590628559</v>
      </c>
      <c r="T112" s="62">
        <f t="shared" si="88"/>
        <v>379.61248288852113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7.8378040908181794E-11</v>
      </c>
      <c r="AC112" s="24">
        <f t="shared" si="57"/>
        <v>7.8378040908181794E-11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2.9</v>
      </c>
      <c r="AI112" s="14">
        <f>IF('Données projet'!$A$62&gt;35,AI111+AH112-AQ111,IF(A112&lt;'Données projet'!$A$62,$AF$205^A112,IF(A112='Données projet'!$A$62,'Données projet'!$B$62,AI111+AH112-AQ111)))</f>
        <v>215.60000000000008</v>
      </c>
      <c r="AJ112" s="14">
        <f>AI112*VLOOKUP('Données projet'!$B$10,Paramètres!$A$1:$I$89,3,0)*VLOOKUP('Données projet'!$B$10,Paramètres!$A$1:$I$89,5,0)</f>
        <v>225.34512000000009</v>
      </c>
      <c r="AK112" s="14">
        <f t="shared" si="89"/>
        <v>55.274993082282784</v>
      </c>
      <c r="AL112" s="22">
        <f t="shared" si="58"/>
        <v>488.74669695164266</v>
      </c>
      <c r="AM112" s="62">
        <f t="shared" si="59"/>
        <v>782.08003028497592</v>
      </c>
      <c r="AN112" s="62">
        <f ca="1">AVERAGE(OFFSET($AM$3,0,0,'Données projet'!$E$10+1,1))-AVERAGE(OFFSET($H$3,0,0,'Données projet'!$E$10+1,1))</f>
        <v>276.87402314479681</v>
      </c>
      <c r="AO112" s="62">
        <f t="shared" si="90"/>
        <v>125.27302863901997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9.2222762759774927E-14</v>
      </c>
      <c r="BF112" s="14">
        <f t="shared" si="91"/>
        <v>1.3985662224947967E-12</v>
      </c>
      <c r="BG112" s="22">
        <f t="shared" si="61"/>
        <v>2.5964574826517121E-12</v>
      </c>
      <c r="BH112" s="62">
        <f t="shared" si="62"/>
        <v>293.33333333333593</v>
      </c>
      <c r="BI112" s="62">
        <f ca="1">AVERAGE(OFFSET($BH$3,0,0,'Données projet'!$E$11+1,1))-AVERAGE(OFFSET($H$3,0,0,'Données projet'!$E$11+1,1))</f>
        <v>236.29093866505224</v>
      </c>
      <c r="BJ112" s="62">
        <f t="shared" si="92"/>
        <v>258.22911730540892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-2.8421709430404007E-13</v>
      </c>
      <c r="BZ112" s="14">
        <f>BY112*VLOOKUP('Données projet'!$B$12,Paramètres!$A$1:$I$89,3,0)*VLOOKUP('Données projet'!$B$12,Paramètres!$A$1:$I$89,5,0)</f>
        <v>-2.2168933355715128E-13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250.84814055099969</v>
      </c>
      <c r="CE112" s="62">
        <f t="shared" si="94"/>
        <v>226.15029417484465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</v>
      </c>
      <c r="CT112" s="13">
        <f>IF('Données projet'!$A$140&gt;35,CT111+CS112-DB111,IF(A112&lt;'Données projet'!$A$140,$CQ$205^A112,IF(A112='Données projet'!$A$140,'Données projet'!$B$140,CT111+CS112-DB111)))</f>
        <v>279.99999999999955</v>
      </c>
      <c r="CU112" s="18">
        <f>CT112*VLOOKUP('Données projet'!$B$13,Paramètres!$A$1:$I$89,3,0)*VLOOKUP('Données projet'!$B$13,Paramètres!$A$1:$I$89,5,0)</f>
        <v>283.91999999999956</v>
      </c>
      <c r="CV112" s="14">
        <f t="shared" si="95"/>
        <v>67.794746071143507</v>
      </c>
      <c r="CW112" s="22">
        <f t="shared" si="67"/>
        <v>612.56984940724078</v>
      </c>
      <c r="CX112" s="62">
        <f t="shared" si="68"/>
        <v>905.90318274057404</v>
      </c>
      <c r="CY112" s="62">
        <f ca="1">AVERAGE(OFFSET($CX$3,0,0,'Données projet'!$E$13+1,1))-AVERAGE(OFFSET($H$3,0,0,'Données projet'!$E$13+1,1))</f>
        <v>385.00782828233201</v>
      </c>
      <c r="CZ112" s="62">
        <f t="shared" si="96"/>
        <v>216.22708298332475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391.19898787166267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327.17622590628559</v>
      </c>
      <c r="T113" s="62">
        <f t="shared" si="88"/>
        <v>379.61248288852113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5.5421644222291975E-11</v>
      </c>
      <c r="AC113" s="24">
        <f t="shared" si="57"/>
        <v>5.5421644222291975E-11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2.9</v>
      </c>
      <c r="AI113" s="14">
        <f>IF('Données projet'!$A$62&gt;35,AI112+AH113-AQ112,IF(A113&lt;'Données projet'!$A$62,$AF$205^A113,IF(A113='Données projet'!$A$62,'Données projet'!$B$62,AI112+AH113-AQ112)))</f>
        <v>218.50000000000009</v>
      </c>
      <c r="AJ113" s="14">
        <f>AI113*VLOOKUP('Données projet'!$B$10,Paramètres!$A$1:$I$89,3,0)*VLOOKUP('Données projet'!$B$10,Paramètres!$A$1:$I$89,5,0)</f>
        <v>228.37620000000013</v>
      </c>
      <c r="AK113" s="14">
        <f t="shared" si="89"/>
        <v>55.931433360615614</v>
      </c>
      <c r="AL113" s="22">
        <f t="shared" si="58"/>
        <v>495.16912810307241</v>
      </c>
      <c r="AM113" s="62">
        <f t="shared" si="59"/>
        <v>788.50246143640572</v>
      </c>
      <c r="AN113" s="62">
        <f ca="1">AVERAGE(OFFSET($AM$3,0,0,'Données projet'!$E$10+1,1))-AVERAGE(OFFSET($H$3,0,0,'Données projet'!$E$10+1,1))</f>
        <v>276.87402314479681</v>
      </c>
      <c r="AO113" s="62">
        <f t="shared" si="90"/>
        <v>125.27302863901997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9.2222762759774927E-14</v>
      </c>
      <c r="BF113" s="14">
        <f t="shared" si="91"/>
        <v>1.3985662224947967E-12</v>
      </c>
      <c r="BG113" s="22">
        <f t="shared" si="61"/>
        <v>2.5964574826517121E-12</v>
      </c>
      <c r="BH113" s="62">
        <f t="shared" si="62"/>
        <v>293.33333333333593</v>
      </c>
      <c r="BI113" s="62">
        <f ca="1">AVERAGE(OFFSET($BH$3,0,0,'Données projet'!$E$11+1,1))-AVERAGE(OFFSET($H$3,0,0,'Données projet'!$E$11+1,1))</f>
        <v>236.29093866505224</v>
      </c>
      <c r="BJ113" s="62">
        <f t="shared" si="92"/>
        <v>258.22911730540892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-2.8421709430404007E-13</v>
      </c>
      <c r="BZ113" s="14">
        <f>BY113*VLOOKUP('Données projet'!$B$12,Paramètres!$A$1:$I$89,3,0)*VLOOKUP('Données projet'!$B$12,Paramètres!$A$1:$I$89,5,0)</f>
        <v>-2.2168933355715128E-13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250.84814055099969</v>
      </c>
      <c r="CE113" s="62">
        <f t="shared" si="94"/>
        <v>226.15029417484465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</v>
      </c>
      <c r="CT113" s="13">
        <f>IF('Données projet'!$A$140&gt;35,CT112+CS113-DB112,IF(A113&lt;'Données projet'!$A$140,$CQ$205^A113,IF(A113='Données projet'!$A$140,'Données projet'!$B$140,CT112+CS113-DB112)))</f>
        <v>283.99999999999955</v>
      </c>
      <c r="CU113" s="18">
        <f>CT113*VLOOKUP('Données projet'!$B$13,Paramètres!$A$1:$I$89,3,0)*VLOOKUP('Données projet'!$B$13,Paramètres!$A$1:$I$89,5,0)</f>
        <v>287.97599999999954</v>
      </c>
      <c r="CV113" s="14">
        <f t="shared" si="95"/>
        <v>68.649801713863027</v>
      </c>
      <c r="CW113" s="22">
        <f t="shared" si="67"/>
        <v>621.12327131831069</v>
      </c>
      <c r="CX113" s="62">
        <f t="shared" si="68"/>
        <v>914.45660465164406</v>
      </c>
      <c r="CY113" s="62">
        <f ca="1">AVERAGE(OFFSET($CX$3,0,0,'Données projet'!$E$13+1,1))-AVERAGE(OFFSET($H$3,0,0,'Données projet'!$E$13+1,1))</f>
        <v>385.00782828233201</v>
      </c>
      <c r="CZ113" s="62">
        <f t="shared" si="96"/>
        <v>216.22708298332475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392.39021313098795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327.17622590628559</v>
      </c>
      <c r="T114" s="62">
        <f t="shared" si="88"/>
        <v>379.61248288852113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3.9189020454090897E-11</v>
      </c>
      <c r="AC114" s="24">
        <f t="shared" si="57"/>
        <v>3.9189020454090897E-11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2.9</v>
      </c>
      <c r="AI114" s="14">
        <f>IF('Données projet'!$A$62&gt;35,AI113+AH114-AQ113,IF(A114&lt;'Données projet'!$A$62,$AF$205^A114,IF(A114='Données projet'!$A$62,'Données projet'!$B$62,AI113+AH114-AQ113)))</f>
        <v>221.40000000000009</v>
      </c>
      <c r="AJ114" s="14">
        <f>AI114*VLOOKUP('Données projet'!$B$10,Paramètres!$A$1:$I$89,3,0)*VLOOKUP('Données projet'!$B$10,Paramètres!$A$1:$I$89,5,0)</f>
        <v>231.40728000000013</v>
      </c>
      <c r="AK114" s="14">
        <f t="shared" si="89"/>
        <v>56.586860257816703</v>
      </c>
      <c r="AL114" s="22">
        <f t="shared" si="58"/>
        <v>501.58979428236421</v>
      </c>
      <c r="AM114" s="62">
        <f t="shared" si="59"/>
        <v>794.92312761569747</v>
      </c>
      <c r="AN114" s="62">
        <f ca="1">AVERAGE(OFFSET($AM$3,0,0,'Données projet'!$E$10+1,1))-AVERAGE(OFFSET($H$3,0,0,'Données projet'!$E$10+1,1))</f>
        <v>276.87402314479681</v>
      </c>
      <c r="AO114" s="62">
        <f t="shared" si="90"/>
        <v>125.27302863901997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9.2222762759774927E-14</v>
      </c>
      <c r="BF114" s="14">
        <f t="shared" si="91"/>
        <v>1.3985662224947967E-12</v>
      </c>
      <c r="BG114" s="22">
        <f t="shared" si="61"/>
        <v>2.5964574826517121E-12</v>
      </c>
      <c r="BH114" s="62">
        <f t="shared" si="62"/>
        <v>293.33333333333593</v>
      </c>
      <c r="BI114" s="62">
        <f ca="1">AVERAGE(OFFSET($BH$3,0,0,'Données projet'!$E$11+1,1))-AVERAGE(OFFSET($H$3,0,0,'Données projet'!$E$11+1,1))</f>
        <v>236.29093866505224</v>
      </c>
      <c r="BJ114" s="62">
        <f t="shared" si="92"/>
        <v>258.22911730540892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-2.8421709430404007E-13</v>
      </c>
      <c r="BZ114" s="14">
        <f>BY114*VLOOKUP('Données projet'!$B$12,Paramètres!$A$1:$I$89,3,0)*VLOOKUP('Données projet'!$B$12,Paramètres!$A$1:$I$89,5,0)</f>
        <v>-2.2168933355715128E-13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250.84814055099969</v>
      </c>
      <c r="CE114" s="62">
        <f t="shared" si="94"/>
        <v>226.15029417484465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</v>
      </c>
      <c r="CT114" s="13">
        <f>IF('Données projet'!$A$140&gt;35,CT113+CS114-DB113,IF(A114&lt;'Données projet'!$A$140,$CQ$205^A114,IF(A114='Données projet'!$A$140,'Données projet'!$B$140,CT113+CS114-DB113)))</f>
        <v>287.99999999999955</v>
      </c>
      <c r="CU114" s="18">
        <f>CT114*VLOOKUP('Données projet'!$B$13,Paramètres!$A$1:$I$89,3,0)*VLOOKUP('Données projet'!$B$13,Paramètres!$A$1:$I$89,5,0)</f>
        <v>292.03199999999953</v>
      </c>
      <c r="CV114" s="14">
        <f t="shared" si="95"/>
        <v>69.503456646543185</v>
      </c>
      <c r="CW114" s="22">
        <f t="shared" si="67"/>
        <v>629.67425365939516</v>
      </c>
      <c r="CX114" s="62">
        <f t="shared" si="68"/>
        <v>923.00758699272842</v>
      </c>
      <c r="CY114" s="62">
        <f ca="1">AVERAGE(OFFSET($CX$3,0,0,'Données projet'!$E$13+1,1))-AVERAGE(OFFSET($H$3,0,0,'Données projet'!$E$13+1,1))</f>
        <v>385.00782828233201</v>
      </c>
      <c r="CZ114" s="62">
        <f t="shared" si="96"/>
        <v>216.22708298332475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393.581186554449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327.17622590628559</v>
      </c>
      <c r="T115" s="62">
        <f t="shared" si="88"/>
        <v>379.61248288852113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2.7710822111145987E-11</v>
      </c>
      <c r="AC115" s="24">
        <f t="shared" si="57"/>
        <v>2.7710822111145987E-11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2.9</v>
      </c>
      <c r="AI115" s="14">
        <f>IF('Données projet'!$A$62&gt;35,AI114+AH115-AQ114,IF(A115&lt;'Données projet'!$A$62,$AF$205^A115,IF(A115='Données projet'!$A$62,'Données projet'!$B$62,AI114+AH115-AQ114)))</f>
        <v>224.3000000000001</v>
      </c>
      <c r="AJ115" s="14">
        <f>AI115*VLOOKUP('Données projet'!$B$10,Paramètres!$A$1:$I$89,3,0)*VLOOKUP('Données projet'!$B$10,Paramètres!$A$1:$I$89,5,0)</f>
        <v>234.4383600000001</v>
      </c>
      <c r="AK115" s="14">
        <f t="shared" si="89"/>
        <v>57.24128858224644</v>
      </c>
      <c r="AL115" s="22">
        <f t="shared" si="58"/>
        <v>508.0087212807461</v>
      </c>
      <c r="AM115" s="62">
        <f t="shared" si="59"/>
        <v>801.34205461407942</v>
      </c>
      <c r="AN115" s="62">
        <f ca="1">AVERAGE(OFFSET($AM$3,0,0,'Données projet'!$E$10+1,1))-AVERAGE(OFFSET($H$3,0,0,'Données projet'!$E$10+1,1))</f>
        <v>276.87402314479681</v>
      </c>
      <c r="AO115" s="62">
        <f t="shared" si="90"/>
        <v>125.27302863901997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9.2222762759774927E-14</v>
      </c>
      <c r="BF115" s="14">
        <f t="shared" si="91"/>
        <v>1.3985662224947967E-12</v>
      </c>
      <c r="BG115" s="22">
        <f t="shared" si="61"/>
        <v>2.5964574826517121E-12</v>
      </c>
      <c r="BH115" s="62">
        <f t="shared" si="62"/>
        <v>293.33333333333593</v>
      </c>
      <c r="BI115" s="62">
        <f ca="1">AVERAGE(OFFSET($BH$3,0,0,'Données projet'!$E$11+1,1))-AVERAGE(OFFSET($H$3,0,0,'Données projet'!$E$11+1,1))</f>
        <v>236.29093866505224</v>
      </c>
      <c r="BJ115" s="62">
        <f t="shared" si="92"/>
        <v>258.22911730540892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-2.8421709430404007E-13</v>
      </c>
      <c r="BZ115" s="14">
        <f>BY115*VLOOKUP('Données projet'!$B$12,Paramètres!$A$1:$I$89,3,0)*VLOOKUP('Données projet'!$B$12,Paramètres!$A$1:$I$89,5,0)</f>
        <v>-2.2168933355715128E-13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250.84814055099969</v>
      </c>
      <c r="CE115" s="62">
        <f t="shared" si="94"/>
        <v>226.15029417484465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</v>
      </c>
      <c r="CT115" s="13">
        <f>IF('Données projet'!$A$140&gt;35,CT114+CS115-DB114,IF(A115&lt;'Données projet'!$A$140,$CQ$205^A115,IF(A115='Données projet'!$A$140,'Données projet'!$B$140,CT114+CS115-DB114)))</f>
        <v>291.99999999999955</v>
      </c>
      <c r="CU115" s="18">
        <f>CT115*VLOOKUP('Données projet'!$B$13,Paramètres!$A$1:$I$89,3,0)*VLOOKUP('Données projet'!$B$13,Paramètres!$A$1:$I$89,5,0)</f>
        <v>296.08799999999957</v>
      </c>
      <c r="CV115" s="14">
        <f t="shared" si="95"/>
        <v>70.35573257182898</v>
      </c>
      <c r="CW115" s="22">
        <f t="shared" si="67"/>
        <v>638.22283422926796</v>
      </c>
      <c r="CX115" s="62">
        <f t="shared" si="68"/>
        <v>931.55616756260133</v>
      </c>
      <c r="CY115" s="62">
        <f ca="1">AVERAGE(OFFSET($CX$3,0,0,'Données projet'!$E$13+1,1))-AVERAGE(OFFSET($H$3,0,0,'Données projet'!$E$13+1,1))</f>
        <v>385.00782828233201</v>
      </c>
      <c r="CZ115" s="62">
        <f t="shared" si="96"/>
        <v>216.22708298332475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394.77191065107274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327.17622590628559</v>
      </c>
      <c r="T116" s="62">
        <f t="shared" si="88"/>
        <v>379.61248288852113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1.9594510227045448E-11</v>
      </c>
      <c r="AC116" s="24">
        <f t="shared" si="57"/>
        <v>1.9594510227045448E-11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2.9</v>
      </c>
      <c r="AI116" s="14">
        <f>IF('Données projet'!$A$62&gt;35,AI115+AH116-AQ115,IF(A116&lt;'Données projet'!$A$62,$AF$205^A116,IF(A116='Données projet'!$A$62,'Données projet'!$B$62,AI115+AH116-AQ115)))</f>
        <v>227.2000000000001</v>
      </c>
      <c r="AJ116" s="14">
        <f>AI116*VLOOKUP('Données projet'!$B$10,Paramètres!$A$1:$I$89,3,0)*VLOOKUP('Données projet'!$B$10,Paramètres!$A$1:$I$89,5,0)</f>
        <v>237.46944000000013</v>
      </c>
      <c r="AK116" s="14">
        <f t="shared" si="89"/>
        <v>57.894732737332582</v>
      </c>
      <c r="AL116" s="22">
        <f t="shared" si="58"/>
        <v>514.42593418418778</v>
      </c>
      <c r="AM116" s="62">
        <f t="shared" si="59"/>
        <v>807.75926751752104</v>
      </c>
      <c r="AN116" s="62">
        <f ca="1">AVERAGE(OFFSET($AM$3,0,0,'Données projet'!$E$10+1,1))-AVERAGE(OFFSET($H$3,0,0,'Données projet'!$E$10+1,1))</f>
        <v>276.87402314479681</v>
      </c>
      <c r="AO116" s="62">
        <f t="shared" si="90"/>
        <v>125.27302863901997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9.2222762759774927E-14</v>
      </c>
      <c r="BF116" s="14">
        <f t="shared" si="91"/>
        <v>1.3985662224947967E-12</v>
      </c>
      <c r="BG116" s="22">
        <f t="shared" si="61"/>
        <v>2.5964574826517121E-12</v>
      </c>
      <c r="BH116" s="62">
        <f t="shared" si="62"/>
        <v>293.33333333333593</v>
      </c>
      <c r="BI116" s="62">
        <f ca="1">AVERAGE(OFFSET($BH$3,0,0,'Données projet'!$E$11+1,1))-AVERAGE(OFFSET($H$3,0,0,'Données projet'!$E$11+1,1))</f>
        <v>236.29093866505224</v>
      </c>
      <c r="BJ116" s="62">
        <f t="shared" si="92"/>
        <v>258.22911730540892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-2.8421709430404007E-13</v>
      </c>
      <c r="BZ116" s="14">
        <f>BY116*VLOOKUP('Données projet'!$B$12,Paramètres!$A$1:$I$89,3,0)*VLOOKUP('Données projet'!$B$12,Paramètres!$A$1:$I$89,5,0)</f>
        <v>-2.2168933355715128E-13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250.84814055099969</v>
      </c>
      <c r="CE116" s="62">
        <f t="shared" si="94"/>
        <v>226.15029417484465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</v>
      </c>
      <c r="CT116" s="13">
        <f>IF('Données projet'!$A$140&gt;35,CT115+CS116-DB115,IF(A116&lt;'Données projet'!$A$140,$CQ$205^A116,IF(A116='Données projet'!$A$140,'Données projet'!$B$140,CT115+CS116-DB115)))</f>
        <v>295.99999999999955</v>
      </c>
      <c r="CU116" s="18">
        <f>CT116*VLOOKUP('Données projet'!$B$13,Paramètres!$A$1:$I$89,3,0)*VLOOKUP('Données projet'!$B$13,Paramètres!$A$1:$I$89,5,0)</f>
        <v>300.14399999999955</v>
      </c>
      <c r="CV116" s="14">
        <f t="shared" si="95"/>
        <v>71.206650563609799</v>
      </c>
      <c r="CW116" s="22">
        <f t="shared" si="67"/>
        <v>646.76904973161959</v>
      </c>
      <c r="CX116" s="62">
        <f t="shared" si="68"/>
        <v>940.10238306495285</v>
      </c>
      <c r="CY116" s="62">
        <f ca="1">AVERAGE(OFFSET($CX$3,0,0,'Données projet'!$E$13+1,1))-AVERAGE(OFFSET($H$3,0,0,'Données projet'!$E$13+1,1))</f>
        <v>385.00782828233201</v>
      </c>
      <c r="CZ116" s="62">
        <f t="shared" si="96"/>
        <v>216.22708298332475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395.96238788291635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327.17622590628559</v>
      </c>
      <c r="T117" s="62">
        <f t="shared" si="88"/>
        <v>379.61248288852113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1.3855411055572994E-11</v>
      </c>
      <c r="AC117" s="24">
        <f t="shared" si="57"/>
        <v>1.3855411055572994E-11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2.9</v>
      </c>
      <c r="AI117" s="14">
        <f>IF('Données projet'!$A$62&gt;35,AI116+AH117-AQ116,IF(A117&lt;'Données projet'!$A$62,$AF$205^A117,IF(A117='Données projet'!$A$62,'Données projet'!$B$62,AI116+AH117-AQ116)))</f>
        <v>230.10000000000011</v>
      </c>
      <c r="AJ117" s="14">
        <f>AI117*VLOOKUP('Données projet'!$B$10,Paramètres!$A$1:$I$89,3,0)*VLOOKUP('Données projet'!$B$10,Paramètres!$A$1:$I$89,5,0)</f>
        <v>240.50052000000014</v>
      </c>
      <c r="AK117" s="14">
        <f t="shared" si="89"/>
        <v>58.547206737667388</v>
      </c>
      <c r="AL117" s="22">
        <f t="shared" si="58"/>
        <v>520.84145740143765</v>
      </c>
      <c r="AM117" s="62">
        <f t="shared" si="59"/>
        <v>814.17479073477102</v>
      </c>
      <c r="AN117" s="62">
        <f ca="1">AVERAGE(OFFSET($AM$3,0,0,'Données projet'!$E$10+1,1))-AVERAGE(OFFSET($H$3,0,0,'Données projet'!$E$10+1,1))</f>
        <v>276.87402314479681</v>
      </c>
      <c r="AO117" s="62">
        <f t="shared" si="90"/>
        <v>125.27302863901997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9.2222762759774927E-14</v>
      </c>
      <c r="BF117" s="14">
        <f t="shared" si="91"/>
        <v>1.3985662224947967E-12</v>
      </c>
      <c r="BG117" s="22">
        <f t="shared" si="61"/>
        <v>2.5964574826517121E-12</v>
      </c>
      <c r="BH117" s="62">
        <f t="shared" si="62"/>
        <v>293.33333333333593</v>
      </c>
      <c r="BI117" s="62">
        <f ca="1">AVERAGE(OFFSET($BH$3,0,0,'Données projet'!$E$11+1,1))-AVERAGE(OFFSET($H$3,0,0,'Données projet'!$E$11+1,1))</f>
        <v>236.29093866505224</v>
      </c>
      <c r="BJ117" s="62">
        <f t="shared" si="92"/>
        <v>258.22911730540892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-2.8421709430404007E-13</v>
      </c>
      <c r="BZ117" s="14">
        <f>BY117*VLOOKUP('Données projet'!$B$12,Paramètres!$A$1:$I$89,3,0)*VLOOKUP('Données projet'!$B$12,Paramètres!$A$1:$I$89,5,0)</f>
        <v>-2.2168933355715128E-13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250.84814055099969</v>
      </c>
      <c r="CE117" s="62">
        <f t="shared" si="94"/>
        <v>226.15029417484465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</v>
      </c>
      <c r="CT117" s="13">
        <f>IF('Données projet'!$A$140&gt;35,CT116+CS117-DB116,IF(A117&lt;'Données projet'!$A$140,$CQ$205^A117,IF(A117='Données projet'!$A$140,'Données projet'!$B$140,CT116+CS117-DB116)))</f>
        <v>299.99999999999955</v>
      </c>
      <c r="CU117" s="18">
        <f>CT117*VLOOKUP('Données projet'!$B$13,Paramètres!$A$1:$I$89,3,0)*VLOOKUP('Données projet'!$B$13,Paramètres!$A$1:$I$89,5,0)</f>
        <v>304.19999999999959</v>
      </c>
      <c r="CV117" s="14">
        <f t="shared" si="95"/>
        <v>72.056231093481003</v>
      </c>
      <c r="CW117" s="22">
        <f t="shared" si="67"/>
        <v>655.31293582114529</v>
      </c>
      <c r="CX117" s="62">
        <f t="shared" si="68"/>
        <v>948.64626915447866</v>
      </c>
      <c r="CY117" s="62">
        <f ca="1">AVERAGE(OFFSET($CX$3,0,0,'Données projet'!$E$13+1,1))-AVERAGE(OFFSET($H$3,0,0,'Données projet'!$E$13+1,1))</f>
        <v>385.00782828233201</v>
      </c>
      <c r="CZ117" s="62">
        <f t="shared" si="96"/>
        <v>216.22708298332475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397.15262066635069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327.17622590628559</v>
      </c>
      <c r="T118" s="62">
        <f t="shared" si="88"/>
        <v>379.61248288852113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9.7972551135227242E-12</v>
      </c>
      <c r="AC118" s="24">
        <f t="shared" si="57"/>
        <v>9.7972551135227242E-12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233</v>
      </c>
      <c r="AG118" s="13">
        <f>VLOOKUP(A118,'Données projet'!$A$61:$I$81,9,0)</f>
        <v>2.9</v>
      </c>
      <c r="AH118" s="13">
        <f t="array" ref="AH118">INDEX(AG:AG,MIN(IF(ISNUMBER(AG118:AG314),ROW(AG118:AG314),"")))</f>
        <v>2.9</v>
      </c>
      <c r="AI118" s="14">
        <f>IF('Données projet'!$A$62&gt;35,AI117+AH118-AQ117,IF(A118&lt;'Données projet'!$A$62,$AF$205^A118,IF(A118='Données projet'!$A$62,'Données projet'!$B$62,AI117+AH118-AQ117)))</f>
        <v>233.00000000000011</v>
      </c>
      <c r="AJ118" s="14">
        <f>AI118*VLOOKUP('Données projet'!$B$10,Paramètres!$A$1:$I$89,3,0)*VLOOKUP('Données projet'!$B$10,Paramètres!$A$1:$I$89,5,0)</f>
        <v>243.53160000000017</v>
      </c>
      <c r="AK118" s="14">
        <f t="shared" si="89"/>
        <v>59.198724224270414</v>
      </c>
      <c r="AL118" s="22">
        <f t="shared" si="58"/>
        <v>527.25531469060468</v>
      </c>
      <c r="AM118" s="62">
        <f t="shared" si="59"/>
        <v>820.58864802393805</v>
      </c>
      <c r="AN118" s="62">
        <f ca="1">AVERAGE(OFFSET($AM$3,0,0,'Données projet'!$E$10+1,1))-AVERAGE(OFFSET($H$3,0,0,'Données projet'!$E$10+1,1))</f>
        <v>276.87402314479681</v>
      </c>
      <c r="AO118" s="62">
        <f t="shared" si="90"/>
        <v>125.27302863901997</v>
      </c>
      <c r="AP118" s="16">
        <f>IF(ISNA(VLOOKUP(A118,'Données projet'!$A$61:$I$81,3,0)),0,VLOOKUP(A118,'Données projet'!$A$61:$I$81,3,0))</f>
        <v>9</v>
      </c>
      <c r="AQ118" s="16">
        <f>IF(ISNA(VLOOKUP(A118,'Données projet'!$A$61:$I$81,4,0)),0,VLOOKUP(A118,'Données projet'!$A$61:$I$81,4,0))</f>
        <v>26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9.2222762759774927E-14</v>
      </c>
      <c r="BF118" s="14">
        <f t="shared" si="91"/>
        <v>1.3985662224947967E-12</v>
      </c>
      <c r="BG118" s="22">
        <f t="shared" si="61"/>
        <v>2.5964574826517121E-12</v>
      </c>
      <c r="BH118" s="62">
        <f t="shared" si="62"/>
        <v>293.33333333333593</v>
      </c>
      <c r="BI118" s="62">
        <f ca="1">AVERAGE(OFFSET($BH$3,0,0,'Données projet'!$E$11+1,1))-AVERAGE(OFFSET($H$3,0,0,'Données projet'!$E$11+1,1))</f>
        <v>236.29093866505224</v>
      </c>
      <c r="BJ118" s="62">
        <f t="shared" si="92"/>
        <v>258.22911730540892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-2.8421709430404007E-13</v>
      </c>
      <c r="BZ118" s="14">
        <f>BY118*VLOOKUP('Données projet'!$B$12,Paramètres!$A$1:$I$89,3,0)*VLOOKUP('Données projet'!$B$12,Paramètres!$A$1:$I$89,5,0)</f>
        <v>-2.2168933355715128E-13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250.84814055099969</v>
      </c>
      <c r="CE118" s="62">
        <f t="shared" si="94"/>
        <v>226.15029417484465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304</v>
      </c>
      <c r="CR118" s="13">
        <f>VLOOKUP(A118,'Données projet'!$A$139:$I$159,9,0)</f>
        <v>4</v>
      </c>
      <c r="CS118" s="13">
        <f t="array" ref="CS118">INDEX(CR:CR,MIN(IF(ISNUMBER(CR118:CR314),ROW(CR118:CR314),"")))</f>
        <v>4</v>
      </c>
      <c r="CT118" s="13">
        <f>IF('Données projet'!$A$140&gt;35,CT117+CS118-DB117,IF(A118&lt;'Données projet'!$A$140,$CQ$205^A118,IF(A118='Données projet'!$A$140,'Données projet'!$B$140,CT117+CS118-DB117)))</f>
        <v>303.99999999999955</v>
      </c>
      <c r="CU118" s="18">
        <f>CT118*VLOOKUP('Données projet'!$B$13,Paramètres!$A$1:$I$89,3,0)*VLOOKUP('Données projet'!$B$13,Paramètres!$A$1:$I$89,5,0)</f>
        <v>308.25599999999957</v>
      </c>
      <c r="CV118" s="14">
        <f t="shared" si="95"/>
        <v>72.904494055753887</v>
      </c>
      <c r="CW118" s="22">
        <f t="shared" si="67"/>
        <v>663.85452714710391</v>
      </c>
      <c r="CX118" s="62">
        <f t="shared" si="68"/>
        <v>957.18786048043717</v>
      </c>
      <c r="CY118" s="62">
        <f ca="1">AVERAGE(OFFSET($CX$3,0,0,'Données projet'!$E$13+1,1))-AVERAGE(OFFSET($H$3,0,0,'Données projet'!$E$13+1,1))</f>
        <v>385.00782828233201</v>
      </c>
      <c r="CZ118" s="62">
        <f t="shared" si="96"/>
        <v>216.22708298332475</v>
      </c>
      <c r="DA118" s="16">
        <f>IF(ISNA(VLOOKUP(A118,'Données projet'!$A$139:$I$159,3,0)),0,VLOOKUP(A118,'Données projet'!$A$139:$I$159,3,0))</f>
        <v>10</v>
      </c>
      <c r="DB118" s="16">
        <f>IF(ISNA(VLOOKUP(A118,'Données projet'!$A$139:$I$159,4,0)),0,VLOOKUP(A118,'Données projet'!$A$139:$I$159,4,0))</f>
        <v>37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398.34261137329793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327.17622590628559</v>
      </c>
      <c r="T119" s="62">
        <f t="shared" si="88"/>
        <v>379.61248288852113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6.9277055277864968E-12</v>
      </c>
      <c r="AC119" s="24">
        <f t="shared" si="57"/>
        <v>6.9277055277864968E-12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2.5</v>
      </c>
      <c r="AI119" s="14">
        <f>IF('Données projet'!$A$62&gt;35,AI118+AH119-AQ118,IF(A119&lt;'Données projet'!$A$62,$AF$205^A119,IF(A119='Données projet'!$A$62,'Données projet'!$B$62,AI118+AH119-AQ118)))</f>
        <v>209.50000000000011</v>
      </c>
      <c r="AJ119" s="14">
        <f>AI119*VLOOKUP('Données projet'!$B$10,Paramètres!$A$1:$I$89,3,0)*VLOOKUP('Données projet'!$B$10,Paramètres!$A$1:$I$89,5,0)</f>
        <v>218.96940000000015</v>
      </c>
      <c r="AK119" s="14">
        <f t="shared" si="89"/>
        <v>53.890828725521438</v>
      </c>
      <c r="AL119" s="22">
        <f t="shared" si="58"/>
        <v>475.23156503028349</v>
      </c>
      <c r="AM119" s="62">
        <f t="shared" si="59"/>
        <v>768.56489836361675</v>
      </c>
      <c r="AN119" s="62">
        <f ca="1">AVERAGE(OFFSET($AM$3,0,0,'Données projet'!$E$10+1,1))-AVERAGE(OFFSET($H$3,0,0,'Données projet'!$E$10+1,1))</f>
        <v>276.87402314479681</v>
      </c>
      <c r="AO119" s="62">
        <f t="shared" si="90"/>
        <v>125.27302863901997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9.2222762759774927E-14</v>
      </c>
      <c r="BF119" s="14">
        <f t="shared" si="91"/>
        <v>1.3985662224947967E-12</v>
      </c>
      <c r="BG119" s="22">
        <f t="shared" si="61"/>
        <v>2.5964574826517121E-12</v>
      </c>
      <c r="BH119" s="62">
        <f t="shared" si="62"/>
        <v>293.33333333333593</v>
      </c>
      <c r="BI119" s="62">
        <f ca="1">AVERAGE(OFFSET($BH$3,0,0,'Données projet'!$E$11+1,1))-AVERAGE(OFFSET($H$3,0,0,'Données projet'!$E$11+1,1))</f>
        <v>236.29093866505224</v>
      </c>
      <c r="BJ119" s="62">
        <f t="shared" si="92"/>
        <v>258.22911730540892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-2.8421709430404007E-13</v>
      </c>
      <c r="BZ119" s="14">
        <f>BY119*VLOOKUP('Données projet'!$B$12,Paramètres!$A$1:$I$89,3,0)*VLOOKUP('Données projet'!$B$12,Paramètres!$A$1:$I$89,5,0)</f>
        <v>-2.2168933355715128E-13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250.84814055099969</v>
      </c>
      <c r="CE119" s="62">
        <f t="shared" si="94"/>
        <v>226.15029417484465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3.4</v>
      </c>
      <c r="CT119" s="13">
        <f>IF('Données projet'!$A$140&gt;35,CT118+CS119-DB118,IF(A119&lt;'Données projet'!$A$140,$CQ$205^A119,IF(A119='Données projet'!$A$140,'Données projet'!$B$140,CT118+CS119-DB118)))</f>
        <v>270.39999999999952</v>
      </c>
      <c r="CU119" s="18">
        <f>CT119*VLOOKUP('Données projet'!$B$13,Paramètres!$A$1:$I$89,3,0)*VLOOKUP('Données projet'!$B$13,Paramètres!$A$1:$I$89,5,0)</f>
        <v>274.18559999999957</v>
      </c>
      <c r="CV119" s="14">
        <f t="shared" si="95"/>
        <v>65.736762389907327</v>
      </c>
      <c r="CW119" s="22">
        <f t="shared" si="67"/>
        <v>592.03144782908782</v>
      </c>
      <c r="CX119" s="62">
        <f t="shared" si="68"/>
        <v>885.3647811624212</v>
      </c>
      <c r="CY119" s="62">
        <f ca="1">AVERAGE(OFFSET($CX$3,0,0,'Données projet'!$E$13+1,1))-AVERAGE(OFFSET($H$3,0,0,'Données projet'!$E$13+1,1))</f>
        <v>385.00782828233201</v>
      </c>
      <c r="CZ119" s="62">
        <f t="shared" si="96"/>
        <v>216.22708298332475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399.53236233242478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327.17622590628559</v>
      </c>
      <c r="T120" s="62">
        <f t="shared" si="88"/>
        <v>379.61248288852113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4.8986275567613621E-12</v>
      </c>
      <c r="AC120" s="24">
        <f t="shared" si="57"/>
        <v>4.8986275567613621E-12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2.5</v>
      </c>
      <c r="AI120" s="14">
        <f>IF('Données projet'!$A$62&gt;35,AI119+AH120-AQ119,IF(A120&lt;'Données projet'!$A$62,$AF$205^A120,IF(A120='Données projet'!$A$62,'Données projet'!$B$62,AI119+AH120-AQ119)))</f>
        <v>212.00000000000011</v>
      </c>
      <c r="AJ120" s="14">
        <f>AI120*VLOOKUP('Données projet'!$B$10,Paramètres!$A$1:$I$89,3,0)*VLOOKUP('Données projet'!$B$10,Paramètres!$A$1:$I$89,5,0)</f>
        <v>221.58240000000012</v>
      </c>
      <c r="AK120" s="14">
        <f t="shared" si="89"/>
        <v>54.458668952651578</v>
      </c>
      <c r="AL120" s="22">
        <f t="shared" si="58"/>
        <v>480.77152842586838</v>
      </c>
      <c r="AM120" s="62">
        <f t="shared" si="59"/>
        <v>774.10486175920164</v>
      </c>
      <c r="AN120" s="62">
        <f ca="1">AVERAGE(OFFSET($AM$3,0,0,'Données projet'!$E$10+1,1))-AVERAGE(OFFSET($H$3,0,0,'Données projet'!$E$10+1,1))</f>
        <v>276.87402314479681</v>
      </c>
      <c r="AO120" s="62">
        <f t="shared" si="90"/>
        <v>125.27302863901997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9.2222762759774927E-14</v>
      </c>
      <c r="BF120" s="14">
        <f t="shared" si="91"/>
        <v>1.3985662224947967E-12</v>
      </c>
      <c r="BG120" s="22">
        <f t="shared" si="61"/>
        <v>2.5964574826517121E-12</v>
      </c>
      <c r="BH120" s="62">
        <f t="shared" si="62"/>
        <v>293.33333333333593</v>
      </c>
      <c r="BI120" s="62">
        <f ca="1">AVERAGE(OFFSET($BH$3,0,0,'Données projet'!$E$11+1,1))-AVERAGE(OFFSET($H$3,0,0,'Données projet'!$E$11+1,1))</f>
        <v>236.29093866505224</v>
      </c>
      <c r="BJ120" s="62">
        <f t="shared" si="92"/>
        <v>258.22911730540892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-2.8421709430404007E-13</v>
      </c>
      <c r="BZ120" s="14">
        <f>BY120*VLOOKUP('Données projet'!$B$12,Paramètres!$A$1:$I$89,3,0)*VLOOKUP('Données projet'!$B$12,Paramètres!$A$1:$I$89,5,0)</f>
        <v>-2.2168933355715128E-13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250.84814055099969</v>
      </c>
      <c r="CE120" s="62">
        <f t="shared" si="94"/>
        <v>226.15029417484465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3.4</v>
      </c>
      <c r="CT120" s="13">
        <f>IF('Données projet'!$A$140&gt;35,CT119+CS120-DB119,IF(A120&lt;'Données projet'!$A$140,$CQ$205^A120,IF(A120='Données projet'!$A$140,'Données projet'!$B$140,CT119+CS120-DB119)))</f>
        <v>273.7999999999995</v>
      </c>
      <c r="CU120" s="18">
        <f>CT120*VLOOKUP('Données projet'!$B$13,Paramètres!$A$1:$I$89,3,0)*VLOOKUP('Données projet'!$B$13,Paramètres!$A$1:$I$89,5,0)</f>
        <v>277.63319999999953</v>
      </c>
      <c r="CV120" s="14">
        <f t="shared" si="95"/>
        <v>66.466589162975581</v>
      </c>
      <c r="CW120" s="22">
        <f t="shared" si="67"/>
        <v>599.30713279218173</v>
      </c>
      <c r="CX120" s="62">
        <f t="shared" si="68"/>
        <v>892.6404661255151</v>
      </c>
      <c r="CY120" s="62">
        <f ca="1">AVERAGE(OFFSET($CX$3,0,0,'Données projet'!$E$13+1,1))-AVERAGE(OFFSET($H$3,0,0,'Données projet'!$E$13+1,1))</f>
        <v>385.00782828233201</v>
      </c>
      <c r="CZ120" s="62">
        <f t="shared" si="96"/>
        <v>216.22708298332475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400.72187583029472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327.17622590628559</v>
      </c>
      <c r="T121" s="62">
        <f t="shared" si="88"/>
        <v>379.61248288852113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3.4638527638932484E-12</v>
      </c>
      <c r="AC121" s="24">
        <f t="shared" si="57"/>
        <v>3.4638527638932484E-12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2.5</v>
      </c>
      <c r="AI121" s="14">
        <f>IF('Données projet'!$A$62&gt;35,AI120+AH121-AQ120,IF(A121&lt;'Données projet'!$A$62,$AF$205^A121,IF(A121='Données projet'!$A$62,'Données projet'!$B$62,AI120+AH121-AQ120)))</f>
        <v>214.50000000000011</v>
      </c>
      <c r="AJ121" s="14">
        <f>AI121*VLOOKUP('Données projet'!$B$10,Paramètres!$A$1:$I$89,3,0)*VLOOKUP('Données projet'!$B$10,Paramètres!$A$1:$I$89,5,0)</f>
        <v>224.19540000000015</v>
      </c>
      <c r="AK121" s="14">
        <f t="shared" si="89"/>
        <v>55.025730254325786</v>
      </c>
      <c r="AL121" s="22">
        <f t="shared" si="58"/>
        <v>486.31013519295101</v>
      </c>
      <c r="AM121" s="62">
        <f t="shared" si="59"/>
        <v>779.64346852628432</v>
      </c>
      <c r="AN121" s="62">
        <f ca="1">AVERAGE(OFFSET($AM$3,0,0,'Données projet'!$E$10+1,1))-AVERAGE(OFFSET($H$3,0,0,'Données projet'!$E$10+1,1))</f>
        <v>276.87402314479681</v>
      </c>
      <c r="AO121" s="62">
        <f t="shared" si="90"/>
        <v>125.27302863901997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9.2222762759774927E-14</v>
      </c>
      <c r="BF121" s="14">
        <f t="shared" si="91"/>
        <v>1.3985662224947967E-12</v>
      </c>
      <c r="BG121" s="22">
        <f t="shared" si="61"/>
        <v>2.5964574826517121E-12</v>
      </c>
      <c r="BH121" s="62">
        <f t="shared" si="62"/>
        <v>293.33333333333593</v>
      </c>
      <c r="BI121" s="62">
        <f ca="1">AVERAGE(OFFSET($BH$3,0,0,'Données projet'!$E$11+1,1))-AVERAGE(OFFSET($H$3,0,0,'Données projet'!$E$11+1,1))</f>
        <v>236.29093866505224</v>
      </c>
      <c r="BJ121" s="62">
        <f t="shared" si="92"/>
        <v>258.22911730540892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-2.8421709430404007E-13</v>
      </c>
      <c r="BZ121" s="14">
        <f>BY121*VLOOKUP('Données projet'!$B$12,Paramètres!$A$1:$I$89,3,0)*VLOOKUP('Données projet'!$B$12,Paramètres!$A$1:$I$89,5,0)</f>
        <v>-2.2168933355715128E-13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250.84814055099969</v>
      </c>
      <c r="CE121" s="62">
        <f t="shared" si="94"/>
        <v>226.15029417484465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3.4</v>
      </c>
      <c r="CT121" s="13">
        <f>IF('Données projet'!$A$140&gt;35,CT120+CS121-DB120,IF(A121&lt;'Données projet'!$A$140,$CQ$205^A121,IF(A121='Données projet'!$A$140,'Données projet'!$B$140,CT120+CS121-DB120)))</f>
        <v>277.19999999999948</v>
      </c>
      <c r="CU121" s="18">
        <f>CT121*VLOOKUP('Données projet'!$B$13,Paramètres!$A$1:$I$89,3,0)*VLOOKUP('Données projet'!$B$13,Paramètres!$A$1:$I$89,5,0)</f>
        <v>281.0807999999995</v>
      </c>
      <c r="CV121" s="14">
        <f t="shared" si="95"/>
        <v>67.195361752546063</v>
      </c>
      <c r="CW121" s="22">
        <f t="shared" si="67"/>
        <v>606.5809817190169</v>
      </c>
      <c r="CX121" s="62">
        <f t="shared" si="68"/>
        <v>899.91431505235028</v>
      </c>
      <c r="CY121" s="62">
        <f ca="1">AVERAGE(OFFSET($CX$3,0,0,'Données projet'!$E$13+1,1))-AVERAGE(OFFSET($H$3,0,0,'Données projet'!$E$13+1,1))</f>
        <v>385.00782828233201</v>
      </c>
      <c r="CZ121" s="62">
        <f t="shared" si="96"/>
        <v>216.22708298332475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401.91115411247904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327.17622590628559</v>
      </c>
      <c r="T122" s="62">
        <f t="shared" si="88"/>
        <v>379.61248288852113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2.4493137783806811E-12</v>
      </c>
      <c r="AC122" s="24">
        <f t="shared" si="57"/>
        <v>2.4493137783806811E-12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2.5</v>
      </c>
      <c r="AI122" s="14">
        <f>IF('Données projet'!$A$62&gt;35,AI121+AH122-AQ121,IF(A122&lt;'Données projet'!$A$62,$AF$205^A122,IF(A122='Données projet'!$A$62,'Données projet'!$B$62,AI121+AH122-AQ121)))</f>
        <v>217.00000000000011</v>
      </c>
      <c r="AJ122" s="14">
        <f>AI122*VLOOKUP('Données projet'!$B$10,Paramètres!$A$1:$I$89,3,0)*VLOOKUP('Données projet'!$B$10,Paramètres!$A$1:$I$89,5,0)</f>
        <v>226.80840000000012</v>
      </c>
      <c r="AK122" s="14">
        <f t="shared" si="89"/>
        <v>55.592022759242624</v>
      </c>
      <c r="AL122" s="22">
        <f t="shared" si="58"/>
        <v>491.84740297234777</v>
      </c>
      <c r="AM122" s="62">
        <f t="shared" si="59"/>
        <v>785.18073630568108</v>
      </c>
      <c r="AN122" s="62">
        <f ca="1">AVERAGE(OFFSET($AM$3,0,0,'Données projet'!$E$10+1,1))-AVERAGE(OFFSET($H$3,0,0,'Données projet'!$E$10+1,1))</f>
        <v>276.87402314479681</v>
      </c>
      <c r="AO122" s="62">
        <f t="shared" si="90"/>
        <v>125.27302863901997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9.2222762759774927E-14</v>
      </c>
      <c r="BF122" s="14">
        <f t="shared" si="91"/>
        <v>1.3985662224947967E-12</v>
      </c>
      <c r="BG122" s="22">
        <f t="shared" si="61"/>
        <v>2.5964574826517121E-12</v>
      </c>
      <c r="BH122" s="62">
        <f t="shared" si="62"/>
        <v>293.33333333333593</v>
      </c>
      <c r="BI122" s="62">
        <f ca="1">AVERAGE(OFFSET($BH$3,0,0,'Données projet'!$E$11+1,1))-AVERAGE(OFFSET($H$3,0,0,'Données projet'!$E$11+1,1))</f>
        <v>236.29093866505224</v>
      </c>
      <c r="BJ122" s="62">
        <f t="shared" si="92"/>
        <v>258.22911730540892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-2.8421709430404007E-13</v>
      </c>
      <c r="BZ122" s="14">
        <f>BY122*VLOOKUP('Données projet'!$B$12,Paramètres!$A$1:$I$89,3,0)*VLOOKUP('Données projet'!$B$12,Paramètres!$A$1:$I$89,5,0)</f>
        <v>-2.2168933355715128E-13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250.84814055099969</v>
      </c>
      <c r="CE122" s="62">
        <f t="shared" si="94"/>
        <v>226.15029417484465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3.4</v>
      </c>
      <c r="CT122" s="13">
        <f>IF('Données projet'!$A$140&gt;35,CT121+CS122-DB121,IF(A122&lt;'Données projet'!$A$140,$CQ$205^A122,IF(A122='Données projet'!$A$140,'Données projet'!$B$140,CT121+CS122-DB121)))</f>
        <v>280.59999999999945</v>
      </c>
      <c r="CU122" s="18">
        <f>CT122*VLOOKUP('Données projet'!$B$13,Paramètres!$A$1:$I$89,3,0)*VLOOKUP('Données projet'!$B$13,Paramètres!$A$1:$I$89,5,0)</f>
        <v>284.52839999999946</v>
      </c>
      <c r="CV122" s="14">
        <f t="shared" si="95"/>
        <v>67.923094584210745</v>
      </c>
      <c r="CW122" s="22">
        <f t="shared" si="67"/>
        <v>613.85301973416608</v>
      </c>
      <c r="CX122" s="62">
        <f t="shared" si="68"/>
        <v>907.18635306749934</v>
      </c>
      <c r="CY122" s="62">
        <f ca="1">AVERAGE(OFFSET($CX$3,0,0,'Données projet'!$E$13+1,1))-AVERAGE(OFFSET($H$3,0,0,'Données projet'!$E$13+1,1))</f>
        <v>385.00782828233201</v>
      </c>
      <c r="CZ122" s="62">
        <f t="shared" si="96"/>
        <v>216.22708298332475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403.10019938462972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327.17622590628559</v>
      </c>
      <c r="T123" s="62">
        <f t="shared" si="88"/>
        <v>379.61248288852113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1.7319263819466242E-12</v>
      </c>
      <c r="AC123" s="24">
        <f t="shared" si="57"/>
        <v>1.7319263819466242E-12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2.5</v>
      </c>
      <c r="AI123" s="14">
        <f>IF('Données projet'!$A$62&gt;35,AI122+AH123-AQ122,IF(A123&lt;'Données projet'!$A$62,$AF$205^A123,IF(A123='Données projet'!$A$62,'Données projet'!$B$62,AI122+AH123-AQ122)))</f>
        <v>219.50000000000011</v>
      </c>
      <c r="AJ123" s="14">
        <f>AI123*VLOOKUP('Données projet'!$B$10,Paramètres!$A$1:$I$89,3,0)*VLOOKUP('Données projet'!$B$10,Paramètres!$A$1:$I$89,5,0)</f>
        <v>229.42140000000015</v>
      </c>
      <c r="AK123" s="14">
        <f t="shared" si="89"/>
        <v>56.157556349287034</v>
      </c>
      <c r="AL123" s="22">
        <f t="shared" si="58"/>
        <v>497.38334897500846</v>
      </c>
      <c r="AM123" s="62">
        <f t="shared" si="59"/>
        <v>790.71668230834177</v>
      </c>
      <c r="AN123" s="62">
        <f ca="1">AVERAGE(OFFSET($AM$3,0,0,'Données projet'!$E$10+1,1))-AVERAGE(OFFSET($H$3,0,0,'Données projet'!$E$10+1,1))</f>
        <v>276.87402314479681</v>
      </c>
      <c r="AO123" s="62">
        <f t="shared" si="90"/>
        <v>125.27302863901997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9.2222762759774927E-14</v>
      </c>
      <c r="BF123" s="14">
        <f t="shared" si="91"/>
        <v>1.3985662224947967E-12</v>
      </c>
      <c r="BG123" s="22">
        <f t="shared" si="61"/>
        <v>2.5964574826517121E-12</v>
      </c>
      <c r="BH123" s="62">
        <f t="shared" si="62"/>
        <v>293.33333333333593</v>
      </c>
      <c r="BI123" s="62">
        <f ca="1">AVERAGE(OFFSET($BH$3,0,0,'Données projet'!$E$11+1,1))-AVERAGE(OFFSET($H$3,0,0,'Données projet'!$E$11+1,1))</f>
        <v>236.29093866505224</v>
      </c>
      <c r="BJ123" s="62">
        <f t="shared" si="92"/>
        <v>258.22911730540892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-2.8421709430404007E-13</v>
      </c>
      <c r="BZ123" s="14">
        <f>BY123*VLOOKUP('Données projet'!$B$12,Paramètres!$A$1:$I$89,3,0)*VLOOKUP('Données projet'!$B$12,Paramètres!$A$1:$I$89,5,0)</f>
        <v>-2.2168933355715128E-13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250.84814055099969</v>
      </c>
      <c r="CE123" s="62">
        <f t="shared" si="94"/>
        <v>226.15029417484465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3.4</v>
      </c>
      <c r="CT123" s="13">
        <f>IF('Données projet'!$A$140&gt;35,CT122+CS123-DB122,IF(A123&lt;'Données projet'!$A$140,$CQ$205^A123,IF(A123='Données projet'!$A$140,'Données projet'!$B$140,CT122+CS123-DB122)))</f>
        <v>283.99999999999943</v>
      </c>
      <c r="CU123" s="18">
        <f>CT123*VLOOKUP('Données projet'!$B$13,Paramètres!$A$1:$I$89,3,0)*VLOOKUP('Données projet'!$B$13,Paramètres!$A$1:$I$89,5,0)</f>
        <v>287.97599999999943</v>
      </c>
      <c r="CV123" s="14">
        <f t="shared" si="95"/>
        <v>68.649801713863027</v>
      </c>
      <c r="CW123" s="22">
        <f t="shared" si="67"/>
        <v>621.12327131831046</v>
      </c>
      <c r="CX123" s="62">
        <f t="shared" si="68"/>
        <v>914.45660465164383</v>
      </c>
      <c r="CY123" s="62">
        <f ca="1">AVERAGE(OFFSET($CX$3,0,0,'Données projet'!$E$13+1,1))-AVERAGE(OFFSET($H$3,0,0,'Données projet'!$E$13+1,1))</f>
        <v>385.00782828233201</v>
      </c>
      <c r="CZ123" s="62">
        <f t="shared" si="96"/>
        <v>216.22708298332475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404.28901381351614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327.17622590628559</v>
      </c>
      <c r="T124" s="62">
        <f t="shared" si="88"/>
        <v>379.61248288852113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1.2246568891903405E-12</v>
      </c>
      <c r="AC124" s="24">
        <f t="shared" si="57"/>
        <v>1.2246568891903405E-12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2.5</v>
      </c>
      <c r="AI124" s="14">
        <f>IF('Données projet'!$A$62&gt;35,AI123+AH124-AQ123,IF(A124&lt;'Données projet'!$A$62,$AF$205^A124,IF(A124='Données projet'!$A$62,'Données projet'!$B$62,AI123+AH124-AQ123)))</f>
        <v>222.00000000000011</v>
      </c>
      <c r="AJ124" s="14">
        <f>AI124*VLOOKUP('Données projet'!$B$10,Paramètres!$A$1:$I$89,3,0)*VLOOKUP('Données projet'!$B$10,Paramètres!$A$1:$I$89,5,0)</f>
        <v>232.03440000000015</v>
      </c>
      <c r="AK124" s="14">
        <f t="shared" si="89"/>
        <v>56.722340668285831</v>
      </c>
      <c r="AL124" s="22">
        <f t="shared" si="58"/>
        <v>502.91798999726478</v>
      </c>
      <c r="AM124" s="62">
        <f t="shared" si="59"/>
        <v>796.2513233305981</v>
      </c>
      <c r="AN124" s="62">
        <f ca="1">AVERAGE(OFFSET($AM$3,0,0,'Données projet'!$E$10+1,1))-AVERAGE(OFFSET($H$3,0,0,'Données projet'!$E$10+1,1))</f>
        <v>276.87402314479681</v>
      </c>
      <c r="AO124" s="62">
        <f t="shared" si="90"/>
        <v>125.27302863901997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9.2222762759774927E-14</v>
      </c>
      <c r="BF124" s="14">
        <f t="shared" si="91"/>
        <v>1.3985662224947967E-12</v>
      </c>
      <c r="BG124" s="22">
        <f t="shared" si="61"/>
        <v>2.5964574826517121E-12</v>
      </c>
      <c r="BH124" s="62">
        <f t="shared" si="62"/>
        <v>293.33333333333593</v>
      </c>
      <c r="BI124" s="62">
        <f ca="1">AVERAGE(OFFSET($BH$3,0,0,'Données projet'!$E$11+1,1))-AVERAGE(OFFSET($H$3,0,0,'Données projet'!$E$11+1,1))</f>
        <v>236.29093866505224</v>
      </c>
      <c r="BJ124" s="62">
        <f t="shared" si="92"/>
        <v>258.22911730540892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-2.8421709430404007E-13</v>
      </c>
      <c r="BZ124" s="14">
        <f>BY124*VLOOKUP('Données projet'!$B$12,Paramètres!$A$1:$I$89,3,0)*VLOOKUP('Données projet'!$B$12,Paramètres!$A$1:$I$89,5,0)</f>
        <v>-2.2168933355715128E-13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250.84814055099969</v>
      </c>
      <c r="CE124" s="62">
        <f t="shared" si="94"/>
        <v>226.15029417484465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3.4</v>
      </c>
      <c r="CT124" s="13">
        <f>IF('Données projet'!$A$140&gt;35,CT123+CS124-DB123,IF(A124&lt;'Données projet'!$A$140,$CQ$205^A124,IF(A124='Données projet'!$A$140,'Données projet'!$B$140,CT123+CS124-DB123)))</f>
        <v>287.39999999999941</v>
      </c>
      <c r="CU124" s="18">
        <f>CT124*VLOOKUP('Données projet'!$B$13,Paramètres!$A$1:$I$89,3,0)*VLOOKUP('Données projet'!$B$13,Paramètres!$A$1:$I$89,5,0)</f>
        <v>291.42359999999945</v>
      </c>
      <c r="CV124" s="14">
        <f t="shared" si="95"/>
        <v>69.375496841482047</v>
      </c>
      <c r="CW124" s="22">
        <f t="shared" si="67"/>
        <v>628.39176033224692</v>
      </c>
      <c r="CX124" s="62">
        <f t="shared" si="68"/>
        <v>921.72509366558029</v>
      </c>
      <c r="CY124" s="62">
        <f ca="1">AVERAGE(OFFSET($CX$3,0,0,'Données projet'!$E$13+1,1))-AVERAGE(OFFSET($H$3,0,0,'Données projet'!$E$13+1,1))</f>
        <v>385.00782828233201</v>
      </c>
      <c r="CZ124" s="62">
        <f t="shared" si="96"/>
        <v>216.22708298332475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405.47759952802585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327.17622590628559</v>
      </c>
      <c r="T125" s="62">
        <f t="shared" si="88"/>
        <v>379.61248288852113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8.6596319097331211E-13</v>
      </c>
      <c r="AC125" s="24">
        <f t="shared" si="57"/>
        <v>8.6596319097331211E-13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2.5</v>
      </c>
      <c r="AI125" s="14">
        <f>IF('Données projet'!$A$62&gt;35,AI124+AH125-AQ124,IF(A125&lt;'Données projet'!$A$62,$AF$205^A125,IF(A125='Données projet'!$A$62,'Données projet'!$B$62,AI124+AH125-AQ124)))</f>
        <v>224.50000000000011</v>
      </c>
      <c r="AJ125" s="14">
        <f>AI125*VLOOKUP('Données projet'!$B$10,Paramètres!$A$1:$I$89,3,0)*VLOOKUP('Données projet'!$B$10,Paramètres!$A$1:$I$89,5,0)</f>
        <v>234.64740000000012</v>
      </c>
      <c r="AK125" s="14">
        <f t="shared" si="89"/>
        <v>57.286385130357523</v>
      </c>
      <c r="AL125" s="22">
        <f t="shared" si="58"/>
        <v>508.45134243537291</v>
      </c>
      <c r="AM125" s="62">
        <f t="shared" si="59"/>
        <v>801.78467576870617</v>
      </c>
      <c r="AN125" s="62">
        <f ca="1">AVERAGE(OFFSET($AM$3,0,0,'Données projet'!$E$10+1,1))-AVERAGE(OFFSET($H$3,0,0,'Données projet'!$E$10+1,1))</f>
        <v>276.87402314479681</v>
      </c>
      <c r="AO125" s="62">
        <f t="shared" si="90"/>
        <v>125.27302863901997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9.2222762759774927E-14</v>
      </c>
      <c r="BF125" s="14">
        <f t="shared" si="91"/>
        <v>1.3985662224947967E-12</v>
      </c>
      <c r="BG125" s="22">
        <f t="shared" si="61"/>
        <v>2.5964574826517121E-12</v>
      </c>
      <c r="BH125" s="62">
        <f t="shared" si="62"/>
        <v>293.33333333333593</v>
      </c>
      <c r="BI125" s="62">
        <f ca="1">AVERAGE(OFFSET($BH$3,0,0,'Données projet'!$E$11+1,1))-AVERAGE(OFFSET($H$3,0,0,'Données projet'!$E$11+1,1))</f>
        <v>236.29093866505224</v>
      </c>
      <c r="BJ125" s="62">
        <f t="shared" si="92"/>
        <v>258.22911730540892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-2.8421709430404007E-13</v>
      </c>
      <c r="BZ125" s="14">
        <f>BY125*VLOOKUP('Données projet'!$B$12,Paramètres!$A$1:$I$89,3,0)*VLOOKUP('Données projet'!$B$12,Paramètres!$A$1:$I$89,5,0)</f>
        <v>-2.2168933355715128E-13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250.84814055099969</v>
      </c>
      <c r="CE125" s="62">
        <f t="shared" si="94"/>
        <v>226.15029417484465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3.4</v>
      </c>
      <c r="CT125" s="13">
        <f>IF('Données projet'!$A$140&gt;35,CT124+CS125-DB124,IF(A125&lt;'Données projet'!$A$140,$CQ$205^A125,IF(A125='Données projet'!$A$140,'Données projet'!$B$140,CT124+CS125-DB124)))</f>
        <v>290.79999999999939</v>
      </c>
      <c r="CU125" s="18">
        <f>CT125*VLOOKUP('Données projet'!$B$13,Paramètres!$A$1:$I$89,3,0)*VLOOKUP('Données projet'!$B$13,Paramètres!$A$1:$I$89,5,0)</f>
        <v>294.87119999999942</v>
      </c>
      <c r="CV125" s="14">
        <f t="shared" si="95"/>
        <v>70.100193324246931</v>
      </c>
      <c r="CW125" s="22">
        <f t="shared" si="67"/>
        <v>635.65851003972909</v>
      </c>
      <c r="CX125" s="62">
        <f t="shared" si="68"/>
        <v>928.99184337306247</v>
      </c>
      <c r="CY125" s="62">
        <f ca="1">AVERAGE(OFFSET($CX$3,0,0,'Données projet'!$E$13+1,1))-AVERAGE(OFFSET($H$3,0,0,'Données projet'!$E$13+1,1))</f>
        <v>385.00782828233201</v>
      </c>
      <c r="CZ125" s="62">
        <f t="shared" si="96"/>
        <v>216.22708298332475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406.66595862013173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327.17622590628559</v>
      </c>
      <c r="T126" s="62">
        <f t="shared" si="88"/>
        <v>379.61248288852113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6.1232844459517026E-13</v>
      </c>
      <c r="AC126" s="24">
        <f t="shared" si="57"/>
        <v>6.1232844459517026E-13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2.5</v>
      </c>
      <c r="AI126" s="14">
        <f>IF('Données projet'!$A$62&gt;35,AI125+AH126-AQ125,IF(A126&lt;'Données projet'!$A$62,$AF$205^A126,IF(A126='Données projet'!$A$62,'Données projet'!$B$62,AI125+AH126-AQ125)))</f>
        <v>227.00000000000011</v>
      </c>
      <c r="AJ126" s="14">
        <f>AI126*VLOOKUP('Données projet'!$B$10,Paramètres!$A$1:$I$89,3,0)*VLOOKUP('Données projet'!$B$10,Paramètres!$A$1:$I$89,5,0)</f>
        <v>237.26040000000015</v>
      </c>
      <c r="AK126" s="14">
        <f t="shared" si="89"/>
        <v>57.849698927879224</v>
      </c>
      <c r="AL126" s="22">
        <f t="shared" si="58"/>
        <v>513.98342229938999</v>
      </c>
      <c r="AM126" s="62">
        <f t="shared" si="59"/>
        <v>807.31675563272324</v>
      </c>
      <c r="AN126" s="62">
        <f ca="1">AVERAGE(OFFSET($AM$3,0,0,'Données projet'!$E$10+1,1))-AVERAGE(OFFSET($H$3,0,0,'Données projet'!$E$10+1,1))</f>
        <v>276.87402314479681</v>
      </c>
      <c r="AO126" s="62">
        <f t="shared" si="90"/>
        <v>125.27302863901997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9.2222762759774927E-14</v>
      </c>
      <c r="BF126" s="14">
        <f t="shared" si="91"/>
        <v>1.3985662224947967E-12</v>
      </c>
      <c r="BG126" s="22">
        <f t="shared" si="61"/>
        <v>2.5964574826517121E-12</v>
      </c>
      <c r="BH126" s="62">
        <f t="shared" si="62"/>
        <v>293.33333333333593</v>
      </c>
      <c r="BI126" s="62">
        <f ca="1">AVERAGE(OFFSET($BH$3,0,0,'Données projet'!$E$11+1,1))-AVERAGE(OFFSET($H$3,0,0,'Données projet'!$E$11+1,1))</f>
        <v>236.29093866505224</v>
      </c>
      <c r="BJ126" s="62">
        <f t="shared" si="92"/>
        <v>258.22911730540892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-2.8421709430404007E-13</v>
      </c>
      <c r="BZ126" s="14">
        <f>BY126*VLOOKUP('Données projet'!$B$12,Paramètres!$A$1:$I$89,3,0)*VLOOKUP('Données projet'!$B$12,Paramètres!$A$1:$I$89,5,0)</f>
        <v>-2.2168933355715128E-13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250.84814055099969</v>
      </c>
      <c r="CE126" s="62">
        <f t="shared" si="94"/>
        <v>226.15029417484465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3.4</v>
      </c>
      <c r="CT126" s="13">
        <f>IF('Données projet'!$A$140&gt;35,CT125+CS126-DB125,IF(A126&lt;'Données projet'!$A$140,$CQ$205^A126,IF(A126='Données projet'!$A$140,'Données projet'!$B$140,CT125+CS126-DB125)))</f>
        <v>294.19999999999936</v>
      </c>
      <c r="CU126" s="18">
        <f>CT126*VLOOKUP('Données projet'!$B$13,Paramètres!$A$1:$I$89,3,0)*VLOOKUP('Données projet'!$B$13,Paramètres!$A$1:$I$89,5,0)</f>
        <v>298.31879999999938</v>
      </c>
      <c r="CV126" s="14">
        <f t="shared" si="95"/>
        <v>70.823904189019785</v>
      </c>
      <c r="CW126" s="22">
        <f t="shared" si="67"/>
        <v>642.92354312920827</v>
      </c>
      <c r="CX126" s="62">
        <f t="shared" si="68"/>
        <v>936.25687646254164</v>
      </c>
      <c r="CY126" s="62">
        <f ca="1">AVERAGE(OFFSET($CX$3,0,0,'Données projet'!$E$13+1,1))-AVERAGE(OFFSET($H$3,0,0,'Données projet'!$E$13+1,1))</f>
        <v>385.00782828233201</v>
      </c>
      <c r="CZ126" s="62">
        <f t="shared" si="96"/>
        <v>216.22708298332475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407.85409314582705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327.17622590628559</v>
      </c>
      <c r="T127" s="62">
        <f t="shared" si="88"/>
        <v>379.61248288852113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4.3298159548665605E-13</v>
      </c>
      <c r="AC127" s="24">
        <f t="shared" si="57"/>
        <v>4.3298159548665605E-13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2.5</v>
      </c>
      <c r="AI127" s="14">
        <f>IF('Données projet'!$A$62&gt;35,AI126+AH127-AQ126,IF(A127&lt;'Données projet'!$A$62,$AF$205^A127,IF(A127='Données projet'!$A$62,'Données projet'!$B$62,AI126+AH127-AQ126)))</f>
        <v>229.50000000000011</v>
      </c>
      <c r="AJ127" s="14">
        <f>AI127*VLOOKUP('Données projet'!$B$10,Paramètres!$A$1:$I$89,3,0)*VLOOKUP('Données projet'!$B$10,Paramètres!$A$1:$I$89,5,0)</f>
        <v>239.87340000000012</v>
      </c>
      <c r="AK127" s="14">
        <f t="shared" si="89"/>
        <v>58.412291039093269</v>
      </c>
      <c r="AL127" s="22">
        <f t="shared" si="58"/>
        <v>519.51424522642094</v>
      </c>
      <c r="AM127" s="62">
        <f t="shared" si="59"/>
        <v>812.84757855975431</v>
      </c>
      <c r="AN127" s="62">
        <f ca="1">AVERAGE(OFFSET($AM$3,0,0,'Données projet'!$E$10+1,1))-AVERAGE(OFFSET($H$3,0,0,'Données projet'!$E$10+1,1))</f>
        <v>276.87402314479681</v>
      </c>
      <c r="AO127" s="62">
        <f t="shared" si="90"/>
        <v>125.27302863901997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9.2222762759774927E-14</v>
      </c>
      <c r="BF127" s="14">
        <f t="shared" si="91"/>
        <v>1.3985662224947967E-12</v>
      </c>
      <c r="BG127" s="22">
        <f t="shared" si="61"/>
        <v>2.5964574826517121E-12</v>
      </c>
      <c r="BH127" s="62">
        <f t="shared" si="62"/>
        <v>293.33333333333593</v>
      </c>
      <c r="BI127" s="62">
        <f ca="1">AVERAGE(OFFSET($BH$3,0,0,'Données projet'!$E$11+1,1))-AVERAGE(OFFSET($H$3,0,0,'Données projet'!$E$11+1,1))</f>
        <v>236.29093866505224</v>
      </c>
      <c r="BJ127" s="62">
        <f t="shared" si="92"/>
        <v>258.22911730540892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-2.8421709430404007E-13</v>
      </c>
      <c r="BZ127" s="14">
        <f>BY127*VLOOKUP('Données projet'!$B$12,Paramètres!$A$1:$I$89,3,0)*VLOOKUP('Données projet'!$B$12,Paramètres!$A$1:$I$89,5,0)</f>
        <v>-2.2168933355715128E-13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250.84814055099969</v>
      </c>
      <c r="CE127" s="62">
        <f t="shared" si="94"/>
        <v>226.15029417484465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3.4</v>
      </c>
      <c r="CT127" s="13">
        <f>IF('Données projet'!$A$140&gt;35,CT126+CS127-DB126,IF(A127&lt;'Données projet'!$A$140,$CQ$205^A127,IF(A127='Données projet'!$A$140,'Données projet'!$B$140,CT126+CS127-DB126)))</f>
        <v>297.59999999999934</v>
      </c>
      <c r="CU127" s="18">
        <f>CT127*VLOOKUP('Données projet'!$B$13,Paramètres!$A$1:$I$89,3,0)*VLOOKUP('Données projet'!$B$13,Paramètres!$A$1:$I$89,5,0)</f>
        <v>301.76639999999935</v>
      </c>
      <c r="CV127" s="14">
        <f t="shared" si="95"/>
        <v>71.546642144235236</v>
      </c>
      <c r="CW127" s="22">
        <f t="shared" si="67"/>
        <v>650.18688173454188</v>
      </c>
      <c r="CX127" s="62">
        <f t="shared" si="68"/>
        <v>943.52021506787514</v>
      </c>
      <c r="CY127" s="62">
        <f ca="1">AVERAGE(OFFSET($CX$3,0,0,'Données projet'!$E$13+1,1))-AVERAGE(OFFSET($H$3,0,0,'Données projet'!$E$13+1,1))</f>
        <v>385.00782828233201</v>
      </c>
      <c r="CZ127" s="62">
        <f t="shared" si="96"/>
        <v>216.22708298332475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409.04200512602915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327.17622590628559</v>
      </c>
      <c r="T128" s="62">
        <f t="shared" si="88"/>
        <v>379.61248288852113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3.0616422229758513E-13</v>
      </c>
      <c r="AC128" s="24">
        <f t="shared" si="57"/>
        <v>3.0616422229758513E-13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232</v>
      </c>
      <c r="AG128" s="13">
        <f>VLOOKUP(A128,'Données projet'!$A$61:$I$81,9,0)</f>
        <v>2.5</v>
      </c>
      <c r="AH128" s="13">
        <f t="array" ref="AH128">INDEX(AG:AG,MIN(IF(ISNUMBER(AG128:AG324),ROW(AG128:AG324),"")))</f>
        <v>2.5</v>
      </c>
      <c r="AI128" s="14">
        <f>IF('Données projet'!$A$62&gt;35,AI127+AH128-AQ127,IF(A128&lt;'Données projet'!$A$62,$AF$205^A128,IF(A128='Données projet'!$A$62,'Données projet'!$B$62,AI127+AH128-AQ127)))</f>
        <v>232.00000000000011</v>
      </c>
      <c r="AJ128" s="14">
        <f>AI128*VLOOKUP('Données projet'!$B$10,Paramètres!$A$1:$I$89,3,0)*VLOOKUP('Données projet'!$B$10,Paramètres!$A$1:$I$89,5,0)</f>
        <v>242.48640000000015</v>
      </c>
      <c r="AK128" s="14">
        <f t="shared" si="89"/>
        <v>58.974170235372476</v>
      </c>
      <c r="AL128" s="22">
        <f t="shared" si="58"/>
        <v>525.04382649327397</v>
      </c>
      <c r="AM128" s="62">
        <f t="shared" si="59"/>
        <v>818.37715982660734</v>
      </c>
      <c r="AN128" s="62">
        <f ca="1">AVERAGE(OFFSET($AM$3,0,0,'Données projet'!$E$10+1,1))-AVERAGE(OFFSET($H$3,0,0,'Données projet'!$E$10+1,1))</f>
        <v>276.87402314479681</v>
      </c>
      <c r="AO128" s="62">
        <f t="shared" si="90"/>
        <v>125.27302863901997</v>
      </c>
      <c r="AP128" s="16">
        <f>IF(ISNA(VLOOKUP(A128,'Données projet'!$A$61:$I$81,3,0)),0,VLOOKUP(A128,'Données projet'!$A$61:$I$81,3,0))</f>
        <v>10</v>
      </c>
      <c r="AQ128" s="16">
        <f>IF(ISNA(VLOOKUP(A128,'Données projet'!$A$61:$I$81,4,0)),0,VLOOKUP(A128,'Données projet'!$A$61:$I$81,4,0))</f>
        <v>23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9.2222762759774927E-14</v>
      </c>
      <c r="BF128" s="14">
        <f t="shared" si="91"/>
        <v>1.3985662224947967E-12</v>
      </c>
      <c r="BG128" s="22">
        <f t="shared" si="61"/>
        <v>2.5964574826517121E-12</v>
      </c>
      <c r="BH128" s="62">
        <f t="shared" si="62"/>
        <v>293.33333333333593</v>
      </c>
      <c r="BI128" s="62">
        <f ca="1">AVERAGE(OFFSET($BH$3,0,0,'Données projet'!$E$11+1,1))-AVERAGE(OFFSET($H$3,0,0,'Données projet'!$E$11+1,1))</f>
        <v>236.29093866505224</v>
      </c>
      <c r="BJ128" s="62">
        <f t="shared" si="92"/>
        <v>258.22911730540892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-2.8421709430404007E-13</v>
      </c>
      <c r="BZ128" s="14">
        <f>BY128*VLOOKUP('Données projet'!$B$12,Paramètres!$A$1:$I$89,3,0)*VLOOKUP('Données projet'!$B$12,Paramètres!$A$1:$I$89,5,0)</f>
        <v>-2.2168933355715128E-13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250.84814055099969</v>
      </c>
      <c r="CE128" s="62">
        <f t="shared" si="94"/>
        <v>226.15029417484465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301</v>
      </c>
      <c r="CR128" s="13">
        <f>VLOOKUP(A128,'Données projet'!$A$139:$I$159,9,0)</f>
        <v>3.4</v>
      </c>
      <c r="CS128" s="13">
        <f t="array" ref="CS128">INDEX(CR:CR,MIN(IF(ISNUMBER(CR128:CR324),ROW(CR128:CR324),"")))</f>
        <v>3.4</v>
      </c>
      <c r="CT128" s="13">
        <f>IF('Données projet'!$A$140&gt;35,CT127+CS128-DB127,IF(A128&lt;'Données projet'!$A$140,$CQ$205^A128,IF(A128='Données projet'!$A$140,'Données projet'!$B$140,CT127+CS128-DB127)))</f>
        <v>300.99999999999932</v>
      </c>
      <c r="CU128" s="18">
        <f>CT128*VLOOKUP('Données projet'!$B$13,Paramètres!$A$1:$I$89,3,0)*VLOOKUP('Données projet'!$B$13,Paramètres!$A$1:$I$89,5,0)</f>
        <v>305.21399999999932</v>
      </c>
      <c r="CV128" s="14">
        <f t="shared" si="95"/>
        <v>72.268419591231137</v>
      </c>
      <c r="CW128" s="22">
        <f t="shared" si="67"/>
        <v>657.44854745472628</v>
      </c>
      <c r="CX128" s="62">
        <f t="shared" si="68"/>
        <v>950.78188078805965</v>
      </c>
      <c r="CY128" s="62">
        <f ca="1">AVERAGE(OFFSET($CX$3,0,0,'Données projet'!$E$13+1,1))-AVERAGE(OFFSET($H$3,0,0,'Données projet'!$E$13+1,1))</f>
        <v>385.00782828233201</v>
      </c>
      <c r="CZ128" s="62">
        <f t="shared" si="96"/>
        <v>216.22708298332475</v>
      </c>
      <c r="DA128" s="16">
        <f>IF(ISNA(VLOOKUP(A128,'Données projet'!$A$139:$I$159,3,0)),0,VLOOKUP(A128,'Données projet'!$A$139:$I$159,3,0))</f>
        <v>11</v>
      </c>
      <c r="DB128" s="16">
        <f>IF(ISNA(VLOOKUP(A128,'Données projet'!$A$139:$I$159,4,0)),0,VLOOKUP(A128,'Données projet'!$A$139:$I$159,4,0))</f>
        <v>33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410.22969654745395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327.17622590628559</v>
      </c>
      <c r="T129" s="62">
        <f t="shared" si="88"/>
        <v>379.61248288852113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2.1649079774332803E-13</v>
      </c>
      <c r="AC129" s="24">
        <f t="shared" si="57"/>
        <v>2.1649079774332803E-13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</v>
      </c>
      <c r="AI129" s="14">
        <f>IF('Données projet'!$A$62&gt;35,AI128+AH129-AQ128,IF(A129&lt;'Données projet'!$A$62,$AF$205^A129,IF(A129='Données projet'!$A$62,'Données projet'!$B$62,AI128+AH129-AQ128)))</f>
        <v>211.00000000000011</v>
      </c>
      <c r="AJ129" s="14">
        <f>AI129*VLOOKUP('Données projet'!$B$10,Paramètres!$A$1:$I$89,3,0)*VLOOKUP('Données projet'!$B$10,Paramètres!$A$1:$I$89,5,0)</f>
        <v>220.53720000000015</v>
      </c>
      <c r="AK129" s="14">
        <f t="shared" si="89"/>
        <v>54.231626908561452</v>
      </c>
      <c r="AL129" s="22">
        <f t="shared" si="58"/>
        <v>478.55570686574475</v>
      </c>
      <c r="AM129" s="62">
        <f t="shared" si="59"/>
        <v>771.88904019907807</v>
      </c>
      <c r="AN129" s="62">
        <f ca="1">AVERAGE(OFFSET($AM$3,0,0,'Données projet'!$E$10+1,1))-AVERAGE(OFFSET($H$3,0,0,'Données projet'!$E$10+1,1))</f>
        <v>276.87402314479681</v>
      </c>
      <c r="AO129" s="62">
        <f t="shared" si="90"/>
        <v>125.27302863901997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9.2222762759774927E-14</v>
      </c>
      <c r="BF129" s="14">
        <f t="shared" si="91"/>
        <v>1.3985662224947967E-12</v>
      </c>
      <c r="BG129" s="22">
        <f t="shared" si="61"/>
        <v>2.5964574826517121E-12</v>
      </c>
      <c r="BH129" s="62">
        <f t="shared" si="62"/>
        <v>293.33333333333593</v>
      </c>
      <c r="BI129" s="62">
        <f ca="1">AVERAGE(OFFSET($BH$3,0,0,'Données projet'!$E$11+1,1))-AVERAGE(OFFSET($H$3,0,0,'Données projet'!$E$11+1,1))</f>
        <v>236.29093866505224</v>
      </c>
      <c r="BJ129" s="62">
        <f t="shared" si="92"/>
        <v>258.22911730540892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-2.8421709430404007E-13</v>
      </c>
      <c r="BZ129" s="14">
        <f>BY129*VLOOKUP('Données projet'!$B$12,Paramètres!$A$1:$I$89,3,0)*VLOOKUP('Données projet'!$B$12,Paramètres!$A$1:$I$89,5,0)</f>
        <v>-2.2168933355715128E-13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250.84814055099969</v>
      </c>
      <c r="CE129" s="62">
        <f t="shared" si="94"/>
        <v>226.15029417484465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</v>
      </c>
      <c r="CT129" s="13">
        <f>IF('Données projet'!$A$140&gt;35,CT128+CS129-DB128,IF(A129&lt;'Données projet'!$A$140,$CQ$205^A129,IF(A129='Données projet'!$A$140,'Données projet'!$B$140,CT128+CS129-DB128)))</f>
        <v>270.99999999999932</v>
      </c>
      <c r="CU129" s="18">
        <f>CT129*VLOOKUP('Données projet'!$B$13,Paramètres!$A$1:$I$89,3,0)*VLOOKUP('Données projet'!$B$13,Paramètres!$A$1:$I$89,5,0)</f>
        <v>274.7939999999993</v>
      </c>
      <c r="CV129" s="14">
        <f t="shared" si="95"/>
        <v>65.865632600455356</v>
      </c>
      <c r="CW129" s="22">
        <f t="shared" si="67"/>
        <v>593.31552677912521</v>
      </c>
      <c r="CX129" s="62">
        <f t="shared" si="68"/>
        <v>886.64886011245858</v>
      </c>
      <c r="CY129" s="62">
        <f ca="1">AVERAGE(OFFSET($CX$3,0,0,'Données projet'!$E$13+1,1))-AVERAGE(OFFSET($H$3,0,0,'Données projet'!$E$13+1,1))</f>
        <v>385.00782828233201</v>
      </c>
      <c r="CZ129" s="62">
        <f t="shared" si="96"/>
        <v>216.22708298332475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411.41716936346074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327.17622590628559</v>
      </c>
      <c r="T130" s="62">
        <f t="shared" si="88"/>
        <v>379.61248288852113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1.5308211114879257E-13</v>
      </c>
      <c r="AC130" s="24">
        <f t="shared" si="57"/>
        <v>1.5308211114879257E-13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</v>
      </c>
      <c r="AI130" s="14">
        <f>IF('Données projet'!$A$62&gt;35,AI129+AH130-AQ129,IF(A130&lt;'Données projet'!$A$62,$AF$205^A130,IF(A130='Données projet'!$A$62,'Données projet'!$B$62,AI129+AH130-AQ129)))</f>
        <v>213.00000000000011</v>
      </c>
      <c r="AJ130" s="14">
        <f>AI130*VLOOKUP('Données projet'!$B$10,Paramètres!$A$1:$I$89,3,0)*VLOOKUP('Données projet'!$B$10,Paramètres!$A$1:$I$89,5,0)</f>
        <v>222.62760000000014</v>
      </c>
      <c r="AK130" s="14">
        <f t="shared" si="89"/>
        <v>54.685586371535315</v>
      </c>
      <c r="AL130" s="22">
        <f t="shared" si="58"/>
        <v>482.9871329304242</v>
      </c>
      <c r="AM130" s="62">
        <f t="shared" si="59"/>
        <v>776.32046626375745</v>
      </c>
      <c r="AN130" s="62">
        <f ca="1">AVERAGE(OFFSET($AM$3,0,0,'Données projet'!$E$10+1,1))-AVERAGE(OFFSET($H$3,0,0,'Données projet'!$E$10+1,1))</f>
        <v>276.87402314479681</v>
      </c>
      <c r="AO130" s="62">
        <f t="shared" si="90"/>
        <v>125.27302863901997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9.2222762759774927E-14</v>
      </c>
      <c r="BF130" s="14">
        <f t="shared" si="91"/>
        <v>1.3985662224947967E-12</v>
      </c>
      <c r="BG130" s="22">
        <f t="shared" si="61"/>
        <v>2.5964574826517121E-12</v>
      </c>
      <c r="BH130" s="62">
        <f t="shared" si="62"/>
        <v>293.33333333333593</v>
      </c>
      <c r="BI130" s="62">
        <f ca="1">AVERAGE(OFFSET($BH$3,0,0,'Données projet'!$E$11+1,1))-AVERAGE(OFFSET($H$3,0,0,'Données projet'!$E$11+1,1))</f>
        <v>236.29093866505224</v>
      </c>
      <c r="BJ130" s="62">
        <f t="shared" si="92"/>
        <v>258.22911730540892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-2.8421709430404007E-13</v>
      </c>
      <c r="BZ130" s="14">
        <f>BY130*VLOOKUP('Données projet'!$B$12,Paramètres!$A$1:$I$89,3,0)*VLOOKUP('Données projet'!$B$12,Paramètres!$A$1:$I$89,5,0)</f>
        <v>-2.2168933355715128E-13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250.84814055099969</v>
      </c>
      <c r="CE130" s="62">
        <f t="shared" si="94"/>
        <v>226.15029417484465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</v>
      </c>
      <c r="CT130" s="13">
        <f>IF('Données projet'!$A$140&gt;35,CT129+CS130-DB129,IF(A130&lt;'Données projet'!$A$140,$CQ$205^A130,IF(A130='Données projet'!$A$140,'Données projet'!$B$140,CT129+CS130-DB129)))</f>
        <v>273.99999999999932</v>
      </c>
      <c r="CU130" s="18">
        <f>CT130*VLOOKUP('Données projet'!$B$13,Paramètres!$A$1:$I$89,3,0)*VLOOKUP('Données projet'!$B$13,Paramètres!$A$1:$I$89,5,0)</f>
        <v>277.83599999999933</v>
      </c>
      <c r="CV130" s="14">
        <f t="shared" si="95"/>
        <v>66.509487177652147</v>
      </c>
      <c r="CW130" s="22">
        <f t="shared" si="67"/>
        <v>599.73505683440965</v>
      </c>
      <c r="CX130" s="62">
        <f t="shared" si="68"/>
        <v>893.06839016774302</v>
      </c>
      <c r="CY130" s="62">
        <f ca="1">AVERAGE(OFFSET($CX$3,0,0,'Données projet'!$E$13+1,1))-AVERAGE(OFFSET($H$3,0,0,'Données projet'!$E$13+1,1))</f>
        <v>385.00782828233201</v>
      </c>
      <c r="CZ130" s="62">
        <f t="shared" si="96"/>
        <v>216.22708298332475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412.60442549487129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327.17622590628559</v>
      </c>
      <c r="T131" s="62">
        <f t="shared" si="88"/>
        <v>379.61248288852113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1.0824539887166401E-13</v>
      </c>
      <c r="AC131" s="24">
        <f t="shared" si="57"/>
        <v>1.0824539887166401E-13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</v>
      </c>
      <c r="AI131" s="14">
        <f>IF('Données projet'!$A$62&gt;35,AI130+AH131-AQ130,IF(A131&lt;'Données projet'!$A$62,$AF$205^A131,IF(A131='Données projet'!$A$62,'Données projet'!$B$62,AI130+AH131-AQ130)))</f>
        <v>215.00000000000011</v>
      </c>
      <c r="AJ131" s="14">
        <f>AI131*VLOOKUP('Données projet'!$B$10,Paramètres!$A$1:$I$89,3,0)*VLOOKUP('Données projet'!$B$10,Paramètres!$A$1:$I$89,5,0)</f>
        <v>224.71800000000016</v>
      </c>
      <c r="AK131" s="14">
        <f t="shared" si="89"/>
        <v>55.13904993933204</v>
      </c>
      <c r="AL131" s="22">
        <f t="shared" si="58"/>
        <v>487.41769531100363</v>
      </c>
      <c r="AM131" s="62">
        <f t="shared" si="59"/>
        <v>780.75102864433688</v>
      </c>
      <c r="AN131" s="62">
        <f ca="1">AVERAGE(OFFSET($AM$3,0,0,'Données projet'!$E$10+1,1))-AVERAGE(OFFSET($H$3,0,0,'Données projet'!$E$10+1,1))</f>
        <v>276.87402314479681</v>
      </c>
      <c r="AO131" s="62">
        <f t="shared" si="90"/>
        <v>125.27302863901997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9.2222762759774927E-14</v>
      </c>
      <c r="BF131" s="14">
        <f t="shared" si="91"/>
        <v>1.3985662224947967E-12</v>
      </c>
      <c r="BG131" s="22">
        <f t="shared" si="61"/>
        <v>2.5964574826517121E-12</v>
      </c>
      <c r="BH131" s="62">
        <f t="shared" si="62"/>
        <v>293.33333333333593</v>
      </c>
      <c r="BI131" s="62">
        <f ca="1">AVERAGE(OFFSET($BH$3,0,0,'Données projet'!$E$11+1,1))-AVERAGE(OFFSET($H$3,0,0,'Données projet'!$E$11+1,1))</f>
        <v>236.29093866505224</v>
      </c>
      <c r="BJ131" s="62">
        <f t="shared" si="92"/>
        <v>258.22911730540892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-2.8421709430404007E-13</v>
      </c>
      <c r="BZ131" s="14">
        <f>BY131*VLOOKUP('Données projet'!$B$12,Paramètres!$A$1:$I$89,3,0)*VLOOKUP('Données projet'!$B$12,Paramètres!$A$1:$I$89,5,0)</f>
        <v>-2.2168933355715128E-13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250.84814055099969</v>
      </c>
      <c r="CE131" s="62">
        <f t="shared" si="94"/>
        <v>226.15029417484465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</v>
      </c>
      <c r="CT131" s="13">
        <f>IF('Données projet'!$A$140&gt;35,CT130+CS131-DB130,IF(A131&lt;'Données projet'!$A$140,$CQ$205^A131,IF(A131='Données projet'!$A$140,'Données projet'!$B$140,CT130+CS131-DB130)))</f>
        <v>276.99999999999932</v>
      </c>
      <c r="CU131" s="18">
        <f>CT131*VLOOKUP('Données projet'!$B$13,Paramètres!$A$1:$I$89,3,0)*VLOOKUP('Données projet'!$B$13,Paramètres!$A$1:$I$89,5,0)</f>
        <v>280.8779999999993</v>
      </c>
      <c r="CV131" s="14">
        <f t="shared" si="95"/>
        <v>67.152521698072178</v>
      </c>
      <c r="CW131" s="22">
        <f t="shared" si="67"/>
        <v>606.15315862414116</v>
      </c>
      <c r="CX131" s="62">
        <f t="shared" si="68"/>
        <v>899.48649195747453</v>
      </c>
      <c r="CY131" s="62">
        <f ca="1">AVERAGE(OFFSET($CX$3,0,0,'Données projet'!$E$13+1,1))-AVERAGE(OFFSET($H$3,0,0,'Données projet'!$E$13+1,1))</f>
        <v>385.00782828233201</v>
      </c>
      <c r="CZ131" s="62">
        <f t="shared" si="96"/>
        <v>216.22708298332475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413.79146683076101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327.17622590628559</v>
      </c>
      <c r="T132" s="62">
        <f t="shared" si="88"/>
        <v>379.61248288852113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7.6541055574396283E-14</v>
      </c>
      <c r="AC132" s="24">
        <f t="shared" ref="AC132:AC153" si="111">SUM(Z132:AB132)</f>
        <v>7.6541055574396283E-14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</v>
      </c>
      <c r="AI132" s="14">
        <f>IF('Données projet'!$A$62&gt;35,AI131+AH132-AQ131,IF(A132&lt;'Données projet'!$A$62,$AF$205^A132,IF(A132='Données projet'!$A$62,'Données projet'!$B$62,AI131+AH132-AQ131)))</f>
        <v>217.00000000000011</v>
      </c>
      <c r="AJ132" s="14">
        <f>AI132*VLOOKUP('Données projet'!$B$10,Paramètres!$A$1:$I$89,3,0)*VLOOKUP('Données projet'!$B$10,Paramètres!$A$1:$I$89,5,0)</f>
        <v>226.80840000000012</v>
      </c>
      <c r="AK132" s="14">
        <f t="shared" si="89"/>
        <v>55.592022759242624</v>
      </c>
      <c r="AL132" s="22">
        <f t="shared" ref="AL132:AL153" si="112">(AJ132+AK132)*0.475*44/12</f>
        <v>491.84740297234777</v>
      </c>
      <c r="AM132" s="62">
        <f t="shared" ref="AM132:AM195" si="113">AL132+(AD132+AE132)*44/12</f>
        <v>785.18073630568108</v>
      </c>
      <c r="AN132" s="62">
        <f ca="1">AVERAGE(OFFSET($AM$3,0,0,'Données projet'!$E$10+1,1))-AVERAGE(OFFSET($H$3,0,0,'Données projet'!$E$10+1,1))</f>
        <v>276.87402314479681</v>
      </c>
      <c r="AO132" s="62">
        <f t="shared" si="90"/>
        <v>125.27302863901997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9.2222762759774927E-14</v>
      </c>
      <c r="BF132" s="14">
        <f t="shared" si="91"/>
        <v>1.3985662224947967E-12</v>
      </c>
      <c r="BG132" s="22">
        <f t="shared" ref="BG132:BG153" si="115">(BE132+BF132)*0.475*44/12</f>
        <v>2.5964574826517121E-12</v>
      </c>
      <c r="BH132" s="62">
        <f t="shared" ref="BH132:BH195" si="116">BG132+(AY132+AZ132)*44/12</f>
        <v>293.33333333333593</v>
      </c>
      <c r="BI132" s="62">
        <f ca="1">AVERAGE(OFFSET($BH$3,0,0,'Données projet'!$E$11+1,1))-AVERAGE(OFFSET($H$3,0,0,'Données projet'!$E$11+1,1))</f>
        <v>236.29093866505224</v>
      </c>
      <c r="BJ132" s="62">
        <f t="shared" si="92"/>
        <v>258.22911730540892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-2.8421709430404007E-13</v>
      </c>
      <c r="BZ132" s="14">
        <f>BY132*VLOOKUP('Données projet'!$B$12,Paramètres!$A$1:$I$89,3,0)*VLOOKUP('Données projet'!$B$12,Paramètres!$A$1:$I$89,5,0)</f>
        <v>-2.2168933355715128E-13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250.84814055099969</v>
      </c>
      <c r="CE132" s="62">
        <f t="shared" si="94"/>
        <v>226.15029417484465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</v>
      </c>
      <c r="CT132" s="13">
        <f>IF('Données projet'!$A$140&gt;35,CT131+CS132-DB131,IF(A132&lt;'Données projet'!$A$140,$CQ$205^A132,IF(A132='Données projet'!$A$140,'Données projet'!$B$140,CT131+CS132-DB131)))</f>
        <v>279.99999999999932</v>
      </c>
      <c r="CU132" s="18">
        <f>CT132*VLOOKUP('Données projet'!$B$13,Paramètres!$A$1:$I$89,3,0)*VLOOKUP('Données projet'!$B$13,Paramètres!$A$1:$I$89,5,0)</f>
        <v>283.91999999999933</v>
      </c>
      <c r="CV132" s="14">
        <f t="shared" si="95"/>
        <v>67.794746071143507</v>
      </c>
      <c r="CW132" s="22">
        <f t="shared" ref="CW132:CW153" si="121">(CU132+CV132)*0.475*44/12</f>
        <v>612.56984940724044</v>
      </c>
      <c r="CX132" s="62">
        <f t="shared" ref="CX132:CX195" si="122">CW132+(CO132+CP132)*44/12</f>
        <v>905.90318274057381</v>
      </c>
      <c r="CY132" s="62">
        <f ca="1">AVERAGE(OFFSET($CX$3,0,0,'Données projet'!$E$13+1,1))-AVERAGE(OFFSET($H$3,0,0,'Données projet'!$E$13+1,1))</f>
        <v>385.00782828233201</v>
      </c>
      <c r="CZ132" s="62">
        <f t="shared" si="96"/>
        <v>216.22708298332475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414.97829522922581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327.17622590628559</v>
      </c>
      <c r="T133" s="62">
        <f t="shared" ref="T133:T196" si="142">$T$3</f>
        <v>379.61248288852113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5.4122699435832007E-14</v>
      </c>
      <c r="AC133" s="24">
        <f t="shared" si="111"/>
        <v>5.4122699435832007E-14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2</v>
      </c>
      <c r="AI133" s="14">
        <f>IF('Données projet'!$A$62&gt;35,AI132+AH133-AQ132,IF(A133&lt;'Données projet'!$A$62,$AF$205^A133,IF(A133='Données projet'!$A$62,'Données projet'!$B$62,AI132+AH133-AQ132)))</f>
        <v>219.00000000000011</v>
      </c>
      <c r="AJ133" s="14">
        <f>AI133*VLOOKUP('Données projet'!$B$10,Paramètres!$A$1:$I$89,3,0)*VLOOKUP('Données projet'!$B$10,Paramètres!$A$1:$I$89,5,0)</f>
        <v>228.89880000000014</v>
      </c>
      <c r="AK133" s="14">
        <f t="shared" ref="AK133:AK153" si="143">EXP(-1.0587+0.8836*LN(AJ133)+0.284)</f>
        <v>56.044509878204714</v>
      </c>
      <c r="AL133" s="22">
        <f t="shared" si="112"/>
        <v>496.2762647045401</v>
      </c>
      <c r="AM133" s="62">
        <f t="shared" si="113"/>
        <v>789.60959803787341</v>
      </c>
      <c r="AN133" s="62">
        <f ca="1">AVERAGE(OFFSET($AM$3,0,0,'Données projet'!$E$10+1,1))-AVERAGE(OFFSET($H$3,0,0,'Données projet'!$E$10+1,1))</f>
        <v>276.87402314479681</v>
      </c>
      <c r="AO133" s="62">
        <f t="shared" ref="AO133:AO196" si="144">$AO$3</f>
        <v>125.27302863901997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9.2222762759774927E-14</v>
      </c>
      <c r="BF133" s="14">
        <f t="shared" ref="BF133:BF153" si="145">EXP(-1.0587+0.8836*LN(BE133)+0.284)</f>
        <v>1.3985662224947967E-12</v>
      </c>
      <c r="BG133" s="22">
        <f t="shared" si="115"/>
        <v>2.5964574826517121E-12</v>
      </c>
      <c r="BH133" s="62">
        <f t="shared" si="116"/>
        <v>293.33333333333593</v>
      </c>
      <c r="BI133" s="62">
        <f ca="1">AVERAGE(OFFSET($BH$3,0,0,'Données projet'!$E$11+1,1))-AVERAGE(OFFSET($H$3,0,0,'Données projet'!$E$11+1,1))</f>
        <v>236.29093866505224</v>
      </c>
      <c r="BJ133" s="62">
        <f t="shared" ref="BJ133:BJ196" si="146">$BJ$3</f>
        <v>258.22911730540892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-2.8421709430404007E-13</v>
      </c>
      <c r="BZ133" s="14">
        <f>BY133*VLOOKUP('Données projet'!$B$12,Paramètres!$A$1:$I$89,3,0)*VLOOKUP('Données projet'!$B$12,Paramètres!$A$1:$I$89,5,0)</f>
        <v>-2.2168933355715128E-13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250.84814055099969</v>
      </c>
      <c r="CE133" s="62">
        <f t="shared" ref="CE133:CE196" si="148">$CE$3</f>
        <v>226.15029417484465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3</v>
      </c>
      <c r="CT133" s="13">
        <f>IF('Données projet'!$A$140&gt;35,CT132+CS133-DB132,IF(A133&lt;'Données projet'!$A$140,$CQ$205^A133,IF(A133='Données projet'!$A$140,'Données projet'!$B$140,CT132+CS133-DB132)))</f>
        <v>282.99999999999932</v>
      </c>
      <c r="CU133" s="18">
        <f>CT133*VLOOKUP('Données projet'!$B$13,Paramètres!$A$1:$I$89,3,0)*VLOOKUP('Données projet'!$B$13,Paramètres!$A$1:$I$89,5,0)</f>
        <v>286.96199999999931</v>
      </c>
      <c r="CV133" s="14">
        <f t="shared" ref="CV133:CV153" si="149">EXP(-1.0587+0.8836*LN(CU133)+0.284)</f>
        <v>68.436169981717669</v>
      </c>
      <c r="CW133" s="22">
        <f t="shared" si="121"/>
        <v>618.98514605149035</v>
      </c>
      <c r="CX133" s="62">
        <f t="shared" si="122"/>
        <v>912.3184793848236</v>
      </c>
      <c r="CY133" s="62">
        <f ca="1">AVERAGE(OFFSET($CX$3,0,0,'Données projet'!$E$13+1,1))-AVERAGE(OFFSET($H$3,0,0,'Données projet'!$E$13+1,1))</f>
        <v>385.00782828233201</v>
      </c>
      <c r="CZ133" s="62">
        <f t="shared" ref="CZ133:CZ196" si="150">$CZ$3</f>
        <v>216.22708298332475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416.16491251812465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327.17622590628559</v>
      </c>
      <c r="T134" s="62">
        <f t="shared" si="142"/>
        <v>379.61248288852113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3.8270527787198141E-14</v>
      </c>
      <c r="AC134" s="24">
        <f t="shared" si="111"/>
        <v>3.8270527787198141E-14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</v>
      </c>
      <c r="AI134" s="14">
        <f>IF('Données projet'!$A$62&gt;35,AI133+AH134-AQ133,IF(A134&lt;'Données projet'!$A$62,$AF$205^A134,IF(A134='Données projet'!$A$62,'Données projet'!$B$62,AI133+AH134-AQ133)))</f>
        <v>221.00000000000011</v>
      </c>
      <c r="AJ134" s="14">
        <f>AI134*VLOOKUP('Données projet'!$B$10,Paramètres!$A$1:$I$89,3,0)*VLOOKUP('Données projet'!$B$10,Paramètres!$A$1:$I$89,5,0)</f>
        <v>230.98920000000012</v>
      </c>
      <c r="AK134" s="14">
        <f t="shared" si="143"/>
        <v>56.496516245657276</v>
      </c>
      <c r="AL134" s="22">
        <f t="shared" si="112"/>
        <v>500.7042891278532</v>
      </c>
      <c r="AM134" s="62">
        <f t="shared" si="113"/>
        <v>794.03762246118652</v>
      </c>
      <c r="AN134" s="62">
        <f ca="1">AVERAGE(OFFSET($AM$3,0,0,'Données projet'!$E$10+1,1))-AVERAGE(OFFSET($H$3,0,0,'Données projet'!$E$10+1,1))</f>
        <v>276.87402314479681</v>
      </c>
      <c r="AO134" s="62">
        <f t="shared" si="144"/>
        <v>125.27302863901997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9.2222762759774927E-14</v>
      </c>
      <c r="BF134" s="14">
        <f t="shared" si="145"/>
        <v>1.3985662224947967E-12</v>
      </c>
      <c r="BG134" s="22">
        <f t="shared" si="115"/>
        <v>2.5964574826517121E-12</v>
      </c>
      <c r="BH134" s="62">
        <f t="shared" si="116"/>
        <v>293.33333333333593</v>
      </c>
      <c r="BI134" s="62">
        <f ca="1">AVERAGE(OFFSET($BH$3,0,0,'Données projet'!$E$11+1,1))-AVERAGE(OFFSET($H$3,0,0,'Données projet'!$E$11+1,1))</f>
        <v>236.29093866505224</v>
      </c>
      <c r="BJ134" s="62">
        <f t="shared" si="146"/>
        <v>258.22911730540892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-2.8421709430404007E-13</v>
      </c>
      <c r="BZ134" s="14">
        <f>BY134*VLOOKUP('Données projet'!$B$12,Paramètres!$A$1:$I$89,3,0)*VLOOKUP('Données projet'!$B$12,Paramètres!$A$1:$I$89,5,0)</f>
        <v>-2.2168933355715128E-13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250.84814055099969</v>
      </c>
      <c r="CE134" s="62">
        <f t="shared" si="148"/>
        <v>226.15029417484465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</v>
      </c>
      <c r="CT134" s="13">
        <f>IF('Données projet'!$A$140&gt;35,CT133+CS134-DB133,IF(A134&lt;'Données projet'!$A$140,$CQ$205^A134,IF(A134='Données projet'!$A$140,'Données projet'!$B$140,CT133+CS134-DB133)))</f>
        <v>285.99999999999932</v>
      </c>
      <c r="CU134" s="18">
        <f>CT134*VLOOKUP('Données projet'!$B$13,Paramètres!$A$1:$I$89,3,0)*VLOOKUP('Données projet'!$B$13,Paramètres!$A$1:$I$89,5,0)</f>
        <v>290.00399999999934</v>
      </c>
      <c r="CV134" s="14">
        <f t="shared" si="149"/>
        <v>69.076802897485763</v>
      </c>
      <c r="CW134" s="22">
        <f t="shared" si="121"/>
        <v>625.39906504645319</v>
      </c>
      <c r="CX134" s="62">
        <f t="shared" si="122"/>
        <v>918.73239837978645</v>
      </c>
      <c r="CY134" s="62">
        <f ca="1">AVERAGE(OFFSET($CX$3,0,0,'Données projet'!$E$13+1,1))-AVERAGE(OFFSET($H$3,0,0,'Données projet'!$E$13+1,1))</f>
        <v>385.00782828233201</v>
      </c>
      <c r="CZ134" s="62">
        <f t="shared" si="150"/>
        <v>216.22708298332475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417.35132049579823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327.17622590628559</v>
      </c>
      <c r="T135" s="62">
        <f t="shared" si="142"/>
        <v>379.61248288852113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2.7061349717916003E-14</v>
      </c>
      <c r="AC135" s="24">
        <f t="shared" si="111"/>
        <v>2.7061349717916003E-14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</v>
      </c>
      <c r="AI135" s="14">
        <f>IF('Données projet'!$A$62&gt;35,AI134+AH135-AQ134,IF(A135&lt;'Données projet'!$A$62,$AF$205^A135,IF(A135='Données projet'!$A$62,'Données projet'!$B$62,AI134+AH135-AQ134)))</f>
        <v>223.00000000000011</v>
      </c>
      <c r="AJ135" s="14">
        <f>AI135*VLOOKUP('Données projet'!$B$10,Paramètres!$A$1:$I$89,3,0)*VLOOKUP('Données projet'!$B$10,Paramètres!$A$1:$I$89,5,0)</f>
        <v>233.07960000000014</v>
      </c>
      <c r="AK135" s="14">
        <f t="shared" si="143"/>
        <v>56.948046716289092</v>
      </c>
      <c r="AL135" s="22">
        <f t="shared" si="112"/>
        <v>505.13148469753702</v>
      </c>
      <c r="AM135" s="62">
        <f t="shared" si="113"/>
        <v>798.46481803087033</v>
      </c>
      <c r="AN135" s="62">
        <f ca="1">AVERAGE(OFFSET($AM$3,0,0,'Données projet'!$E$10+1,1))-AVERAGE(OFFSET($H$3,0,0,'Données projet'!$E$10+1,1))</f>
        <v>276.87402314479681</v>
      </c>
      <c r="AO135" s="62">
        <f t="shared" si="144"/>
        <v>125.27302863901997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9.2222762759774927E-14</v>
      </c>
      <c r="BF135" s="14">
        <f t="shared" si="145"/>
        <v>1.3985662224947967E-12</v>
      </c>
      <c r="BG135" s="22">
        <f t="shared" si="115"/>
        <v>2.5964574826517121E-12</v>
      </c>
      <c r="BH135" s="62">
        <f t="shared" si="116"/>
        <v>293.33333333333593</v>
      </c>
      <c r="BI135" s="62">
        <f ca="1">AVERAGE(OFFSET($BH$3,0,0,'Données projet'!$E$11+1,1))-AVERAGE(OFFSET($H$3,0,0,'Données projet'!$E$11+1,1))</f>
        <v>236.29093866505224</v>
      </c>
      <c r="BJ135" s="62">
        <f t="shared" si="146"/>
        <v>258.22911730540892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-2.8421709430404007E-13</v>
      </c>
      <c r="BZ135" s="14">
        <f>BY135*VLOOKUP('Données projet'!$B$12,Paramètres!$A$1:$I$89,3,0)*VLOOKUP('Données projet'!$B$12,Paramètres!$A$1:$I$89,5,0)</f>
        <v>-2.2168933355715128E-13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250.84814055099969</v>
      </c>
      <c r="CE135" s="62">
        <f t="shared" si="148"/>
        <v>226.15029417484465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</v>
      </c>
      <c r="CT135" s="13">
        <f>IF('Données projet'!$A$140&gt;35,CT134+CS135-DB134,IF(A135&lt;'Données projet'!$A$140,$CQ$205^A135,IF(A135='Données projet'!$A$140,'Données projet'!$B$140,CT134+CS135-DB134)))</f>
        <v>288.99999999999932</v>
      </c>
      <c r="CU135" s="18">
        <f>CT135*VLOOKUP('Données projet'!$B$13,Paramètres!$A$1:$I$89,3,0)*VLOOKUP('Données projet'!$B$13,Paramètres!$A$1:$I$89,5,0)</f>
        <v>293.04599999999931</v>
      </c>
      <c r="CV135" s="14">
        <f t="shared" si="149"/>
        <v>69.716654076072487</v>
      </c>
      <c r="CW135" s="22">
        <f t="shared" si="121"/>
        <v>631.81162251582498</v>
      </c>
      <c r="CX135" s="62">
        <f t="shared" si="122"/>
        <v>925.14495584915835</v>
      </c>
      <c r="CY135" s="62">
        <f ca="1">AVERAGE(OFFSET($CX$3,0,0,'Données projet'!$E$13+1,1))-AVERAGE(OFFSET($H$3,0,0,'Données projet'!$E$13+1,1))</f>
        <v>385.00782828233201</v>
      </c>
      <c r="CZ135" s="62">
        <f t="shared" si="150"/>
        <v>216.22708298332475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418.5375209317657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327.17622590628559</v>
      </c>
      <c r="T136" s="62">
        <f t="shared" si="142"/>
        <v>379.61248288852113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1.9135263893599071E-14</v>
      </c>
      <c r="AC136" s="24">
        <f t="shared" si="111"/>
        <v>1.9135263893599071E-14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</v>
      </c>
      <c r="AI136" s="14">
        <f>IF('Données projet'!$A$62&gt;35,AI135+AH136-AQ135,IF(A136&lt;'Données projet'!$A$62,$AF$205^A136,IF(A136='Données projet'!$A$62,'Données projet'!$B$62,AI135+AH136-AQ135)))</f>
        <v>225.00000000000011</v>
      </c>
      <c r="AJ136" s="14">
        <f>AI136*VLOOKUP('Données projet'!$B$10,Paramètres!$A$1:$I$89,3,0)*VLOOKUP('Données projet'!$B$10,Paramètres!$A$1:$I$89,5,0)</f>
        <v>235.17000000000013</v>
      </c>
      <c r="AK136" s="14">
        <f t="shared" si="143"/>
        <v>57.399106052685539</v>
      </c>
      <c r="AL136" s="22">
        <f t="shared" si="112"/>
        <v>509.55785970842754</v>
      </c>
      <c r="AM136" s="62">
        <f t="shared" si="113"/>
        <v>802.89119304176086</v>
      </c>
      <c r="AN136" s="62">
        <f ca="1">AVERAGE(OFFSET($AM$3,0,0,'Données projet'!$E$10+1,1))-AVERAGE(OFFSET($H$3,0,0,'Données projet'!$E$10+1,1))</f>
        <v>276.87402314479681</v>
      </c>
      <c r="AO136" s="62">
        <f t="shared" si="144"/>
        <v>125.27302863901997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9.2222762759774927E-14</v>
      </c>
      <c r="BF136" s="14">
        <f t="shared" si="145"/>
        <v>1.3985662224947967E-12</v>
      </c>
      <c r="BG136" s="22">
        <f t="shared" si="115"/>
        <v>2.5964574826517121E-12</v>
      </c>
      <c r="BH136" s="62">
        <f t="shared" si="116"/>
        <v>293.33333333333593</v>
      </c>
      <c r="BI136" s="62">
        <f ca="1">AVERAGE(OFFSET($BH$3,0,0,'Données projet'!$E$11+1,1))-AVERAGE(OFFSET($H$3,0,0,'Données projet'!$E$11+1,1))</f>
        <v>236.29093866505224</v>
      </c>
      <c r="BJ136" s="62">
        <f t="shared" si="146"/>
        <v>258.22911730540892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-2.8421709430404007E-13</v>
      </c>
      <c r="BZ136" s="14">
        <f>BY136*VLOOKUP('Données projet'!$B$12,Paramètres!$A$1:$I$89,3,0)*VLOOKUP('Données projet'!$B$12,Paramètres!$A$1:$I$89,5,0)</f>
        <v>-2.2168933355715128E-13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250.84814055099969</v>
      </c>
      <c r="CE136" s="62">
        <f t="shared" si="148"/>
        <v>226.15029417484465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</v>
      </c>
      <c r="CT136" s="13">
        <f>IF('Données projet'!$A$140&gt;35,CT135+CS136-DB135,IF(A136&lt;'Données projet'!$A$140,$CQ$205^A136,IF(A136='Données projet'!$A$140,'Données projet'!$B$140,CT135+CS136-DB135)))</f>
        <v>291.99999999999932</v>
      </c>
      <c r="CU136" s="18">
        <f>CT136*VLOOKUP('Données projet'!$B$13,Paramètres!$A$1:$I$89,3,0)*VLOOKUP('Données projet'!$B$13,Paramètres!$A$1:$I$89,5,0)</f>
        <v>296.08799999999934</v>
      </c>
      <c r="CV136" s="14">
        <f t="shared" si="149"/>
        <v>70.355732571828923</v>
      </c>
      <c r="CW136" s="22">
        <f t="shared" si="121"/>
        <v>638.22283422926751</v>
      </c>
      <c r="CX136" s="62">
        <f t="shared" si="122"/>
        <v>931.55616756260088</v>
      </c>
      <c r="CY136" s="62">
        <f ca="1">AVERAGE(OFFSET($CX$3,0,0,'Données projet'!$E$13+1,1))-AVERAGE(OFFSET($H$3,0,0,'Données projet'!$E$13+1,1))</f>
        <v>385.00782828233201</v>
      </c>
      <c r="CZ136" s="62">
        <f t="shared" si="150"/>
        <v>216.22708298332475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419.72351556739994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327.17622590628559</v>
      </c>
      <c r="T137" s="62">
        <f t="shared" si="142"/>
        <v>379.61248288852113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1.3530674858958002E-14</v>
      </c>
      <c r="AC137" s="24">
        <f t="shared" si="111"/>
        <v>1.3530674858958002E-14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</v>
      </c>
      <c r="AI137" s="14">
        <f>IF('Données projet'!$A$62&gt;35,AI136+AH137-AQ136,IF(A137&lt;'Données projet'!$A$62,$AF$205^A137,IF(A137='Données projet'!$A$62,'Données projet'!$B$62,AI136+AH137-AQ136)))</f>
        <v>227.00000000000011</v>
      </c>
      <c r="AJ137" s="14">
        <f>AI137*VLOOKUP('Données projet'!$B$10,Paramètres!$A$1:$I$89,3,0)*VLOOKUP('Données projet'!$B$10,Paramètres!$A$1:$I$89,5,0)</f>
        <v>237.26040000000015</v>
      </c>
      <c r="AK137" s="14">
        <f t="shared" si="143"/>
        <v>57.849698927879224</v>
      </c>
      <c r="AL137" s="22">
        <f t="shared" si="112"/>
        <v>513.98342229938999</v>
      </c>
      <c r="AM137" s="62">
        <f t="shared" si="113"/>
        <v>807.31675563272324</v>
      </c>
      <c r="AN137" s="62">
        <f ca="1">AVERAGE(OFFSET($AM$3,0,0,'Données projet'!$E$10+1,1))-AVERAGE(OFFSET($H$3,0,0,'Données projet'!$E$10+1,1))</f>
        <v>276.87402314479681</v>
      </c>
      <c r="AO137" s="62">
        <f t="shared" si="144"/>
        <v>125.27302863901997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9.2222762759774927E-14</v>
      </c>
      <c r="BF137" s="14">
        <f t="shared" si="145"/>
        <v>1.3985662224947967E-12</v>
      </c>
      <c r="BG137" s="22">
        <f t="shared" si="115"/>
        <v>2.5964574826517121E-12</v>
      </c>
      <c r="BH137" s="62">
        <f t="shared" si="116"/>
        <v>293.33333333333593</v>
      </c>
      <c r="BI137" s="62">
        <f ca="1">AVERAGE(OFFSET($BH$3,0,0,'Données projet'!$E$11+1,1))-AVERAGE(OFFSET($H$3,0,0,'Données projet'!$E$11+1,1))</f>
        <v>236.29093866505224</v>
      </c>
      <c r="BJ137" s="62">
        <f t="shared" si="146"/>
        <v>258.22911730540892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-2.8421709430404007E-13</v>
      </c>
      <c r="BZ137" s="14">
        <f>BY137*VLOOKUP('Données projet'!$B$12,Paramètres!$A$1:$I$89,3,0)*VLOOKUP('Données projet'!$B$12,Paramètres!$A$1:$I$89,5,0)</f>
        <v>-2.2168933355715128E-13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250.84814055099969</v>
      </c>
      <c r="CE137" s="62">
        <f t="shared" si="148"/>
        <v>226.15029417484465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</v>
      </c>
      <c r="CT137" s="13">
        <f>IF('Données projet'!$A$140&gt;35,CT136+CS137-DB136,IF(A137&lt;'Données projet'!$A$140,$CQ$205^A137,IF(A137='Données projet'!$A$140,'Données projet'!$B$140,CT136+CS137-DB136)))</f>
        <v>294.99999999999932</v>
      </c>
      <c r="CU137" s="18">
        <f>CT137*VLOOKUP('Données projet'!$B$13,Paramètres!$A$1:$I$89,3,0)*VLOOKUP('Données projet'!$B$13,Paramètres!$A$1:$I$89,5,0)</f>
        <v>299.12999999999937</v>
      </c>
      <c r="CV137" s="14">
        <f t="shared" si="149"/>
        <v>70.994047242337089</v>
      </c>
      <c r="CW137" s="22">
        <f t="shared" si="121"/>
        <v>644.63271561373597</v>
      </c>
      <c r="CX137" s="62">
        <f t="shared" si="122"/>
        <v>937.96604894706934</v>
      </c>
      <c r="CY137" s="62">
        <f ca="1">AVERAGE(OFFSET($CX$3,0,0,'Données projet'!$E$13+1,1))-AVERAGE(OFFSET($H$3,0,0,'Données projet'!$E$13+1,1))</f>
        <v>385.00782828233201</v>
      </c>
      <c r="CZ137" s="62">
        <f t="shared" si="150"/>
        <v>216.22708298332475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420.90930611658149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327.17622590628559</v>
      </c>
      <c r="T138" s="62">
        <f t="shared" si="142"/>
        <v>379.61248288852113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9.5676319467995354E-15</v>
      </c>
      <c r="AC138" s="24">
        <f t="shared" si="111"/>
        <v>9.5676319467995354E-15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229</v>
      </c>
      <c r="AG138" s="13">
        <f>VLOOKUP(A138,'Données projet'!$A$61:$I$81,9,0)</f>
        <v>2</v>
      </c>
      <c r="AH138" s="13">
        <f t="array" ref="AH138">INDEX(AG:AG,MIN(IF(ISNUMBER(AG138:AG334),ROW(AG138:AG334),"")))</f>
        <v>2</v>
      </c>
      <c r="AI138" s="14">
        <f>IF('Données projet'!$A$62&gt;35,AI137+AH138-AQ137,IF(A138&lt;'Données projet'!$A$62,$AF$205^A138,IF(A138='Données projet'!$A$62,'Données projet'!$B$62,AI137+AH138-AQ137)))</f>
        <v>229.00000000000011</v>
      </c>
      <c r="AJ138" s="14">
        <f>AI138*VLOOKUP('Données projet'!$B$10,Paramètres!$A$1:$I$89,3,0)*VLOOKUP('Données projet'!$B$10,Paramètres!$A$1:$I$89,5,0)</f>
        <v>239.35080000000016</v>
      </c>
      <c r="AK138" s="14">
        <f t="shared" si="143"/>
        <v>58.299829927807181</v>
      </c>
      <c r="AL138" s="22">
        <f t="shared" si="112"/>
        <v>518.40818045759784</v>
      </c>
      <c r="AM138" s="62">
        <f t="shared" si="113"/>
        <v>811.74151379093109</v>
      </c>
      <c r="AN138" s="62">
        <f ca="1">AVERAGE(OFFSET($AM$3,0,0,'Données projet'!$E$10+1,1))-AVERAGE(OFFSET($H$3,0,0,'Données projet'!$E$10+1,1))</f>
        <v>276.87402314479681</v>
      </c>
      <c r="AO138" s="62">
        <f t="shared" si="144"/>
        <v>125.27302863901997</v>
      </c>
      <c r="AP138" s="16">
        <f>IF(ISNA(VLOOKUP(A138,'Données projet'!$A$61:$I$81,3,0)),0,VLOOKUP(A138,'Données projet'!$A$61:$I$81,3,0))</f>
        <v>11</v>
      </c>
      <c r="AQ138" s="16">
        <f>IF(ISNA(VLOOKUP(A138,'Données projet'!$A$61:$I$81,4,0)),0,VLOOKUP(A138,'Données projet'!$A$61:$I$81,4,0))</f>
        <v>19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9.2222762759774927E-14</v>
      </c>
      <c r="BF138" s="14">
        <f t="shared" si="145"/>
        <v>1.3985662224947967E-12</v>
      </c>
      <c r="BG138" s="22">
        <f t="shared" si="115"/>
        <v>2.5964574826517121E-12</v>
      </c>
      <c r="BH138" s="62">
        <f t="shared" si="116"/>
        <v>293.33333333333593</v>
      </c>
      <c r="BI138" s="62">
        <f ca="1">AVERAGE(OFFSET($BH$3,0,0,'Données projet'!$E$11+1,1))-AVERAGE(OFFSET($H$3,0,0,'Données projet'!$E$11+1,1))</f>
        <v>236.29093866505224</v>
      </c>
      <c r="BJ138" s="62">
        <f t="shared" si="146"/>
        <v>258.22911730540892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-2.8421709430404007E-13</v>
      </c>
      <c r="BZ138" s="14">
        <f>BY138*VLOOKUP('Données projet'!$B$12,Paramètres!$A$1:$I$89,3,0)*VLOOKUP('Données projet'!$B$12,Paramètres!$A$1:$I$89,5,0)</f>
        <v>-2.2168933355715128E-13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250.84814055099969</v>
      </c>
      <c r="CE138" s="62">
        <f t="shared" si="148"/>
        <v>226.15029417484465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298</v>
      </c>
      <c r="CR138" s="13">
        <f>VLOOKUP(A138,'Données projet'!$A$139:$I$159,9,0)</f>
        <v>3</v>
      </c>
      <c r="CS138" s="13">
        <f t="array" ref="CS138">INDEX(CR:CR,MIN(IF(ISNUMBER(CR138:CR334),ROW(CR138:CR334),"")))</f>
        <v>3</v>
      </c>
      <c r="CT138" s="13">
        <f>IF('Données projet'!$A$140&gt;35,CT137+CS138-DB137,IF(A138&lt;'Données projet'!$A$140,$CQ$205^A138,IF(A138='Données projet'!$A$140,'Données projet'!$B$140,CT137+CS138-DB137)))</f>
        <v>297.99999999999932</v>
      </c>
      <c r="CU138" s="18">
        <f>CT138*VLOOKUP('Données projet'!$B$13,Paramètres!$A$1:$I$89,3,0)*VLOOKUP('Données projet'!$B$13,Paramètres!$A$1:$I$89,5,0)</f>
        <v>302.17199999999934</v>
      </c>
      <c r="CV138" s="14">
        <f t="shared" si="149"/>
        <v>71.631606754643101</v>
      </c>
      <c r="CW138" s="22">
        <f t="shared" si="121"/>
        <v>651.04128176433551</v>
      </c>
      <c r="CX138" s="62">
        <f t="shared" si="122"/>
        <v>944.37461509766877</v>
      </c>
      <c r="CY138" s="62">
        <f ca="1">AVERAGE(OFFSET($CX$3,0,0,'Données projet'!$E$13+1,1))-AVERAGE(OFFSET($H$3,0,0,'Données projet'!$E$13+1,1))</f>
        <v>385.00782828233201</v>
      </c>
      <c r="CZ138" s="62">
        <f t="shared" si="150"/>
        <v>216.22708298332475</v>
      </c>
      <c r="DA138" s="16">
        <f>IF(ISNA(VLOOKUP(A138,'Données projet'!$A$139:$I$159,3,0)),0,VLOOKUP(A138,'Données projet'!$A$139:$I$159,3,0))</f>
        <v>12</v>
      </c>
      <c r="DB138" s="16">
        <f>IF(ISNA(VLOOKUP(A138,'Données projet'!$A$139:$I$159,4,0)),0,VLOOKUP(A138,'Données projet'!$A$139:$I$159,4,0))</f>
        <v>29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422.09489426633343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327.17622590628559</v>
      </c>
      <c r="T139" s="62">
        <f t="shared" si="142"/>
        <v>379.61248288852113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6.7653374294790008E-15</v>
      </c>
      <c r="AC139" s="24">
        <f t="shared" si="111"/>
        <v>6.7653374294790008E-15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1.6</v>
      </c>
      <c r="AI139" s="14">
        <f>IF('Données projet'!$A$62&gt;35,AI138+AH139-AQ138,IF(A139&lt;'Données projet'!$A$62,$AF$205^A139,IF(A139='Données projet'!$A$62,'Données projet'!$B$62,AI138+AH139-AQ138)))</f>
        <v>211.60000000000011</v>
      </c>
      <c r="AJ139" s="14">
        <f>AI139*VLOOKUP('Données projet'!$B$10,Paramètres!$A$1:$I$89,3,0)*VLOOKUP('Données projet'!$B$10,Paramètres!$A$1:$I$89,5,0)</f>
        <v>221.16432000000012</v>
      </c>
      <c r="AK139" s="14">
        <f t="shared" si="143"/>
        <v>54.367867126828884</v>
      </c>
      <c r="AL139" s="22">
        <f t="shared" si="112"/>
        <v>479.88522591256054</v>
      </c>
      <c r="AM139" s="62">
        <f t="shared" si="113"/>
        <v>773.21855924589386</v>
      </c>
      <c r="AN139" s="62">
        <f ca="1">AVERAGE(OFFSET($AM$3,0,0,'Données projet'!$E$10+1,1))-AVERAGE(OFFSET($H$3,0,0,'Données projet'!$E$10+1,1))</f>
        <v>276.87402314479681</v>
      </c>
      <c r="AO139" s="62">
        <f t="shared" si="144"/>
        <v>125.27302863901997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9.2222762759774927E-14</v>
      </c>
      <c r="BF139" s="14">
        <f t="shared" si="145"/>
        <v>1.3985662224947967E-12</v>
      </c>
      <c r="BG139" s="22">
        <f t="shared" si="115"/>
        <v>2.5964574826517121E-12</v>
      </c>
      <c r="BH139" s="62">
        <f t="shared" si="116"/>
        <v>293.33333333333593</v>
      </c>
      <c r="BI139" s="62">
        <f ca="1">AVERAGE(OFFSET($BH$3,0,0,'Données projet'!$E$11+1,1))-AVERAGE(OFFSET($H$3,0,0,'Données projet'!$E$11+1,1))</f>
        <v>236.29093866505224</v>
      </c>
      <c r="BJ139" s="62">
        <f t="shared" si="146"/>
        <v>258.22911730540892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-2.8421709430404007E-13</v>
      </c>
      <c r="BZ139" s="14">
        <f>BY139*VLOOKUP('Données projet'!$B$12,Paramètres!$A$1:$I$89,3,0)*VLOOKUP('Données projet'!$B$12,Paramètres!$A$1:$I$89,5,0)</f>
        <v>-2.2168933355715128E-13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250.84814055099969</v>
      </c>
      <c r="CE139" s="62">
        <f t="shared" si="148"/>
        <v>226.15029417484465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2.6</v>
      </c>
      <c r="CT139" s="13">
        <f>IF('Données projet'!$A$140&gt;35,CT138+CS139-DB138,IF(A139&lt;'Données projet'!$A$140,$CQ$205^A139,IF(A139='Données projet'!$A$140,'Données projet'!$B$140,CT138+CS139-DB138)))</f>
        <v>271.59999999999934</v>
      </c>
      <c r="CU139" s="18">
        <f>CT139*VLOOKUP('Données projet'!$B$13,Paramètres!$A$1:$I$89,3,0)*VLOOKUP('Données projet'!$B$13,Paramètres!$A$1:$I$89,5,0)</f>
        <v>275.40239999999932</v>
      </c>
      <c r="CV139" s="14">
        <f t="shared" si="149"/>
        <v>65.994469603831334</v>
      </c>
      <c r="CW139" s="22">
        <f t="shared" si="121"/>
        <v>594.59954789333835</v>
      </c>
      <c r="CX139" s="62">
        <f t="shared" si="122"/>
        <v>887.93288122667173</v>
      </c>
      <c r="CY139" s="62">
        <f ca="1">AVERAGE(OFFSET($CX$3,0,0,'Données projet'!$E$13+1,1))-AVERAGE(OFFSET($H$3,0,0,'Données projet'!$E$13+1,1))</f>
        <v>385.00782828233201</v>
      </c>
      <c r="CZ139" s="62">
        <f t="shared" si="150"/>
        <v>216.22708298332475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423.28028167743605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327.17622590628559</v>
      </c>
      <c r="T140" s="62">
        <f t="shared" si="142"/>
        <v>379.61248288852113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4.7838159733997677E-15</v>
      </c>
      <c r="AC140" s="24">
        <f t="shared" si="111"/>
        <v>4.7838159733997677E-15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1.6</v>
      </c>
      <c r="AI140" s="14">
        <f>IF('Données projet'!$A$62&gt;35,AI139+AH140-AQ139,IF(A140&lt;'Données projet'!$A$62,$AF$205^A140,IF(A140='Données projet'!$A$62,'Données projet'!$B$62,AI139+AH140-AQ139)))</f>
        <v>213.2000000000001</v>
      </c>
      <c r="AJ140" s="14">
        <f>AI140*VLOOKUP('Données projet'!$B$10,Paramètres!$A$1:$I$89,3,0)*VLOOKUP('Données projet'!$B$10,Paramètres!$A$1:$I$89,5,0)</f>
        <v>222.83664000000013</v>
      </c>
      <c r="AK140" s="14">
        <f t="shared" si="143"/>
        <v>54.730954957867816</v>
      </c>
      <c r="AL140" s="22">
        <f t="shared" si="112"/>
        <v>483.43022788495324</v>
      </c>
      <c r="AM140" s="62">
        <f t="shared" si="113"/>
        <v>776.76356121828655</v>
      </c>
      <c r="AN140" s="62">
        <f ca="1">AVERAGE(OFFSET($AM$3,0,0,'Données projet'!$E$10+1,1))-AVERAGE(OFFSET($H$3,0,0,'Données projet'!$E$10+1,1))</f>
        <v>276.87402314479681</v>
      </c>
      <c r="AO140" s="62">
        <f t="shared" si="144"/>
        <v>125.27302863901997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9.2222762759774927E-14</v>
      </c>
      <c r="BF140" s="14">
        <f t="shared" si="145"/>
        <v>1.3985662224947967E-12</v>
      </c>
      <c r="BG140" s="22">
        <f t="shared" si="115"/>
        <v>2.5964574826517121E-12</v>
      </c>
      <c r="BH140" s="62">
        <f t="shared" si="116"/>
        <v>293.33333333333593</v>
      </c>
      <c r="BI140" s="62">
        <f ca="1">AVERAGE(OFFSET($BH$3,0,0,'Données projet'!$E$11+1,1))-AVERAGE(OFFSET($H$3,0,0,'Données projet'!$E$11+1,1))</f>
        <v>236.29093866505224</v>
      </c>
      <c r="BJ140" s="62">
        <f t="shared" si="146"/>
        <v>258.22911730540892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-2.8421709430404007E-13</v>
      </c>
      <c r="BZ140" s="14">
        <f>BY140*VLOOKUP('Données projet'!$B$12,Paramètres!$A$1:$I$89,3,0)*VLOOKUP('Données projet'!$B$12,Paramètres!$A$1:$I$89,5,0)</f>
        <v>-2.2168933355715128E-13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250.84814055099969</v>
      </c>
      <c r="CE140" s="62">
        <f t="shared" si="148"/>
        <v>226.15029417484465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2.6</v>
      </c>
      <c r="CT140" s="13">
        <f>IF('Données projet'!$A$140&gt;35,CT139+CS140-DB139,IF(A140&lt;'Données projet'!$A$140,$CQ$205^A140,IF(A140='Données projet'!$A$140,'Données projet'!$B$140,CT139+CS140-DB139)))</f>
        <v>274.19999999999936</v>
      </c>
      <c r="CU140" s="18">
        <f>CT140*VLOOKUP('Données projet'!$B$13,Paramètres!$A$1:$I$89,3,0)*VLOOKUP('Données projet'!$B$13,Paramètres!$A$1:$I$89,5,0)</f>
        <v>278.03879999999936</v>
      </c>
      <c r="CV140" s="14">
        <f t="shared" si="149"/>
        <v>66.552381547717616</v>
      </c>
      <c r="CW140" s="22">
        <f t="shared" si="121"/>
        <v>600.16297452894037</v>
      </c>
      <c r="CX140" s="62">
        <f t="shared" si="122"/>
        <v>893.49630786227362</v>
      </c>
      <c r="CY140" s="62">
        <f ca="1">AVERAGE(OFFSET($CX$3,0,0,'Données projet'!$E$13+1,1))-AVERAGE(OFFSET($H$3,0,0,'Données projet'!$E$13+1,1))</f>
        <v>385.00782828233201</v>
      </c>
      <c r="CZ140" s="62">
        <f t="shared" si="150"/>
        <v>216.22708298332475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424.46546998502401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327.17622590628559</v>
      </c>
      <c r="T141" s="62">
        <f t="shared" si="142"/>
        <v>379.61248288852113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3.3826687147395004E-15</v>
      </c>
      <c r="AC141" s="24">
        <f t="shared" si="111"/>
        <v>3.3826687147395004E-15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1.6</v>
      </c>
      <c r="AI141" s="14">
        <f>IF('Données projet'!$A$62&gt;35,AI140+AH141-AQ140,IF(A141&lt;'Données projet'!$A$62,$AF$205^A141,IF(A141='Données projet'!$A$62,'Données projet'!$B$62,AI140+AH141-AQ140)))</f>
        <v>214.8000000000001</v>
      </c>
      <c r="AJ141" s="14">
        <f>AI141*VLOOKUP('Données projet'!$B$10,Paramètres!$A$1:$I$89,3,0)*VLOOKUP('Données projet'!$B$10,Paramètres!$A$1:$I$89,5,0)</f>
        <v>224.50896000000014</v>
      </c>
      <c r="AK141" s="14">
        <f t="shared" si="143"/>
        <v>55.093725750341399</v>
      </c>
      <c r="AL141" s="22">
        <f t="shared" si="112"/>
        <v>486.97467768184487</v>
      </c>
      <c r="AM141" s="62">
        <f t="shared" si="113"/>
        <v>780.30801101517818</v>
      </c>
      <c r="AN141" s="62">
        <f ca="1">AVERAGE(OFFSET($AM$3,0,0,'Données projet'!$E$10+1,1))-AVERAGE(OFFSET($H$3,0,0,'Données projet'!$E$10+1,1))</f>
        <v>276.87402314479681</v>
      </c>
      <c r="AO141" s="62">
        <f t="shared" si="144"/>
        <v>125.27302863901997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9.2222762759774927E-14</v>
      </c>
      <c r="BF141" s="14">
        <f t="shared" si="145"/>
        <v>1.3985662224947967E-12</v>
      </c>
      <c r="BG141" s="22">
        <f t="shared" si="115"/>
        <v>2.5964574826517121E-12</v>
      </c>
      <c r="BH141" s="62">
        <f t="shared" si="116"/>
        <v>293.33333333333593</v>
      </c>
      <c r="BI141" s="62">
        <f ca="1">AVERAGE(OFFSET($BH$3,0,0,'Données projet'!$E$11+1,1))-AVERAGE(OFFSET($H$3,0,0,'Données projet'!$E$11+1,1))</f>
        <v>236.29093866505224</v>
      </c>
      <c r="BJ141" s="62">
        <f t="shared" si="146"/>
        <v>258.22911730540892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-2.8421709430404007E-13</v>
      </c>
      <c r="BZ141" s="14">
        <f>BY141*VLOOKUP('Données projet'!$B$12,Paramètres!$A$1:$I$89,3,0)*VLOOKUP('Données projet'!$B$12,Paramètres!$A$1:$I$89,5,0)</f>
        <v>-2.2168933355715128E-13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250.84814055099969</v>
      </c>
      <c r="CE141" s="62">
        <f t="shared" si="148"/>
        <v>226.15029417484465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2.6</v>
      </c>
      <c r="CT141" s="13">
        <f>IF('Données projet'!$A$140&gt;35,CT140+CS141-DB140,IF(A141&lt;'Données projet'!$A$140,$CQ$205^A141,IF(A141='Données projet'!$A$140,'Données projet'!$B$140,CT140+CS141-DB140)))</f>
        <v>276.79999999999939</v>
      </c>
      <c r="CU141" s="18">
        <f>CT141*VLOOKUP('Données projet'!$B$13,Paramètres!$A$1:$I$89,3,0)*VLOOKUP('Données projet'!$B$13,Paramètres!$A$1:$I$89,5,0)</f>
        <v>280.67519999999939</v>
      </c>
      <c r="CV141" s="14">
        <f t="shared" si="149"/>
        <v>67.109678043026364</v>
      </c>
      <c r="CW141" s="22">
        <f t="shared" si="121"/>
        <v>605.72532925826988</v>
      </c>
      <c r="CX141" s="62">
        <f t="shared" si="122"/>
        <v>899.05866259160325</v>
      </c>
      <c r="CY141" s="62">
        <f ca="1">AVERAGE(OFFSET($CX$3,0,0,'Données projet'!$E$13+1,1))-AVERAGE(OFFSET($H$3,0,0,'Données projet'!$E$13+1,1))</f>
        <v>385.00782828233201</v>
      </c>
      <c r="CZ141" s="62">
        <f t="shared" si="150"/>
        <v>216.22708298332475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425.6504607991651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327.17622590628559</v>
      </c>
      <c r="T142" s="62">
        <f t="shared" si="142"/>
        <v>379.61248288852113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2.3919079866998838E-15</v>
      </c>
      <c r="AC142" s="24">
        <f t="shared" si="111"/>
        <v>2.3919079866998838E-15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1.6</v>
      </c>
      <c r="AI142" s="14">
        <f>IF('Données projet'!$A$62&gt;35,AI141+AH142-AQ141,IF(A142&lt;'Données projet'!$A$62,$AF$205^A142,IF(A142='Données projet'!$A$62,'Données projet'!$B$62,AI141+AH142-AQ141)))</f>
        <v>216.40000000000009</v>
      </c>
      <c r="AJ142" s="14">
        <f>AI142*VLOOKUP('Données projet'!$B$10,Paramètres!$A$1:$I$89,3,0)*VLOOKUP('Données projet'!$B$10,Paramètres!$A$1:$I$89,5,0)</f>
        <v>226.1812800000001</v>
      </c>
      <c r="AK142" s="14">
        <f t="shared" si="143"/>
        <v>55.456182139594304</v>
      </c>
      <c r="AL142" s="22">
        <f t="shared" si="112"/>
        <v>490.51857989312686</v>
      </c>
      <c r="AM142" s="62">
        <f t="shared" si="113"/>
        <v>783.85191322646017</v>
      </c>
      <c r="AN142" s="62">
        <f ca="1">AVERAGE(OFFSET($AM$3,0,0,'Données projet'!$E$10+1,1))-AVERAGE(OFFSET($H$3,0,0,'Données projet'!$E$10+1,1))</f>
        <v>276.87402314479681</v>
      </c>
      <c r="AO142" s="62">
        <f t="shared" si="144"/>
        <v>125.27302863901997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9.2222762759774927E-14</v>
      </c>
      <c r="BF142" s="14">
        <f t="shared" si="145"/>
        <v>1.3985662224947967E-12</v>
      </c>
      <c r="BG142" s="22">
        <f t="shared" si="115"/>
        <v>2.5964574826517121E-12</v>
      </c>
      <c r="BH142" s="62">
        <f t="shared" si="116"/>
        <v>293.33333333333593</v>
      </c>
      <c r="BI142" s="62">
        <f ca="1">AVERAGE(OFFSET($BH$3,0,0,'Données projet'!$E$11+1,1))-AVERAGE(OFFSET($H$3,0,0,'Données projet'!$E$11+1,1))</f>
        <v>236.29093866505224</v>
      </c>
      <c r="BJ142" s="62">
        <f t="shared" si="146"/>
        <v>258.22911730540892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-2.8421709430404007E-13</v>
      </c>
      <c r="BZ142" s="14">
        <f>BY142*VLOOKUP('Données projet'!$B$12,Paramètres!$A$1:$I$89,3,0)*VLOOKUP('Données projet'!$B$12,Paramètres!$A$1:$I$89,5,0)</f>
        <v>-2.2168933355715128E-13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250.84814055099969</v>
      </c>
      <c r="CE142" s="62">
        <f t="shared" si="148"/>
        <v>226.15029417484465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2.6</v>
      </c>
      <c r="CT142" s="13">
        <f>IF('Données projet'!$A$140&gt;35,CT141+CS142-DB141,IF(A142&lt;'Données projet'!$A$140,$CQ$205^A142,IF(A142='Données projet'!$A$140,'Données projet'!$B$140,CT141+CS142-DB141)))</f>
        <v>279.39999999999941</v>
      </c>
      <c r="CU142" s="18">
        <f>CT142*VLOOKUP('Données projet'!$B$13,Paramètres!$A$1:$I$89,3,0)*VLOOKUP('Données projet'!$B$13,Paramètres!$A$1:$I$89,5,0)</f>
        <v>283.31159999999943</v>
      </c>
      <c r="CV142" s="14">
        <f t="shared" si="149"/>
        <v>67.666365540271144</v>
      </c>
      <c r="CW142" s="22">
        <f t="shared" si="121"/>
        <v>611.28662331597127</v>
      </c>
      <c r="CX142" s="62">
        <f t="shared" si="122"/>
        <v>904.61995664930464</v>
      </c>
      <c r="CY142" s="62">
        <f ca="1">AVERAGE(OFFSET($CX$3,0,0,'Données projet'!$E$13+1,1))-AVERAGE(OFFSET($H$3,0,0,'Données projet'!$E$13+1,1))</f>
        <v>385.00782828233201</v>
      </c>
      <c r="CZ142" s="62">
        <f t="shared" si="150"/>
        <v>216.22708298332475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426.8352557054219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327.17622590628559</v>
      </c>
      <c r="T143" s="62">
        <f t="shared" si="142"/>
        <v>379.61248288852113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1.6913343573697502E-15</v>
      </c>
      <c r="AC143" s="24">
        <f t="shared" si="111"/>
        <v>1.6913343573697502E-15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1.6</v>
      </c>
      <c r="AI143" s="14">
        <f>IF('Données projet'!$A$62&gt;35,AI142+AH143-AQ142,IF(A143&lt;'Données projet'!$A$62,$AF$205^A143,IF(A143='Données projet'!$A$62,'Données projet'!$B$62,AI142+AH143-AQ142)))</f>
        <v>218.00000000000009</v>
      </c>
      <c r="AJ143" s="14">
        <f>AI143*VLOOKUP('Données projet'!$B$10,Paramètres!$A$1:$I$89,3,0)*VLOOKUP('Données projet'!$B$10,Paramètres!$A$1:$I$89,5,0)</f>
        <v>227.85360000000011</v>
      </c>
      <c r="AK143" s="14">
        <f t="shared" si="143"/>
        <v>55.818326719749848</v>
      </c>
      <c r="AL143" s="22">
        <f t="shared" si="112"/>
        <v>494.06193903689791</v>
      </c>
      <c r="AM143" s="62">
        <f t="shared" si="113"/>
        <v>787.39527237023117</v>
      </c>
      <c r="AN143" s="62">
        <f ca="1">AVERAGE(OFFSET($AM$3,0,0,'Données projet'!$E$10+1,1))-AVERAGE(OFFSET($H$3,0,0,'Données projet'!$E$10+1,1))</f>
        <v>276.87402314479681</v>
      </c>
      <c r="AO143" s="62">
        <f t="shared" si="144"/>
        <v>125.27302863901997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9.2222762759774927E-14</v>
      </c>
      <c r="BF143" s="14">
        <f t="shared" si="145"/>
        <v>1.3985662224947967E-12</v>
      </c>
      <c r="BG143" s="22">
        <f t="shared" si="115"/>
        <v>2.5964574826517121E-12</v>
      </c>
      <c r="BH143" s="62">
        <f t="shared" si="116"/>
        <v>293.33333333333593</v>
      </c>
      <c r="BI143" s="62">
        <f ca="1">AVERAGE(OFFSET($BH$3,0,0,'Données projet'!$E$11+1,1))-AVERAGE(OFFSET($H$3,0,0,'Données projet'!$E$11+1,1))</f>
        <v>236.29093866505224</v>
      </c>
      <c r="BJ143" s="62">
        <f t="shared" si="146"/>
        <v>258.22911730540892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-2.8421709430404007E-13</v>
      </c>
      <c r="BZ143" s="14">
        <f>BY143*VLOOKUP('Données projet'!$B$12,Paramètres!$A$1:$I$89,3,0)*VLOOKUP('Données projet'!$B$12,Paramètres!$A$1:$I$89,5,0)</f>
        <v>-2.2168933355715128E-13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250.84814055099969</v>
      </c>
      <c r="CE143" s="62">
        <f t="shared" si="148"/>
        <v>226.15029417484465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2.6</v>
      </c>
      <c r="CT143" s="13">
        <f>IF('Données projet'!$A$140&gt;35,CT142+CS143-DB142,IF(A143&lt;'Données projet'!$A$140,$CQ$205^A143,IF(A143='Données projet'!$A$140,'Données projet'!$B$140,CT142+CS143-DB142)))</f>
        <v>281.99999999999943</v>
      </c>
      <c r="CU143" s="18">
        <f>CT143*VLOOKUP('Données projet'!$B$13,Paramètres!$A$1:$I$89,3,0)*VLOOKUP('Données projet'!$B$13,Paramètres!$A$1:$I$89,5,0)</f>
        <v>285.94799999999947</v>
      </c>
      <c r="CV143" s="14">
        <f t="shared" si="149"/>
        <v>68.222450362989306</v>
      </c>
      <c r="CW143" s="22">
        <f t="shared" si="121"/>
        <v>616.84686771553879</v>
      </c>
      <c r="CX143" s="62">
        <f t="shared" si="122"/>
        <v>910.18020104887205</v>
      </c>
      <c r="CY143" s="62">
        <f ca="1">AVERAGE(OFFSET($CX$3,0,0,'Données projet'!$E$13+1,1))-AVERAGE(OFFSET($H$3,0,0,'Données projet'!$E$13+1,1))</f>
        <v>385.00782828233201</v>
      </c>
      <c r="CZ143" s="62">
        <f t="shared" si="150"/>
        <v>216.22708298332475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428.01985626539732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327.17622590628559</v>
      </c>
      <c r="T144" s="62">
        <f t="shared" si="142"/>
        <v>379.61248288852113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1.1959539933499419E-15</v>
      </c>
      <c r="AC144" s="24">
        <f t="shared" si="111"/>
        <v>1.1959539933499419E-15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1.6</v>
      </c>
      <c r="AI144" s="14">
        <f>IF('Données projet'!$A$62&gt;35,AI143+AH144-AQ143,IF(A144&lt;'Données projet'!$A$62,$AF$205^A144,IF(A144='Données projet'!$A$62,'Données projet'!$B$62,AI143+AH144-AQ143)))</f>
        <v>219.60000000000008</v>
      </c>
      <c r="AJ144" s="14">
        <f>AI144*VLOOKUP('Données projet'!$B$10,Paramètres!$A$1:$I$89,3,0)*VLOOKUP('Données projet'!$B$10,Paramètres!$A$1:$I$89,5,0)</f>
        <v>229.5259200000001</v>
      </c>
      <c r="AK144" s="14">
        <f t="shared" si="143"/>
        <v>56.180162044652334</v>
      </c>
      <c r="AL144" s="22">
        <f t="shared" si="112"/>
        <v>497.60475956110287</v>
      </c>
      <c r="AM144" s="62">
        <f t="shared" si="113"/>
        <v>790.93809289443618</v>
      </c>
      <c r="AN144" s="62">
        <f ca="1">AVERAGE(OFFSET($AM$3,0,0,'Données projet'!$E$10+1,1))-AVERAGE(OFFSET($H$3,0,0,'Données projet'!$E$10+1,1))</f>
        <v>276.87402314479681</v>
      </c>
      <c r="AO144" s="62">
        <f t="shared" si="144"/>
        <v>125.27302863901997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9.2222762759774927E-14</v>
      </c>
      <c r="BF144" s="14">
        <f t="shared" si="145"/>
        <v>1.3985662224947967E-12</v>
      </c>
      <c r="BG144" s="22">
        <f t="shared" si="115"/>
        <v>2.5964574826517121E-12</v>
      </c>
      <c r="BH144" s="62">
        <f t="shared" si="116"/>
        <v>293.33333333333593</v>
      </c>
      <c r="BI144" s="62">
        <f ca="1">AVERAGE(OFFSET($BH$3,0,0,'Données projet'!$E$11+1,1))-AVERAGE(OFFSET($H$3,0,0,'Données projet'!$E$11+1,1))</f>
        <v>236.29093866505224</v>
      </c>
      <c r="BJ144" s="62">
        <f t="shared" si="146"/>
        <v>258.22911730540892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-2.8421709430404007E-13</v>
      </c>
      <c r="BZ144" s="14">
        <f>BY144*VLOOKUP('Données projet'!$B$12,Paramètres!$A$1:$I$89,3,0)*VLOOKUP('Données projet'!$B$12,Paramètres!$A$1:$I$89,5,0)</f>
        <v>-2.2168933355715128E-13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250.84814055099969</v>
      </c>
      <c r="CE144" s="62">
        <f t="shared" si="148"/>
        <v>226.15029417484465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2.6</v>
      </c>
      <c r="CT144" s="13">
        <f>IF('Données projet'!$A$140&gt;35,CT143+CS144-DB143,IF(A144&lt;'Données projet'!$A$140,$CQ$205^A144,IF(A144='Données projet'!$A$140,'Données projet'!$B$140,CT143+CS144-DB143)))</f>
        <v>284.59999999999945</v>
      </c>
      <c r="CU144" s="18">
        <f>CT144*VLOOKUP('Données projet'!$B$13,Paramètres!$A$1:$I$89,3,0)*VLOOKUP('Données projet'!$B$13,Paramètres!$A$1:$I$89,5,0)</f>
        <v>288.58439999999945</v>
      </c>
      <c r="CV144" s="14">
        <f t="shared" si="149"/>
        <v>68.777938711388487</v>
      </c>
      <c r="CW144" s="22">
        <f t="shared" si="121"/>
        <v>622.40607325566725</v>
      </c>
      <c r="CX144" s="62">
        <f t="shared" si="122"/>
        <v>915.73940658900051</v>
      </c>
      <c r="CY144" s="62">
        <f ca="1">AVERAGE(OFFSET($CX$3,0,0,'Données projet'!$E$13+1,1))-AVERAGE(OFFSET($H$3,0,0,'Données projet'!$E$13+1,1))</f>
        <v>385.00782828233201</v>
      </c>
      <c r="CZ144" s="62">
        <f t="shared" si="150"/>
        <v>216.22708298332475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429.20426401726365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327.17622590628559</v>
      </c>
      <c r="T145" s="62">
        <f t="shared" si="142"/>
        <v>379.61248288852113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8.456671786848751E-16</v>
      </c>
      <c r="AC145" s="24">
        <f t="shared" si="111"/>
        <v>8.456671786848751E-16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1.6</v>
      </c>
      <c r="AI145" s="14">
        <f>IF('Données projet'!$A$62&gt;35,AI144+AH145-AQ144,IF(A145&lt;'Données projet'!$A$62,$AF$205^A145,IF(A145='Données projet'!$A$62,'Données projet'!$B$62,AI144+AH145-AQ144)))</f>
        <v>221.20000000000007</v>
      </c>
      <c r="AJ145" s="14">
        <f>AI145*VLOOKUP('Données projet'!$B$10,Paramètres!$A$1:$I$89,3,0)*VLOOKUP('Données projet'!$B$10,Paramètres!$A$1:$I$89,5,0)</f>
        <v>231.19824000000011</v>
      </c>
      <c r="AK145" s="14">
        <f t="shared" si="143"/>
        <v>56.541690628781446</v>
      </c>
      <c r="AL145" s="22">
        <f t="shared" si="112"/>
        <v>501.14704584512788</v>
      </c>
      <c r="AM145" s="62">
        <f t="shared" si="113"/>
        <v>794.48037917846113</v>
      </c>
      <c r="AN145" s="62">
        <f ca="1">AVERAGE(OFFSET($AM$3,0,0,'Données projet'!$E$10+1,1))-AVERAGE(OFFSET($H$3,0,0,'Données projet'!$E$10+1,1))</f>
        <v>276.87402314479681</v>
      </c>
      <c r="AO145" s="62">
        <f t="shared" si="144"/>
        <v>125.27302863901997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9.2222762759774927E-14</v>
      </c>
      <c r="BF145" s="14">
        <f t="shared" si="145"/>
        <v>1.3985662224947967E-12</v>
      </c>
      <c r="BG145" s="22">
        <f t="shared" si="115"/>
        <v>2.5964574826517121E-12</v>
      </c>
      <c r="BH145" s="62">
        <f t="shared" si="116"/>
        <v>293.33333333333593</v>
      </c>
      <c r="BI145" s="62">
        <f ca="1">AVERAGE(OFFSET($BH$3,0,0,'Données projet'!$E$11+1,1))-AVERAGE(OFFSET($H$3,0,0,'Données projet'!$E$11+1,1))</f>
        <v>236.29093866505224</v>
      </c>
      <c r="BJ145" s="62">
        <f t="shared" si="146"/>
        <v>258.22911730540892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-2.8421709430404007E-13</v>
      </c>
      <c r="BZ145" s="14">
        <f>BY145*VLOOKUP('Données projet'!$B$12,Paramètres!$A$1:$I$89,3,0)*VLOOKUP('Données projet'!$B$12,Paramètres!$A$1:$I$89,5,0)</f>
        <v>-2.2168933355715128E-13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250.84814055099969</v>
      </c>
      <c r="CE145" s="62">
        <f t="shared" si="148"/>
        <v>226.15029417484465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2.6</v>
      </c>
      <c r="CT145" s="13">
        <f>IF('Données projet'!$A$140&gt;35,CT144+CS145-DB144,IF(A145&lt;'Données projet'!$A$140,$CQ$205^A145,IF(A145='Données projet'!$A$140,'Données projet'!$B$140,CT144+CS145-DB144)))</f>
        <v>287.19999999999948</v>
      </c>
      <c r="CU145" s="18">
        <f>CT145*VLOOKUP('Données projet'!$B$13,Paramètres!$A$1:$I$89,3,0)*VLOOKUP('Données projet'!$B$13,Paramètres!$A$1:$I$89,5,0)</f>
        <v>291.22079999999949</v>
      </c>
      <c r="CV145" s="14">
        <f t="shared" si="149"/>
        <v>69.332836665856547</v>
      </c>
      <c r="CW145" s="22">
        <f t="shared" si="121"/>
        <v>627.96425052636596</v>
      </c>
      <c r="CX145" s="62">
        <f t="shared" si="122"/>
        <v>921.29758385969922</v>
      </c>
      <c r="CY145" s="62">
        <f ca="1">AVERAGE(OFFSET($CX$3,0,0,'Données projet'!$E$13+1,1))-AVERAGE(OFFSET($H$3,0,0,'Données projet'!$E$13+1,1))</f>
        <v>385.00782828233201</v>
      </c>
      <c r="CZ145" s="62">
        <f t="shared" si="150"/>
        <v>216.22708298332475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430.38848047627687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327.17622590628559</v>
      </c>
      <c r="T146" s="62">
        <f t="shared" si="142"/>
        <v>379.61248288852113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5.9797699667497096E-16</v>
      </c>
      <c r="AC146" s="24">
        <f t="shared" si="111"/>
        <v>5.9797699667497096E-16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1.6</v>
      </c>
      <c r="AI146" s="14">
        <f>IF('Données projet'!$A$62&gt;35,AI145+AH146-AQ145,IF(A146&lt;'Données projet'!$A$62,$AF$205^A146,IF(A146='Données projet'!$A$62,'Données projet'!$B$62,AI145+AH146-AQ145)))</f>
        <v>222.80000000000007</v>
      </c>
      <c r="AJ146" s="14">
        <f>AI146*VLOOKUP('Données projet'!$B$10,Paramètres!$A$1:$I$89,3,0)*VLOOKUP('Données projet'!$B$10,Paramètres!$A$1:$I$89,5,0)</f>
        <v>232.87056000000013</v>
      </c>
      <c r="AK146" s="14">
        <f t="shared" si="143"/>
        <v>56.902914948139035</v>
      </c>
      <c r="AL146" s="22">
        <f t="shared" si="112"/>
        <v>504.68880220134241</v>
      </c>
      <c r="AM146" s="62">
        <f t="shared" si="113"/>
        <v>798.02213553467573</v>
      </c>
      <c r="AN146" s="62">
        <f ca="1">AVERAGE(OFFSET($AM$3,0,0,'Données projet'!$E$10+1,1))-AVERAGE(OFFSET($H$3,0,0,'Données projet'!$E$10+1,1))</f>
        <v>276.87402314479681</v>
      </c>
      <c r="AO146" s="62">
        <f t="shared" si="144"/>
        <v>125.27302863901997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9.2222762759774927E-14</v>
      </c>
      <c r="BF146" s="14">
        <f t="shared" si="145"/>
        <v>1.3985662224947967E-12</v>
      </c>
      <c r="BG146" s="22">
        <f t="shared" si="115"/>
        <v>2.5964574826517121E-12</v>
      </c>
      <c r="BH146" s="62">
        <f t="shared" si="116"/>
        <v>293.33333333333593</v>
      </c>
      <c r="BI146" s="62">
        <f ca="1">AVERAGE(OFFSET($BH$3,0,0,'Données projet'!$E$11+1,1))-AVERAGE(OFFSET($H$3,0,0,'Données projet'!$E$11+1,1))</f>
        <v>236.29093866505224</v>
      </c>
      <c r="BJ146" s="62">
        <f t="shared" si="146"/>
        <v>258.22911730540892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-2.8421709430404007E-13</v>
      </c>
      <c r="BZ146" s="14">
        <f>BY146*VLOOKUP('Données projet'!$B$12,Paramètres!$A$1:$I$89,3,0)*VLOOKUP('Données projet'!$B$12,Paramètres!$A$1:$I$89,5,0)</f>
        <v>-2.2168933355715128E-13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250.84814055099969</v>
      </c>
      <c r="CE146" s="62">
        <f t="shared" si="148"/>
        <v>226.15029417484465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2.6</v>
      </c>
      <c r="CT146" s="13">
        <f>IF('Données projet'!$A$140&gt;35,CT145+CS146-DB145,IF(A146&lt;'Données projet'!$A$140,$CQ$205^A146,IF(A146='Données projet'!$A$140,'Données projet'!$B$140,CT145+CS146-DB145)))</f>
        <v>289.7999999999995</v>
      </c>
      <c r="CU146" s="18">
        <f>CT146*VLOOKUP('Données projet'!$B$13,Paramètres!$A$1:$I$89,3,0)*VLOOKUP('Données projet'!$B$13,Paramètres!$A$1:$I$89,5,0)</f>
        <v>293.85719999999952</v>
      </c>
      <c r="CV146" s="14">
        <f t="shared" si="149"/>
        <v>69.88715019033971</v>
      </c>
      <c r="CW146" s="22">
        <f t="shared" si="121"/>
        <v>633.52140991484077</v>
      </c>
      <c r="CX146" s="62">
        <f t="shared" si="122"/>
        <v>926.85474324817415</v>
      </c>
      <c r="CY146" s="62">
        <f ca="1">AVERAGE(OFFSET($CX$3,0,0,'Données projet'!$E$13+1,1))-AVERAGE(OFFSET($H$3,0,0,'Données projet'!$E$13+1,1))</f>
        <v>385.00782828233201</v>
      </c>
      <c r="CZ146" s="62">
        <f t="shared" si="150"/>
        <v>216.22708298332475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431.57250713527566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327.17622590628559</v>
      </c>
      <c r="T147" s="62">
        <f t="shared" si="142"/>
        <v>379.61248288852113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4.2283358934243755E-16</v>
      </c>
      <c r="AC147" s="24">
        <f t="shared" si="111"/>
        <v>4.2283358934243755E-16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1.6</v>
      </c>
      <c r="AI147" s="14">
        <f>IF('Données projet'!$A$62&gt;35,AI146+AH147-AQ146,IF(A147&lt;'Données projet'!$A$62,$AF$205^A147,IF(A147='Données projet'!$A$62,'Données projet'!$B$62,AI146+AH147-AQ146)))</f>
        <v>224.40000000000006</v>
      </c>
      <c r="AJ147" s="14">
        <f>AI147*VLOOKUP('Données projet'!$B$10,Paramètres!$A$1:$I$89,3,0)*VLOOKUP('Données projet'!$B$10,Paramètres!$A$1:$I$89,5,0)</f>
        <v>234.54288000000008</v>
      </c>
      <c r="AK147" s="14">
        <f t="shared" si="143"/>
        <v>57.263837441110184</v>
      </c>
      <c r="AL147" s="22">
        <f t="shared" si="112"/>
        <v>508.23003287660043</v>
      </c>
      <c r="AM147" s="62">
        <f t="shared" si="113"/>
        <v>801.56336620993375</v>
      </c>
      <c r="AN147" s="62">
        <f ca="1">AVERAGE(OFFSET($AM$3,0,0,'Données projet'!$E$10+1,1))-AVERAGE(OFFSET($H$3,0,0,'Données projet'!$E$10+1,1))</f>
        <v>276.87402314479681</v>
      </c>
      <c r="AO147" s="62">
        <f t="shared" si="144"/>
        <v>125.27302863901997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9.2222762759774927E-14</v>
      </c>
      <c r="BF147" s="14">
        <f t="shared" si="145"/>
        <v>1.3985662224947967E-12</v>
      </c>
      <c r="BG147" s="22">
        <f t="shared" si="115"/>
        <v>2.5964574826517121E-12</v>
      </c>
      <c r="BH147" s="62">
        <f t="shared" si="116"/>
        <v>293.33333333333593</v>
      </c>
      <c r="BI147" s="62">
        <f ca="1">AVERAGE(OFFSET($BH$3,0,0,'Données projet'!$E$11+1,1))-AVERAGE(OFFSET($H$3,0,0,'Données projet'!$E$11+1,1))</f>
        <v>236.29093866505224</v>
      </c>
      <c r="BJ147" s="62">
        <f t="shared" si="146"/>
        <v>258.22911730540892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-2.8421709430404007E-13</v>
      </c>
      <c r="BZ147" s="14">
        <f>BY147*VLOOKUP('Données projet'!$B$12,Paramètres!$A$1:$I$89,3,0)*VLOOKUP('Données projet'!$B$12,Paramètres!$A$1:$I$89,5,0)</f>
        <v>-2.2168933355715128E-13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250.84814055099969</v>
      </c>
      <c r="CE147" s="62">
        <f t="shared" si="148"/>
        <v>226.15029417484465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2.6</v>
      </c>
      <c r="CT147" s="13">
        <f>IF('Données projet'!$A$140&gt;35,CT146+CS147-DB146,IF(A147&lt;'Données projet'!$A$140,$CQ$205^A147,IF(A147='Données projet'!$A$140,'Données projet'!$B$140,CT146+CS147-DB146)))</f>
        <v>292.39999999999952</v>
      </c>
      <c r="CU147" s="18">
        <f>CT147*VLOOKUP('Données projet'!$B$13,Paramètres!$A$1:$I$89,3,0)*VLOOKUP('Données projet'!$B$13,Paramètres!$A$1:$I$89,5,0)</f>
        <v>296.4935999999995</v>
      </c>
      <c r="CV147" s="14">
        <f t="shared" si="149"/>
        <v>70.440885135597512</v>
      </c>
      <c r="CW147" s="22">
        <f t="shared" si="121"/>
        <v>639.07756161116481</v>
      </c>
      <c r="CX147" s="62">
        <f t="shared" si="122"/>
        <v>932.41089494449807</v>
      </c>
      <c r="CY147" s="62">
        <f ca="1">AVERAGE(OFFSET($CX$3,0,0,'Données projet'!$E$13+1,1))-AVERAGE(OFFSET($H$3,0,0,'Données projet'!$E$13+1,1))</f>
        <v>385.00782828233201</v>
      </c>
      <c r="CZ147" s="62">
        <f t="shared" si="150"/>
        <v>216.22708298332475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432.75634546516653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327.17622590628559</v>
      </c>
      <c r="T148" s="62">
        <f t="shared" si="142"/>
        <v>379.61248288852113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2.9898849833748548E-16</v>
      </c>
      <c r="AC148" s="24">
        <f t="shared" si="111"/>
        <v>2.9898849833748548E-16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226</v>
      </c>
      <c r="AG148" s="13">
        <f>VLOOKUP(A148,'Données projet'!$A$61:$I$81,9,0)</f>
        <v>1.6</v>
      </c>
      <c r="AH148" s="13">
        <f t="array" ref="AH148">INDEX(AG:AG,MIN(IF(ISNUMBER(AG148:AG344),ROW(AG148:AG344),"")))</f>
        <v>1.6</v>
      </c>
      <c r="AI148" s="14">
        <f>IF('Données projet'!$A$62&gt;35,AI147+AH148-AQ147,IF(A148&lt;'Données projet'!$A$62,$AF$205^A148,IF(A148='Données projet'!$A$62,'Données projet'!$B$62,AI147+AH148-AQ147)))</f>
        <v>226.00000000000006</v>
      </c>
      <c r="AJ148" s="14">
        <f>AI148*VLOOKUP('Données projet'!$B$10,Paramètres!$A$1:$I$89,3,0)*VLOOKUP('Données projet'!$B$10,Paramètres!$A$1:$I$89,5,0)</f>
        <v>236.21520000000007</v>
      </c>
      <c r="AK148" s="14">
        <f t="shared" si="143"/>
        <v>57.624460509298522</v>
      </c>
      <c r="AL148" s="22">
        <f t="shared" si="112"/>
        <v>511.77074205369507</v>
      </c>
      <c r="AM148" s="62">
        <f t="shared" si="113"/>
        <v>805.10407538702839</v>
      </c>
      <c r="AN148" s="62">
        <f ca="1">AVERAGE(OFFSET($AM$3,0,0,'Données projet'!$E$10+1,1))-AVERAGE(OFFSET($H$3,0,0,'Données projet'!$E$10+1,1))</f>
        <v>276.87402314479681</v>
      </c>
      <c r="AO148" s="62">
        <f t="shared" si="144"/>
        <v>125.27302863901997</v>
      </c>
      <c r="AP148" s="16">
        <f>IF(ISNA(VLOOKUP(A148,'Données projet'!$A$61:$I$81,3,0)),0,VLOOKUP(A148,'Données projet'!$A$61:$I$81,3,0))</f>
        <v>12</v>
      </c>
      <c r="AQ148" s="16">
        <f>IF(ISNA(VLOOKUP(A148,'Données projet'!$A$61:$I$81,4,0)),0,VLOOKUP(A148,'Données projet'!$A$61:$I$81,4,0))</f>
        <v>15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9.2222762759774927E-14</v>
      </c>
      <c r="BF148" s="14">
        <f t="shared" si="145"/>
        <v>1.3985662224947967E-12</v>
      </c>
      <c r="BG148" s="22">
        <f t="shared" si="115"/>
        <v>2.5964574826517121E-12</v>
      </c>
      <c r="BH148" s="62">
        <f t="shared" si="116"/>
        <v>293.33333333333593</v>
      </c>
      <c r="BI148" s="62">
        <f ca="1">AVERAGE(OFFSET($BH$3,0,0,'Données projet'!$E$11+1,1))-AVERAGE(OFFSET($H$3,0,0,'Données projet'!$E$11+1,1))</f>
        <v>236.29093866505224</v>
      </c>
      <c r="BJ148" s="62">
        <f t="shared" si="146"/>
        <v>258.22911730540892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-2.8421709430404007E-13</v>
      </c>
      <c r="BZ148" s="14">
        <f>BY148*VLOOKUP('Données projet'!$B$12,Paramètres!$A$1:$I$89,3,0)*VLOOKUP('Données projet'!$B$12,Paramètres!$A$1:$I$89,5,0)</f>
        <v>-2.2168933355715128E-13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250.84814055099969</v>
      </c>
      <c r="CE148" s="62">
        <f t="shared" si="148"/>
        <v>226.15029417484465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>
        <f>VLOOKUP(A148,'Données projet'!$A$139:$I$159,2,0)</f>
        <v>295</v>
      </c>
      <c r="CR148" s="13">
        <f>VLOOKUP(A148,'Données projet'!$A$139:$I$159,9,0)</f>
        <v>2.6</v>
      </c>
      <c r="CS148" s="13">
        <f t="array" ref="CS148">INDEX(CR:CR,MIN(IF(ISNUMBER(CR148:CR344),ROW(CR148:CR344),"")))</f>
        <v>2.6</v>
      </c>
      <c r="CT148" s="13">
        <f>IF('Données projet'!$A$140&gt;35,CT147+CS148-DB147,IF(A148&lt;'Données projet'!$A$140,$CQ$205^A148,IF(A148='Données projet'!$A$140,'Données projet'!$B$140,CT147+CS148-DB147)))</f>
        <v>294.99999999999955</v>
      </c>
      <c r="CU148" s="18">
        <f>CT148*VLOOKUP('Données projet'!$B$13,Paramètres!$A$1:$I$89,3,0)*VLOOKUP('Données projet'!$B$13,Paramètres!$A$1:$I$89,5,0)</f>
        <v>299.12999999999954</v>
      </c>
      <c r="CV148" s="14">
        <f t="shared" si="149"/>
        <v>70.994047242337146</v>
      </c>
      <c r="CW148" s="22">
        <f t="shared" si="121"/>
        <v>644.63271561373642</v>
      </c>
      <c r="CX148" s="62">
        <f t="shared" si="122"/>
        <v>937.96604894706979</v>
      </c>
      <c r="CY148" s="62">
        <f ca="1">AVERAGE(OFFSET($CX$3,0,0,'Données projet'!$E$13+1,1))-AVERAGE(OFFSET($H$3,0,0,'Données projet'!$E$13+1,1))</f>
        <v>385.00782828233201</v>
      </c>
      <c r="CZ148" s="62">
        <f t="shared" si="150"/>
        <v>216.22708298332475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433.939996915395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327.17622590628559</v>
      </c>
      <c r="T149" s="62">
        <f t="shared" si="142"/>
        <v>379.61248288852113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2.1141679467121878E-16</v>
      </c>
      <c r="AC149" s="24">
        <f t="shared" si="111"/>
        <v>2.1141679467121878E-16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1.2</v>
      </c>
      <c r="AI149" s="14">
        <f>IF('Données projet'!$A$62&gt;35,AI148+AH149-AQ148,IF(A149&lt;'Données projet'!$A$62,$AF$205^A149,IF(A149='Données projet'!$A$62,'Données projet'!$B$62,AI148+AH149-AQ148)))</f>
        <v>212.20000000000005</v>
      </c>
      <c r="AJ149" s="14">
        <f>AI149*VLOOKUP('Données projet'!$B$10,Paramètres!$A$1:$I$89,3,0)*VLOOKUP('Données projet'!$B$10,Paramètres!$A$1:$I$89,5,0)</f>
        <v>221.79144000000005</v>
      </c>
      <c r="AK149" s="14">
        <f t="shared" si="143"/>
        <v>54.504062385454226</v>
      </c>
      <c r="AL149" s="22">
        <f t="shared" si="112"/>
        <v>481.21466665466613</v>
      </c>
      <c r="AM149" s="62">
        <f t="shared" si="113"/>
        <v>774.54799998799945</v>
      </c>
      <c r="AN149" s="62">
        <f ca="1">AVERAGE(OFFSET($AM$3,0,0,'Données projet'!$E$10+1,1))-AVERAGE(OFFSET($H$3,0,0,'Données projet'!$E$10+1,1))</f>
        <v>276.87402314479681</v>
      </c>
      <c r="AO149" s="62">
        <f t="shared" si="144"/>
        <v>125.27302863901997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9.2222762759774927E-14</v>
      </c>
      <c r="BF149" s="14">
        <f t="shared" si="145"/>
        <v>1.3985662224947967E-12</v>
      </c>
      <c r="BG149" s="22">
        <f t="shared" si="115"/>
        <v>2.5964574826517121E-12</v>
      </c>
      <c r="BH149" s="62">
        <f t="shared" si="116"/>
        <v>293.33333333333593</v>
      </c>
      <c r="BI149" s="62">
        <f ca="1">AVERAGE(OFFSET($BH$3,0,0,'Données projet'!$E$11+1,1))-AVERAGE(OFFSET($H$3,0,0,'Données projet'!$E$11+1,1))</f>
        <v>236.29093866505224</v>
      </c>
      <c r="BJ149" s="62">
        <f t="shared" si="146"/>
        <v>258.22911730540892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-2.8421709430404007E-13</v>
      </c>
      <c r="BZ149" s="14">
        <f>BY149*VLOOKUP('Données projet'!$B$12,Paramètres!$A$1:$I$89,3,0)*VLOOKUP('Données projet'!$B$12,Paramètres!$A$1:$I$89,5,0)</f>
        <v>-2.2168933355715128E-13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250.84814055099969</v>
      </c>
      <c r="CE149" s="62">
        <f t="shared" si="148"/>
        <v>226.15029417484465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2.2000000000000002</v>
      </c>
      <c r="CT149" s="13">
        <f>IF('Données projet'!$A$140&gt;35,CT148+CS149-DB148,IF(A149&lt;'Données projet'!$A$140,$CQ$205^A149,IF(A149='Données projet'!$A$140,'Données projet'!$B$140,CT148+CS149-DB148)))</f>
        <v>297.19999999999953</v>
      </c>
      <c r="CU149" s="18">
        <f>CT149*VLOOKUP('Données projet'!$B$13,Paramètres!$A$1:$I$89,3,0)*VLOOKUP('Données projet'!$B$13,Paramètres!$A$1:$I$89,5,0)</f>
        <v>301.36079999999953</v>
      </c>
      <c r="CV149" s="14">
        <f t="shared" si="149"/>
        <v>71.461664239932929</v>
      </c>
      <c r="CW149" s="22">
        <f t="shared" si="121"/>
        <v>649.33245855121572</v>
      </c>
      <c r="CX149" s="62">
        <f t="shared" si="122"/>
        <v>942.66579188454898</v>
      </c>
      <c r="CY149" s="62">
        <f ca="1">AVERAGE(OFFSET($CX$3,0,0,'Données projet'!$E$13+1,1))-AVERAGE(OFFSET($H$3,0,0,'Données projet'!$E$13+1,1))</f>
        <v>385.00782828233201</v>
      </c>
      <c r="CZ149" s="62">
        <f t="shared" si="150"/>
        <v>216.22708298332475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435.12346291440332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327.17622590628559</v>
      </c>
      <c r="T150" s="62">
        <f t="shared" si="142"/>
        <v>379.61248288852113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1.4949424916874274E-16</v>
      </c>
      <c r="AC150" s="24">
        <f t="shared" si="111"/>
        <v>1.4949424916874274E-16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1.2</v>
      </c>
      <c r="AI150" s="14">
        <f>IF('Données projet'!$A$62&gt;35,AI149+AH150-AQ149,IF(A150&lt;'Données projet'!$A$62,$AF$205^A150,IF(A150='Données projet'!$A$62,'Données projet'!$B$62,AI149+AH150-AQ149)))</f>
        <v>213.40000000000003</v>
      </c>
      <c r="AJ150" s="14">
        <f>AI150*VLOOKUP('Données projet'!$B$10,Paramètres!$A$1:$I$89,3,0)*VLOOKUP('Données projet'!$B$10,Paramètres!$A$1:$I$89,5,0)</f>
        <v>223.04568000000006</v>
      </c>
      <c r="AK150" s="14">
        <f t="shared" si="143"/>
        <v>54.776318590526813</v>
      </c>
      <c r="AL150" s="22">
        <f t="shared" si="112"/>
        <v>483.87331421183421</v>
      </c>
      <c r="AM150" s="62">
        <f t="shared" si="113"/>
        <v>777.20664754516747</v>
      </c>
      <c r="AN150" s="62">
        <f ca="1">AVERAGE(OFFSET($AM$3,0,0,'Données projet'!$E$10+1,1))-AVERAGE(OFFSET($H$3,0,0,'Données projet'!$E$10+1,1))</f>
        <v>276.87402314479681</v>
      </c>
      <c r="AO150" s="62">
        <f t="shared" si="144"/>
        <v>125.27302863901997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9.2222762759774927E-14</v>
      </c>
      <c r="BF150" s="14">
        <f t="shared" si="145"/>
        <v>1.3985662224947967E-12</v>
      </c>
      <c r="BG150" s="22">
        <f t="shared" si="115"/>
        <v>2.5964574826517121E-12</v>
      </c>
      <c r="BH150" s="62">
        <f t="shared" si="116"/>
        <v>293.33333333333593</v>
      </c>
      <c r="BI150" s="62">
        <f ca="1">AVERAGE(OFFSET($BH$3,0,0,'Données projet'!$E$11+1,1))-AVERAGE(OFFSET($H$3,0,0,'Données projet'!$E$11+1,1))</f>
        <v>236.29093866505224</v>
      </c>
      <c r="BJ150" s="62">
        <f t="shared" si="146"/>
        <v>258.22911730540892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-2.8421709430404007E-13</v>
      </c>
      <c r="BZ150" s="14">
        <f>BY150*VLOOKUP('Données projet'!$B$12,Paramètres!$A$1:$I$89,3,0)*VLOOKUP('Données projet'!$B$12,Paramètres!$A$1:$I$89,5,0)</f>
        <v>-2.2168933355715128E-13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250.84814055099969</v>
      </c>
      <c r="CE150" s="62">
        <f t="shared" si="148"/>
        <v>226.15029417484465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2.2000000000000002</v>
      </c>
      <c r="CT150" s="13">
        <f>IF('Données projet'!$A$140&gt;35,CT149+CS150-DB149,IF(A150&lt;'Données projet'!$A$140,$CQ$205^A150,IF(A150='Données projet'!$A$140,'Données projet'!$B$140,CT149+CS150-DB149)))</f>
        <v>299.39999999999952</v>
      </c>
      <c r="CU150" s="18">
        <f>CT150*VLOOKUP('Données projet'!$B$13,Paramètres!$A$1:$I$89,3,0)*VLOOKUP('Données projet'!$B$13,Paramètres!$A$1:$I$89,5,0)</f>
        <v>303.59159999999952</v>
      </c>
      <c r="CV150" s="14">
        <f t="shared" si="149"/>
        <v>71.928878488732622</v>
      </c>
      <c r="CW150" s="22">
        <f t="shared" si="121"/>
        <v>654.03150003454175</v>
      </c>
      <c r="CX150" s="62">
        <f t="shared" si="122"/>
        <v>947.36483336787501</v>
      </c>
      <c r="CY150" s="62">
        <f ca="1">AVERAGE(OFFSET($CX$3,0,0,'Données projet'!$E$13+1,1))-AVERAGE(OFFSET($H$3,0,0,'Données projet'!$E$13+1,1))</f>
        <v>385.00782828233201</v>
      </c>
      <c r="CZ150" s="62">
        <f t="shared" si="150"/>
        <v>216.22708298332475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436.30674487007587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327.17622590628559</v>
      </c>
      <c r="T151" s="62">
        <f t="shared" si="142"/>
        <v>379.61248288852113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1.0570839733560939E-16</v>
      </c>
      <c r="AC151" s="24">
        <f t="shared" si="111"/>
        <v>1.0570839733560939E-16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1.2</v>
      </c>
      <c r="AI151" s="14">
        <f>IF('Données projet'!$A$62&gt;35,AI150+AH151-AQ150,IF(A151&lt;'Données projet'!$A$62,$AF$205^A151,IF(A151='Données projet'!$A$62,'Données projet'!$B$62,AI150+AH151-AQ150)))</f>
        <v>214.60000000000002</v>
      </c>
      <c r="AJ151" s="14">
        <f>AI151*VLOOKUP('Données projet'!$B$10,Paramètres!$A$1:$I$89,3,0)*VLOOKUP('Données projet'!$B$10,Paramètres!$A$1:$I$89,5,0)</f>
        <v>224.29992000000001</v>
      </c>
      <c r="AK151" s="14">
        <f t="shared" si="143"/>
        <v>55.048396648853249</v>
      </c>
      <c r="AL151" s="22">
        <f t="shared" si="112"/>
        <v>486.53165149675277</v>
      </c>
      <c r="AM151" s="62">
        <f t="shared" si="113"/>
        <v>779.86498483008609</v>
      </c>
      <c r="AN151" s="62">
        <f ca="1">AVERAGE(OFFSET($AM$3,0,0,'Données projet'!$E$10+1,1))-AVERAGE(OFFSET($H$3,0,0,'Données projet'!$E$10+1,1))</f>
        <v>276.87402314479681</v>
      </c>
      <c r="AO151" s="62">
        <f t="shared" si="144"/>
        <v>125.27302863901997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9.2222762759774927E-14</v>
      </c>
      <c r="BF151" s="14">
        <f t="shared" si="145"/>
        <v>1.3985662224947967E-12</v>
      </c>
      <c r="BG151" s="22">
        <f t="shared" si="115"/>
        <v>2.5964574826517121E-12</v>
      </c>
      <c r="BH151" s="62">
        <f t="shared" si="116"/>
        <v>293.33333333333593</v>
      </c>
      <c r="BI151" s="62">
        <f ca="1">AVERAGE(OFFSET($BH$3,0,0,'Données projet'!$E$11+1,1))-AVERAGE(OFFSET($H$3,0,0,'Données projet'!$E$11+1,1))</f>
        <v>236.29093866505224</v>
      </c>
      <c r="BJ151" s="62">
        <f t="shared" si="146"/>
        <v>258.22911730540892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-2.8421709430404007E-13</v>
      </c>
      <c r="BZ151" s="14">
        <f>BY151*VLOOKUP('Données projet'!$B$12,Paramètres!$A$1:$I$89,3,0)*VLOOKUP('Données projet'!$B$12,Paramètres!$A$1:$I$89,5,0)</f>
        <v>-2.2168933355715128E-13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250.84814055099969</v>
      </c>
      <c r="CE151" s="62">
        <f t="shared" si="148"/>
        <v>226.15029417484465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2.2000000000000002</v>
      </c>
      <c r="CT151" s="13">
        <f>IF('Données projet'!$A$140&gt;35,CT150+CS151-DB150,IF(A151&lt;'Données projet'!$A$140,$CQ$205^A151,IF(A151='Données projet'!$A$140,'Données projet'!$B$140,CT150+CS151-DB150)))</f>
        <v>301.59999999999951</v>
      </c>
      <c r="CU151" s="18">
        <f>CT151*VLOOKUP('Données projet'!$B$13,Paramètres!$A$1:$I$89,3,0)*VLOOKUP('Données projet'!$B$13,Paramètres!$A$1:$I$89,5,0)</f>
        <v>305.8223999999995</v>
      </c>
      <c r="CV151" s="14">
        <f t="shared" si="149"/>
        <v>72.395693291268813</v>
      </c>
      <c r="CW151" s="22">
        <f t="shared" si="121"/>
        <v>658.72984581562559</v>
      </c>
      <c r="CX151" s="62">
        <f t="shared" si="122"/>
        <v>952.06317914895885</v>
      </c>
      <c r="CY151" s="62">
        <f ca="1">AVERAGE(OFFSET($CX$3,0,0,'Données projet'!$E$13+1,1))-AVERAGE(OFFSET($H$3,0,0,'Données projet'!$E$13+1,1))</f>
        <v>385.00782828233201</v>
      </c>
      <c r="CZ151" s="62">
        <f t="shared" si="150"/>
        <v>216.22708298332475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437.48984417017164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327.17622590628559</v>
      </c>
      <c r="T152" s="62">
        <f t="shared" si="142"/>
        <v>379.61248288852113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7.474712458437137E-17</v>
      </c>
      <c r="AC152" s="24">
        <f t="shared" si="111"/>
        <v>7.474712458437137E-17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1.2</v>
      </c>
      <c r="AI152" s="14">
        <f>IF('Données projet'!$A$62&gt;35,AI151+AH152-AQ151,IF(A152&lt;'Données projet'!$A$62,$AF$205^A152,IF(A152='Données projet'!$A$62,'Données projet'!$B$62,AI151+AH152-AQ151)))</f>
        <v>215.8</v>
      </c>
      <c r="AJ152" s="14">
        <f>AI152*VLOOKUP('Données projet'!$B$10,Paramètres!$A$1:$I$89,3,0)*VLOOKUP('Données projet'!$B$10,Paramètres!$A$1:$I$89,5,0)</f>
        <v>225.55416000000002</v>
      </c>
      <c r="AK152" s="14">
        <f t="shared" si="143"/>
        <v>55.320297672197341</v>
      </c>
      <c r="AL152" s="22">
        <f t="shared" si="112"/>
        <v>489.18968044574376</v>
      </c>
      <c r="AM152" s="62">
        <f t="shared" si="113"/>
        <v>782.52301377907702</v>
      </c>
      <c r="AN152" s="62">
        <f ca="1">AVERAGE(OFFSET($AM$3,0,0,'Données projet'!$E$10+1,1))-AVERAGE(OFFSET($H$3,0,0,'Données projet'!$E$10+1,1))</f>
        <v>276.87402314479681</v>
      </c>
      <c r="AO152" s="62">
        <f t="shared" si="144"/>
        <v>125.27302863901997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9.2222762759774927E-14</v>
      </c>
      <c r="BF152" s="14">
        <f t="shared" si="145"/>
        <v>1.3985662224947967E-12</v>
      </c>
      <c r="BG152" s="22">
        <f t="shared" si="115"/>
        <v>2.5964574826517121E-12</v>
      </c>
      <c r="BH152" s="62">
        <f t="shared" si="116"/>
        <v>293.33333333333593</v>
      </c>
      <c r="BI152" s="62">
        <f ca="1">AVERAGE(OFFSET($BH$3,0,0,'Données projet'!$E$11+1,1))-AVERAGE(OFFSET($H$3,0,0,'Données projet'!$E$11+1,1))</f>
        <v>236.29093866505224</v>
      </c>
      <c r="BJ152" s="62">
        <f t="shared" si="146"/>
        <v>258.22911730540892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-2.8421709430404007E-13</v>
      </c>
      <c r="BZ152" s="14">
        <f>BY152*VLOOKUP('Données projet'!$B$12,Paramètres!$A$1:$I$89,3,0)*VLOOKUP('Données projet'!$B$12,Paramètres!$A$1:$I$89,5,0)</f>
        <v>-2.2168933355715128E-13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250.84814055099969</v>
      </c>
      <c r="CE152" s="62">
        <f t="shared" si="148"/>
        <v>226.15029417484465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2.2000000000000002</v>
      </c>
      <c r="CT152" s="13">
        <f>IF('Données projet'!$A$140&gt;35,CT151+CS152-DB151,IF(A152&lt;'Données projet'!$A$140,$CQ$205^A152,IF(A152='Données projet'!$A$140,'Données projet'!$B$140,CT151+CS152-DB151)))</f>
        <v>303.7999999999995</v>
      </c>
      <c r="CU152" s="18">
        <f>CT152*VLOOKUP('Données projet'!$B$13,Paramètres!$A$1:$I$89,3,0)*VLOOKUP('Données projet'!$B$13,Paramètres!$A$1:$I$89,5,0)</f>
        <v>308.05319999999955</v>
      </c>
      <c r="CV152" s="14">
        <f t="shared" si="149"/>
        <v>72.862111899109848</v>
      </c>
      <c r="CW152" s="22">
        <f t="shared" si="121"/>
        <v>663.42750155761553</v>
      </c>
      <c r="CX152" s="62">
        <f t="shared" si="122"/>
        <v>956.7608348909489</v>
      </c>
      <c r="CY152" s="62">
        <f ca="1">AVERAGE(OFFSET($CX$3,0,0,'Données projet'!$E$13+1,1))-AVERAGE(OFFSET($H$3,0,0,'Données projet'!$E$13+1,1))</f>
        <v>385.00782828233201</v>
      </c>
      <c r="CZ152" s="62">
        <f t="shared" si="150"/>
        <v>216.22708298332475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438.6727621827452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327.17622590628559</v>
      </c>
      <c r="T153" s="62">
        <f t="shared" si="142"/>
        <v>379.61248288852113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5.2854198667804694E-17</v>
      </c>
      <c r="AC153" s="24">
        <f t="shared" si="111"/>
        <v>5.2854198667804694E-17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217</v>
      </c>
      <c r="AG153" s="13">
        <f>VLOOKUP(A153,'Données projet'!$A$61:$I$81,9,0)</f>
        <v>1.2</v>
      </c>
      <c r="AH153" s="13">
        <f t="array" ref="AH153">INDEX(AG:AG,MIN(IF(ISNUMBER(AG153:AG349),ROW(AG153:AG349),"")))</f>
        <v>1.2</v>
      </c>
      <c r="AI153" s="14">
        <f>IF('Données projet'!$A$62&gt;35,AI152+AH153-AQ152,IF(A153&lt;'Données projet'!$A$62,$AF$205^A153,IF(A153='Données projet'!$A$62,'Données projet'!$B$62,AI152+AH153-AQ152)))</f>
        <v>217</v>
      </c>
      <c r="AJ153" s="14">
        <f>AI153*VLOOKUP('Données projet'!$B$10,Paramètres!$A$1:$I$89,3,0)*VLOOKUP('Données projet'!$B$10,Paramètres!$A$1:$I$89,5,0)</f>
        <v>226.80840000000003</v>
      </c>
      <c r="AK153" s="14">
        <f t="shared" si="143"/>
        <v>55.592022759242575</v>
      </c>
      <c r="AL153" s="22">
        <f t="shared" si="112"/>
        <v>491.84740297234742</v>
      </c>
      <c r="AM153" s="62">
        <f t="shared" si="113"/>
        <v>785.18073630568074</v>
      </c>
      <c r="AN153" s="62">
        <f ca="1">AVERAGE(OFFSET($AM$3,0,0,'Données projet'!$E$10+1,1))-AVERAGE(OFFSET($H$3,0,0,'Données projet'!$E$10+1,1))</f>
        <v>276.87402314479681</v>
      </c>
      <c r="AO153" s="62">
        <f t="shared" si="144"/>
        <v>125.27302863901997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217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9.2222762759774927E-14</v>
      </c>
      <c r="BF153" s="14">
        <f t="shared" si="145"/>
        <v>1.3985662224947967E-12</v>
      </c>
      <c r="BG153" s="22">
        <f t="shared" si="115"/>
        <v>2.5964574826517121E-12</v>
      </c>
      <c r="BH153" s="62">
        <f t="shared" si="116"/>
        <v>293.33333333333593</v>
      </c>
      <c r="BI153" s="62">
        <f ca="1">AVERAGE(OFFSET($BH$3,0,0,'Données projet'!$E$11+1,1))-AVERAGE(OFFSET($H$3,0,0,'Données projet'!$E$11+1,1))</f>
        <v>236.29093866505224</v>
      </c>
      <c r="BJ153" s="62">
        <f t="shared" si="146"/>
        <v>258.22911730540892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-2.8421709430404007E-13</v>
      </c>
      <c r="BZ153" s="14">
        <f>BY153*VLOOKUP('Données projet'!$B$12,Paramètres!$A$1:$I$89,3,0)*VLOOKUP('Données projet'!$B$12,Paramètres!$A$1:$I$89,5,0)</f>
        <v>-2.2168933355715128E-13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250.84814055099969</v>
      </c>
      <c r="CE153" s="62">
        <f t="shared" si="148"/>
        <v>226.15029417484465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306</v>
      </c>
      <c r="CR153" s="13">
        <f>VLOOKUP(A153,'Données projet'!$A$139:$I$159,9,0)</f>
        <v>2.2000000000000002</v>
      </c>
      <c r="CS153" s="13">
        <f t="array" ref="CS153">INDEX(CR:CR,MIN(IF(ISNUMBER(CR153:CR349),ROW(CR153:CR349),"")))</f>
        <v>2.2000000000000002</v>
      </c>
      <c r="CT153" s="13">
        <f>IF('Données projet'!$A$140&gt;35,CT152+CS153-DB152,IF(A153&lt;'Données projet'!$A$140,$CQ$205^A153,IF(A153='Données projet'!$A$140,'Données projet'!$B$140,CT152+CS153-DB152)))</f>
        <v>305.99999999999949</v>
      </c>
      <c r="CU153" s="18">
        <f>CT153*VLOOKUP('Données projet'!$B$13,Paramètres!$A$1:$I$89,3,0)*VLOOKUP('Données projet'!$B$13,Paramètres!$A$1:$I$89,5,0)</f>
        <v>310.28399999999948</v>
      </c>
      <c r="CV153" s="14">
        <f t="shared" si="149"/>
        <v>73.328137514010024</v>
      </c>
      <c r="CW153" s="22">
        <f t="shared" si="121"/>
        <v>668.12447283689983</v>
      </c>
      <c r="CX153" s="62">
        <f t="shared" si="122"/>
        <v>961.4578061702332</v>
      </c>
      <c r="CY153" s="62">
        <f ca="1">AVERAGE(OFFSET($CX$3,0,0,'Données projet'!$E$13+1,1))-AVERAGE(OFFSET($H$3,0,0,'Données projet'!$E$13+1,1))</f>
        <v>385.00782828233201</v>
      </c>
      <c r="CZ153" s="62">
        <f t="shared" si="150"/>
        <v>216.22708298332475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306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439.85550025655579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327.17622590628559</v>
      </c>
      <c r="T154" s="62">
        <f t="shared" si="142"/>
        <v>379.61248288852113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3.7373562292185685E-17</v>
      </c>
      <c r="AC154" s="24">
        <f t="shared" ref="AC154:AC203" si="163">SUM(Z154:AB154)</f>
        <v>3.7373562292185685E-17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276.87402314479681</v>
      </c>
      <c r="AO154" s="62">
        <f t="shared" si="144"/>
        <v>125.27302863901997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9.2222762759774927E-14</v>
      </c>
      <c r="BF154" s="14">
        <f t="shared" ref="BF154:BF203" si="167">EXP(-1.0587+0.8836*LN(BE154)+0.284)</f>
        <v>1.3985662224947967E-12</v>
      </c>
      <c r="BG154" s="22">
        <f t="shared" ref="BG154:BG203" si="168">(BE154+BF154)*0.475*44/12</f>
        <v>2.5964574826517121E-12</v>
      </c>
      <c r="BH154" s="62">
        <f t="shared" si="116"/>
        <v>293.33333333333593</v>
      </c>
      <c r="BI154" s="62">
        <f ca="1">AVERAGE(OFFSET($BH$3,0,0,'Données projet'!$E$11+1,1))-AVERAGE(OFFSET($H$3,0,0,'Données projet'!$E$11+1,1))</f>
        <v>236.29093866505224</v>
      </c>
      <c r="BJ154" s="62">
        <f t="shared" si="146"/>
        <v>258.22911730540892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-2.8421709430404007E-13</v>
      </c>
      <c r="BZ154" s="14">
        <f>BY154*VLOOKUP('Données projet'!$B$12,Paramètres!$A$1:$I$89,3,0)*VLOOKUP('Données projet'!$B$12,Paramètres!$A$1:$I$89,5,0)</f>
        <v>-2.2168933355715128E-13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250.84814055099969</v>
      </c>
      <c r="CE154" s="62">
        <f t="shared" si="148"/>
        <v>226.15029417484465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-5.1159076974727213E-13</v>
      </c>
      <c r="CU154" s="18">
        <f>CT154*VLOOKUP('Données projet'!$B$13,Paramètres!$A$1:$I$89,3,0)*VLOOKUP('Données projet'!$B$13,Paramètres!$A$1:$I$89,5,0)</f>
        <v>-5.1875304052373401E-13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385.00782828233201</v>
      </c>
      <c r="CZ154" s="62">
        <f t="shared" si="150"/>
        <v>216.22708298332475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441.03805972146552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327.17622590628559</v>
      </c>
      <c r="T155" s="62">
        <f t="shared" si="142"/>
        <v>379.61248288852113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2.6427099333902347E-17</v>
      </c>
      <c r="AC155" s="24">
        <f t="shared" si="163"/>
        <v>2.6427099333902347E-17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276.87402314479681</v>
      </c>
      <c r="AO155" s="62">
        <f t="shared" si="144"/>
        <v>125.27302863901997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9.2222762759774927E-14</v>
      </c>
      <c r="BF155" s="14">
        <f t="shared" si="167"/>
        <v>1.3985662224947967E-12</v>
      </c>
      <c r="BG155" s="22">
        <f t="shared" si="168"/>
        <v>2.5964574826517121E-12</v>
      </c>
      <c r="BH155" s="62">
        <f t="shared" si="116"/>
        <v>293.33333333333593</v>
      </c>
      <c r="BI155" s="62">
        <f ca="1">AVERAGE(OFFSET($BH$3,0,0,'Données projet'!$E$11+1,1))-AVERAGE(OFFSET($H$3,0,0,'Données projet'!$E$11+1,1))</f>
        <v>236.29093866505224</v>
      </c>
      <c r="BJ155" s="62">
        <f t="shared" si="146"/>
        <v>258.22911730540892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-2.8421709430404007E-13</v>
      </c>
      <c r="BZ155" s="14">
        <f>BY155*VLOOKUP('Données projet'!$B$12,Paramètres!$A$1:$I$89,3,0)*VLOOKUP('Données projet'!$B$12,Paramètres!$A$1:$I$89,5,0)</f>
        <v>-2.2168933355715128E-13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250.84814055099969</v>
      </c>
      <c r="CE155" s="62">
        <f t="shared" si="148"/>
        <v>226.15029417484465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-5.1159076974727213E-13</v>
      </c>
      <c r="CU155" s="18">
        <f>CT155*VLOOKUP('Données projet'!$B$13,Paramètres!$A$1:$I$89,3,0)*VLOOKUP('Données projet'!$B$13,Paramètres!$A$1:$I$89,5,0)</f>
        <v>-5.1875304052373401E-13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385.00782828233201</v>
      </c>
      <c r="CZ155" s="62">
        <f t="shared" si="150"/>
        <v>216.22708298332475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442.22044188882654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327.17622590628559</v>
      </c>
      <c r="T156" s="62">
        <f t="shared" si="142"/>
        <v>379.61248288852113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1.8686781146092843E-17</v>
      </c>
      <c r="AC156" s="24">
        <f t="shared" si="163"/>
        <v>1.8686781146092843E-17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276.87402314479681</v>
      </c>
      <c r="AO156" s="62">
        <f t="shared" si="144"/>
        <v>125.27302863901997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9.2222762759774927E-14</v>
      </c>
      <c r="BF156" s="14">
        <f t="shared" si="167"/>
        <v>1.3985662224947967E-12</v>
      </c>
      <c r="BG156" s="22">
        <f t="shared" si="168"/>
        <v>2.5964574826517121E-12</v>
      </c>
      <c r="BH156" s="62">
        <f t="shared" si="116"/>
        <v>293.33333333333593</v>
      </c>
      <c r="BI156" s="62">
        <f ca="1">AVERAGE(OFFSET($BH$3,0,0,'Données projet'!$E$11+1,1))-AVERAGE(OFFSET($H$3,0,0,'Données projet'!$E$11+1,1))</f>
        <v>236.29093866505224</v>
      </c>
      <c r="BJ156" s="62">
        <f t="shared" si="146"/>
        <v>258.22911730540892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-2.8421709430404007E-13</v>
      </c>
      <c r="BZ156" s="14">
        <f>BY156*VLOOKUP('Données projet'!$B$12,Paramètres!$A$1:$I$89,3,0)*VLOOKUP('Données projet'!$B$12,Paramètres!$A$1:$I$89,5,0)</f>
        <v>-2.2168933355715128E-13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250.84814055099969</v>
      </c>
      <c r="CE156" s="62">
        <f t="shared" si="148"/>
        <v>226.15029417484465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-5.1159076974727213E-13</v>
      </c>
      <c r="CU156" s="18">
        <f>CT156*VLOOKUP('Données projet'!$B$13,Paramètres!$A$1:$I$89,3,0)*VLOOKUP('Données projet'!$B$13,Paramètres!$A$1:$I$89,5,0)</f>
        <v>-5.1875304052373401E-13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385.00782828233201</v>
      </c>
      <c r="CZ156" s="62">
        <f t="shared" si="150"/>
        <v>216.22708298332475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443.40264805185802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327.17622590628559</v>
      </c>
      <c r="T157" s="62">
        <f t="shared" si="142"/>
        <v>379.61248288852113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1.3213549666951173E-17</v>
      </c>
      <c r="AC157" s="24">
        <f t="shared" si="163"/>
        <v>1.3213549666951173E-17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276.87402314479681</v>
      </c>
      <c r="AO157" s="62">
        <f t="shared" si="144"/>
        <v>125.27302863901997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9.2222762759774927E-14</v>
      </c>
      <c r="BF157" s="14">
        <f t="shared" si="167"/>
        <v>1.3985662224947967E-12</v>
      </c>
      <c r="BG157" s="22">
        <f t="shared" si="168"/>
        <v>2.5964574826517121E-12</v>
      </c>
      <c r="BH157" s="62">
        <f t="shared" si="116"/>
        <v>293.33333333333593</v>
      </c>
      <c r="BI157" s="62">
        <f ca="1">AVERAGE(OFFSET($BH$3,0,0,'Données projet'!$E$11+1,1))-AVERAGE(OFFSET($H$3,0,0,'Données projet'!$E$11+1,1))</f>
        <v>236.29093866505224</v>
      </c>
      <c r="BJ157" s="62">
        <f t="shared" si="146"/>
        <v>258.22911730540892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-2.8421709430404007E-13</v>
      </c>
      <c r="BZ157" s="14">
        <f>BY157*VLOOKUP('Données projet'!$B$12,Paramètres!$A$1:$I$89,3,0)*VLOOKUP('Données projet'!$B$12,Paramètres!$A$1:$I$89,5,0)</f>
        <v>-2.2168933355715128E-13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250.84814055099969</v>
      </c>
      <c r="CE157" s="62">
        <f t="shared" si="148"/>
        <v>226.15029417484465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-5.1159076974727213E-13</v>
      </c>
      <c r="CU157" s="18">
        <f>CT157*VLOOKUP('Données projet'!$B$13,Paramètres!$A$1:$I$89,3,0)*VLOOKUP('Données projet'!$B$13,Paramètres!$A$1:$I$89,5,0)</f>
        <v>-5.1875304052373401E-13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385.00782828233201</v>
      </c>
      <c r="CZ157" s="62">
        <f t="shared" si="150"/>
        <v>216.22708298332475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444.58467948601304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327.17622590628559</v>
      </c>
      <c r="T158" s="62">
        <f t="shared" si="142"/>
        <v>379.61248288852113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9.3433905730464213E-18</v>
      </c>
      <c r="AC158" s="24">
        <f t="shared" si="163"/>
        <v>9.3433905730464213E-18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276.87402314479681</v>
      </c>
      <c r="AO158" s="62">
        <f t="shared" si="144"/>
        <v>125.27302863901997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9.2222762759774927E-14</v>
      </c>
      <c r="BF158" s="14">
        <f t="shared" si="167"/>
        <v>1.3985662224947967E-12</v>
      </c>
      <c r="BG158" s="22">
        <f t="shared" si="168"/>
        <v>2.5964574826517121E-12</v>
      </c>
      <c r="BH158" s="62">
        <f t="shared" si="116"/>
        <v>293.33333333333593</v>
      </c>
      <c r="BI158" s="62">
        <f ca="1">AVERAGE(OFFSET($BH$3,0,0,'Données projet'!$E$11+1,1))-AVERAGE(OFFSET($H$3,0,0,'Données projet'!$E$11+1,1))</f>
        <v>236.29093866505224</v>
      </c>
      <c r="BJ158" s="62">
        <f t="shared" si="146"/>
        <v>258.22911730540892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-2.8421709430404007E-13</v>
      </c>
      <c r="BZ158" s="14">
        <f>BY158*VLOOKUP('Données projet'!$B$12,Paramètres!$A$1:$I$89,3,0)*VLOOKUP('Données projet'!$B$12,Paramètres!$A$1:$I$89,5,0)</f>
        <v>-2.2168933355715128E-13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250.84814055099969</v>
      </c>
      <c r="CE158" s="62">
        <f t="shared" si="148"/>
        <v>226.15029417484465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-5.1159076974727213E-13</v>
      </c>
      <c r="CU158" s="18">
        <f>CT158*VLOOKUP('Données projet'!$B$13,Paramètres!$A$1:$I$89,3,0)*VLOOKUP('Données projet'!$B$13,Paramètres!$A$1:$I$89,5,0)</f>
        <v>-5.1875304052373401E-13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385.00782828233201</v>
      </c>
      <c r="CZ158" s="62">
        <f t="shared" si="150"/>
        <v>216.22708298332475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445.76653744933537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327.17622590628559</v>
      </c>
      <c r="T159" s="62">
        <f t="shared" si="142"/>
        <v>379.61248288852113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6.6067748334755867E-18</v>
      </c>
      <c r="AC159" s="24">
        <f t="shared" si="163"/>
        <v>6.6067748334755867E-18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276.87402314479681</v>
      </c>
      <c r="AO159" s="62">
        <f t="shared" si="144"/>
        <v>125.27302863901997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9.2222762759774927E-14</v>
      </c>
      <c r="BF159" s="14">
        <f t="shared" si="167"/>
        <v>1.3985662224947967E-12</v>
      </c>
      <c r="BG159" s="22">
        <f t="shared" si="168"/>
        <v>2.5964574826517121E-12</v>
      </c>
      <c r="BH159" s="62">
        <f t="shared" si="116"/>
        <v>293.33333333333593</v>
      </c>
      <c r="BI159" s="62">
        <f ca="1">AVERAGE(OFFSET($BH$3,0,0,'Données projet'!$E$11+1,1))-AVERAGE(OFFSET($H$3,0,0,'Données projet'!$E$11+1,1))</f>
        <v>236.29093866505224</v>
      </c>
      <c r="BJ159" s="62">
        <f t="shared" si="146"/>
        <v>258.22911730540892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-2.8421709430404007E-13</v>
      </c>
      <c r="BZ159" s="14">
        <f>BY159*VLOOKUP('Données projet'!$B$12,Paramètres!$A$1:$I$89,3,0)*VLOOKUP('Données projet'!$B$12,Paramètres!$A$1:$I$89,5,0)</f>
        <v>-2.2168933355715128E-13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250.84814055099969</v>
      </c>
      <c r="CE159" s="62">
        <f t="shared" si="148"/>
        <v>226.15029417484465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-5.1159076974727213E-13</v>
      </c>
      <c r="CU159" s="18">
        <f>CT159*VLOOKUP('Données projet'!$B$13,Paramètres!$A$1:$I$89,3,0)*VLOOKUP('Données projet'!$B$13,Paramètres!$A$1:$I$89,5,0)</f>
        <v>-5.1875304052373401E-13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385.00782828233201</v>
      </c>
      <c r="CZ159" s="62">
        <f t="shared" si="150"/>
        <v>216.22708298332475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446.94822318280762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327.17622590628559</v>
      </c>
      <c r="T160" s="62">
        <f t="shared" si="142"/>
        <v>379.61248288852113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4.6716952865232106E-18</v>
      </c>
      <c r="AC160" s="24">
        <f t="shared" si="163"/>
        <v>4.6716952865232106E-18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276.87402314479681</v>
      </c>
      <c r="AO160" s="62">
        <f t="shared" si="144"/>
        <v>125.27302863901997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9.2222762759774927E-14</v>
      </c>
      <c r="BF160" s="14">
        <f t="shared" si="167"/>
        <v>1.3985662224947967E-12</v>
      </c>
      <c r="BG160" s="22">
        <f t="shared" si="168"/>
        <v>2.5964574826517121E-12</v>
      </c>
      <c r="BH160" s="62">
        <f t="shared" si="116"/>
        <v>293.33333333333593</v>
      </c>
      <c r="BI160" s="62">
        <f ca="1">AVERAGE(OFFSET($BH$3,0,0,'Données projet'!$E$11+1,1))-AVERAGE(OFFSET($H$3,0,0,'Données projet'!$E$11+1,1))</f>
        <v>236.29093866505224</v>
      </c>
      <c r="BJ160" s="62">
        <f t="shared" si="146"/>
        <v>258.22911730540892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-2.8421709430404007E-13</v>
      </c>
      <c r="BZ160" s="14">
        <f>BY160*VLOOKUP('Données projet'!$B$12,Paramètres!$A$1:$I$89,3,0)*VLOOKUP('Données projet'!$B$12,Paramètres!$A$1:$I$89,5,0)</f>
        <v>-2.2168933355715128E-13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250.84814055099969</v>
      </c>
      <c r="CE160" s="62">
        <f t="shared" si="148"/>
        <v>226.15029417484465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-5.1159076974727213E-13</v>
      </c>
      <c r="CU160" s="18">
        <f>CT160*VLOOKUP('Données projet'!$B$13,Paramètres!$A$1:$I$89,3,0)*VLOOKUP('Données projet'!$B$13,Paramètres!$A$1:$I$89,5,0)</f>
        <v>-5.1875304052373401E-13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385.00782828233201</v>
      </c>
      <c r="CZ160" s="62">
        <f t="shared" si="150"/>
        <v>216.22708298332475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448.12973791068919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327.17622590628559</v>
      </c>
      <c r="T161" s="62">
        <f t="shared" si="142"/>
        <v>379.61248288852113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3.3033874167377934E-18</v>
      </c>
      <c r="AC161" s="24">
        <f t="shared" si="163"/>
        <v>3.3033874167377934E-18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276.87402314479681</v>
      </c>
      <c r="AO161" s="62">
        <f t="shared" si="144"/>
        <v>125.27302863901997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9.2222762759774927E-14</v>
      </c>
      <c r="BF161" s="14">
        <f t="shared" si="167"/>
        <v>1.3985662224947967E-12</v>
      </c>
      <c r="BG161" s="22">
        <f t="shared" si="168"/>
        <v>2.5964574826517121E-12</v>
      </c>
      <c r="BH161" s="62">
        <f t="shared" si="116"/>
        <v>293.33333333333593</v>
      </c>
      <c r="BI161" s="62">
        <f ca="1">AVERAGE(OFFSET($BH$3,0,0,'Données projet'!$E$11+1,1))-AVERAGE(OFFSET($H$3,0,0,'Données projet'!$E$11+1,1))</f>
        <v>236.29093866505224</v>
      </c>
      <c r="BJ161" s="62">
        <f t="shared" si="146"/>
        <v>258.22911730540892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-2.8421709430404007E-13</v>
      </c>
      <c r="BZ161" s="14">
        <f>BY161*VLOOKUP('Données projet'!$B$12,Paramètres!$A$1:$I$89,3,0)*VLOOKUP('Données projet'!$B$12,Paramètres!$A$1:$I$89,5,0)</f>
        <v>-2.2168933355715128E-13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250.84814055099969</v>
      </c>
      <c r="CE161" s="62">
        <f t="shared" si="148"/>
        <v>226.15029417484465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-5.1159076974727213E-13</v>
      </c>
      <c r="CU161" s="18">
        <f>CT161*VLOOKUP('Données projet'!$B$13,Paramètres!$A$1:$I$89,3,0)*VLOOKUP('Données projet'!$B$13,Paramètres!$A$1:$I$89,5,0)</f>
        <v>-5.1875304052373401E-13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385.00782828233201</v>
      </c>
      <c r="CZ161" s="62">
        <f t="shared" si="150"/>
        <v>216.22708298332475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449.31108284084667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327.17622590628559</v>
      </c>
      <c r="T162" s="62">
        <f t="shared" si="142"/>
        <v>379.61248288852113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2.3358476432616053E-18</v>
      </c>
      <c r="AC162" s="24">
        <f t="shared" si="163"/>
        <v>2.3358476432616053E-18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276.87402314479681</v>
      </c>
      <c r="AO162" s="62">
        <f t="shared" si="144"/>
        <v>125.27302863901997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9.2222762759774927E-14</v>
      </c>
      <c r="BF162" s="14">
        <f t="shared" si="167"/>
        <v>1.3985662224947967E-12</v>
      </c>
      <c r="BG162" s="22">
        <f t="shared" si="168"/>
        <v>2.5964574826517121E-12</v>
      </c>
      <c r="BH162" s="62">
        <f t="shared" si="116"/>
        <v>293.33333333333593</v>
      </c>
      <c r="BI162" s="62">
        <f ca="1">AVERAGE(OFFSET($BH$3,0,0,'Données projet'!$E$11+1,1))-AVERAGE(OFFSET($H$3,0,0,'Données projet'!$E$11+1,1))</f>
        <v>236.29093866505224</v>
      </c>
      <c r="BJ162" s="62">
        <f t="shared" si="146"/>
        <v>258.22911730540892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-2.8421709430404007E-13</v>
      </c>
      <c r="BZ162" s="14">
        <f>BY162*VLOOKUP('Données projet'!$B$12,Paramètres!$A$1:$I$89,3,0)*VLOOKUP('Données projet'!$B$12,Paramètres!$A$1:$I$89,5,0)</f>
        <v>-2.2168933355715128E-13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250.84814055099969</v>
      </c>
      <c r="CE162" s="62">
        <f t="shared" si="148"/>
        <v>226.15029417484465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-5.1159076974727213E-13</v>
      </c>
      <c r="CU162" s="18">
        <f>CT162*VLOOKUP('Données projet'!$B$13,Paramètres!$A$1:$I$89,3,0)*VLOOKUP('Données projet'!$B$13,Paramètres!$A$1:$I$89,5,0)</f>
        <v>-5.1875304052373401E-13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385.00782828233201</v>
      </c>
      <c r="CZ162" s="62">
        <f t="shared" si="150"/>
        <v>216.22708298332475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450.4922591650743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327.17622590628559</v>
      </c>
      <c r="T163" s="62">
        <f t="shared" si="142"/>
        <v>379.61248288852113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1.6516937083688967E-18</v>
      </c>
      <c r="AC163" s="24">
        <f t="shared" si="163"/>
        <v>1.6516937083688967E-18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276.87402314479681</v>
      </c>
      <c r="AO163" s="62">
        <f t="shared" si="144"/>
        <v>125.27302863901997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9.2222762759774927E-14</v>
      </c>
      <c r="BF163" s="14">
        <f t="shared" si="167"/>
        <v>1.3985662224947967E-12</v>
      </c>
      <c r="BG163" s="22">
        <f t="shared" si="168"/>
        <v>2.5964574826517121E-12</v>
      </c>
      <c r="BH163" s="62">
        <f t="shared" si="116"/>
        <v>293.33333333333593</v>
      </c>
      <c r="BI163" s="62">
        <f ca="1">AVERAGE(OFFSET($BH$3,0,0,'Données projet'!$E$11+1,1))-AVERAGE(OFFSET($H$3,0,0,'Données projet'!$E$11+1,1))</f>
        <v>236.29093866505224</v>
      </c>
      <c r="BJ163" s="62">
        <f t="shared" si="146"/>
        <v>258.22911730540892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-2.8421709430404007E-13</v>
      </c>
      <c r="BZ163" s="14">
        <f>BY163*VLOOKUP('Données projet'!$B$12,Paramètres!$A$1:$I$89,3,0)*VLOOKUP('Données projet'!$B$12,Paramètres!$A$1:$I$89,5,0)</f>
        <v>-2.2168933355715128E-13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250.84814055099969</v>
      </c>
      <c r="CE163" s="62">
        <f t="shared" si="148"/>
        <v>226.15029417484465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-5.1159076974727213E-13</v>
      </c>
      <c r="CU163" s="18">
        <f>CT163*VLOOKUP('Données projet'!$B$13,Paramètres!$A$1:$I$89,3,0)*VLOOKUP('Données projet'!$B$13,Paramètres!$A$1:$I$89,5,0)</f>
        <v>-5.1875304052373401E-13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385.00782828233201</v>
      </c>
      <c r="CZ163" s="62">
        <f t="shared" si="150"/>
        <v>216.22708298332475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451.67326805940763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327.17622590628559</v>
      </c>
      <c r="T164" s="62">
        <f t="shared" si="142"/>
        <v>379.61248288852113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1.1679238216308027E-18</v>
      </c>
      <c r="AC164" s="24">
        <f t="shared" si="163"/>
        <v>1.1679238216308027E-18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276.87402314479681</v>
      </c>
      <c r="AO164" s="62">
        <f t="shared" si="144"/>
        <v>125.27302863901997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9.2222762759774927E-14</v>
      </c>
      <c r="BF164" s="14">
        <f t="shared" si="167"/>
        <v>1.3985662224947967E-12</v>
      </c>
      <c r="BG164" s="22">
        <f t="shared" si="168"/>
        <v>2.5964574826517121E-12</v>
      </c>
      <c r="BH164" s="62">
        <f t="shared" si="116"/>
        <v>293.33333333333593</v>
      </c>
      <c r="BI164" s="62">
        <f ca="1">AVERAGE(OFFSET($BH$3,0,0,'Données projet'!$E$11+1,1))-AVERAGE(OFFSET($H$3,0,0,'Données projet'!$E$11+1,1))</f>
        <v>236.29093866505224</v>
      </c>
      <c r="BJ164" s="62">
        <f t="shared" si="146"/>
        <v>258.22911730540892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-2.8421709430404007E-13</v>
      </c>
      <c r="BZ164" s="14">
        <f>BY164*VLOOKUP('Données projet'!$B$12,Paramètres!$A$1:$I$89,3,0)*VLOOKUP('Données projet'!$B$12,Paramètres!$A$1:$I$89,5,0)</f>
        <v>-2.2168933355715128E-13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250.84814055099969</v>
      </c>
      <c r="CE164" s="62">
        <f t="shared" si="148"/>
        <v>226.15029417484465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-5.1159076974727213E-13</v>
      </c>
      <c r="CU164" s="18">
        <f>CT164*VLOOKUP('Données projet'!$B$13,Paramètres!$A$1:$I$89,3,0)*VLOOKUP('Données projet'!$B$13,Paramètres!$A$1:$I$89,5,0)</f>
        <v>-5.1875304052373401E-13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385.00782828233201</v>
      </c>
      <c r="CZ164" s="62">
        <f t="shared" si="150"/>
        <v>216.22708298332475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452.85411068442789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327.17622590628559</v>
      </c>
      <c r="T165" s="62">
        <f t="shared" si="142"/>
        <v>379.61248288852113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8.2584685418444834E-19</v>
      </c>
      <c r="AC165" s="24">
        <f t="shared" si="163"/>
        <v>8.2584685418444834E-19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276.87402314479681</v>
      </c>
      <c r="AO165" s="62">
        <f t="shared" si="144"/>
        <v>125.27302863901997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9.2222762759774927E-14</v>
      </c>
      <c r="BF165" s="14">
        <f t="shared" si="167"/>
        <v>1.3985662224947967E-12</v>
      </c>
      <c r="BG165" s="22">
        <f t="shared" si="168"/>
        <v>2.5964574826517121E-12</v>
      </c>
      <c r="BH165" s="62">
        <f t="shared" si="116"/>
        <v>293.33333333333593</v>
      </c>
      <c r="BI165" s="62">
        <f ca="1">AVERAGE(OFFSET($BH$3,0,0,'Données projet'!$E$11+1,1))-AVERAGE(OFFSET($H$3,0,0,'Données projet'!$E$11+1,1))</f>
        <v>236.29093866505224</v>
      </c>
      <c r="BJ165" s="62">
        <f t="shared" si="146"/>
        <v>258.22911730540892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-2.8421709430404007E-13</v>
      </c>
      <c r="BZ165" s="14">
        <f>BY165*VLOOKUP('Données projet'!$B$12,Paramètres!$A$1:$I$89,3,0)*VLOOKUP('Données projet'!$B$12,Paramètres!$A$1:$I$89,5,0)</f>
        <v>-2.2168933355715128E-13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250.84814055099969</v>
      </c>
      <c r="CE165" s="62">
        <f t="shared" si="148"/>
        <v>226.15029417484465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-5.1159076974727213E-13</v>
      </c>
      <c r="CU165" s="18">
        <f>CT165*VLOOKUP('Données projet'!$B$13,Paramètres!$A$1:$I$89,3,0)*VLOOKUP('Données projet'!$B$13,Paramètres!$A$1:$I$89,5,0)</f>
        <v>-5.1875304052373401E-13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385.00782828233201</v>
      </c>
      <c r="CZ165" s="62">
        <f t="shared" si="150"/>
        <v>216.22708298332475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454.03478818555948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327.17622590628559</v>
      </c>
      <c r="T166" s="62">
        <f t="shared" si="142"/>
        <v>379.61248288852113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5.8396191081540133E-19</v>
      </c>
      <c r="AC166" s="24">
        <f t="shared" si="163"/>
        <v>5.8396191081540133E-19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276.87402314479681</v>
      </c>
      <c r="AO166" s="62">
        <f t="shared" si="144"/>
        <v>125.27302863901997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9.2222762759774927E-14</v>
      </c>
      <c r="BF166" s="14">
        <f t="shared" si="167"/>
        <v>1.3985662224947967E-12</v>
      </c>
      <c r="BG166" s="22">
        <f t="shared" si="168"/>
        <v>2.5964574826517121E-12</v>
      </c>
      <c r="BH166" s="62">
        <f t="shared" si="116"/>
        <v>293.33333333333593</v>
      </c>
      <c r="BI166" s="62">
        <f ca="1">AVERAGE(OFFSET($BH$3,0,0,'Données projet'!$E$11+1,1))-AVERAGE(OFFSET($H$3,0,0,'Données projet'!$E$11+1,1))</f>
        <v>236.29093866505224</v>
      </c>
      <c r="BJ166" s="62">
        <f t="shared" si="146"/>
        <v>258.22911730540892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-2.8421709430404007E-13</v>
      </c>
      <c r="BZ166" s="14">
        <f>BY166*VLOOKUP('Données projet'!$B$12,Paramètres!$A$1:$I$89,3,0)*VLOOKUP('Données projet'!$B$12,Paramètres!$A$1:$I$89,5,0)</f>
        <v>-2.2168933355715128E-13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250.84814055099969</v>
      </c>
      <c r="CE166" s="62">
        <f t="shared" si="148"/>
        <v>226.15029417484465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-5.1159076974727213E-13</v>
      </c>
      <c r="CU166" s="18">
        <f>CT166*VLOOKUP('Données projet'!$B$13,Paramètres!$A$1:$I$89,3,0)*VLOOKUP('Données projet'!$B$13,Paramètres!$A$1:$I$89,5,0)</f>
        <v>-5.1875304052373401E-13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385.00782828233201</v>
      </c>
      <c r="CZ166" s="62">
        <f t="shared" si="150"/>
        <v>216.22708298332475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455.21530169335966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327.17622590628559</v>
      </c>
      <c r="T167" s="62">
        <f t="shared" si="142"/>
        <v>379.61248288852113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4.1292342709222417E-19</v>
      </c>
      <c r="AC167" s="24">
        <f t="shared" si="163"/>
        <v>4.1292342709222417E-19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276.87402314479681</v>
      </c>
      <c r="AO167" s="62">
        <f t="shared" si="144"/>
        <v>125.27302863901997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9.2222762759774927E-14</v>
      </c>
      <c r="BF167" s="14">
        <f t="shared" si="167"/>
        <v>1.3985662224947967E-12</v>
      </c>
      <c r="BG167" s="22">
        <f t="shared" si="168"/>
        <v>2.5964574826517121E-12</v>
      </c>
      <c r="BH167" s="62">
        <f t="shared" si="116"/>
        <v>293.33333333333593</v>
      </c>
      <c r="BI167" s="62">
        <f ca="1">AVERAGE(OFFSET($BH$3,0,0,'Données projet'!$E$11+1,1))-AVERAGE(OFFSET($H$3,0,0,'Données projet'!$E$11+1,1))</f>
        <v>236.29093866505224</v>
      </c>
      <c r="BJ167" s="62">
        <f t="shared" si="146"/>
        <v>258.22911730540892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-2.8421709430404007E-13</v>
      </c>
      <c r="BZ167" s="14">
        <f>BY167*VLOOKUP('Données projet'!$B$12,Paramètres!$A$1:$I$89,3,0)*VLOOKUP('Données projet'!$B$12,Paramètres!$A$1:$I$89,5,0)</f>
        <v>-2.2168933355715128E-13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250.84814055099969</v>
      </c>
      <c r="CE167" s="62">
        <f t="shared" si="148"/>
        <v>226.15029417484465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-5.1159076974727213E-13</v>
      </c>
      <c r="CU167" s="18">
        <f>CT167*VLOOKUP('Données projet'!$B$13,Paramètres!$A$1:$I$89,3,0)*VLOOKUP('Données projet'!$B$13,Paramètres!$A$1:$I$89,5,0)</f>
        <v>-5.1875304052373401E-13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385.00782828233201</v>
      </c>
      <c r="CZ167" s="62">
        <f t="shared" si="150"/>
        <v>216.22708298332475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456.39565232380079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327.17622590628559</v>
      </c>
      <c r="T168" s="62">
        <f t="shared" si="142"/>
        <v>379.61248288852113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2.9198095540770066E-19</v>
      </c>
      <c r="AC168" s="24">
        <f t="shared" si="163"/>
        <v>2.9198095540770066E-19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276.87402314479681</v>
      </c>
      <c r="AO168" s="62">
        <f t="shared" si="144"/>
        <v>125.27302863901997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9.2222762759774927E-14</v>
      </c>
      <c r="BF168" s="14">
        <f t="shared" si="167"/>
        <v>1.3985662224947967E-12</v>
      </c>
      <c r="BG168" s="22">
        <f t="shared" si="168"/>
        <v>2.5964574826517121E-12</v>
      </c>
      <c r="BH168" s="62">
        <f t="shared" si="116"/>
        <v>293.33333333333593</v>
      </c>
      <c r="BI168" s="62">
        <f ca="1">AVERAGE(OFFSET($BH$3,0,0,'Données projet'!$E$11+1,1))-AVERAGE(OFFSET($H$3,0,0,'Données projet'!$E$11+1,1))</f>
        <v>236.29093866505224</v>
      </c>
      <c r="BJ168" s="62">
        <f t="shared" si="146"/>
        <v>258.22911730540892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-2.8421709430404007E-13</v>
      </c>
      <c r="BZ168" s="14">
        <f>BY168*VLOOKUP('Données projet'!$B$12,Paramètres!$A$1:$I$89,3,0)*VLOOKUP('Données projet'!$B$12,Paramètres!$A$1:$I$89,5,0)</f>
        <v>-2.2168933355715128E-13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250.84814055099969</v>
      </c>
      <c r="CE168" s="62">
        <f t="shared" si="148"/>
        <v>226.15029417484465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-5.1159076974727213E-13</v>
      </c>
      <c r="CU168" s="18">
        <f>CT168*VLOOKUP('Données projet'!$B$13,Paramètres!$A$1:$I$89,3,0)*VLOOKUP('Données projet'!$B$13,Paramètres!$A$1:$I$89,5,0)</f>
        <v>-5.1875304052373401E-13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385.00782828233201</v>
      </c>
      <c r="CZ168" s="62">
        <f t="shared" si="150"/>
        <v>216.22708298332475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457.57584117854583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327.17622590628559</v>
      </c>
      <c r="T169" s="62">
        <f t="shared" si="142"/>
        <v>379.61248288852113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2.0646171354611209E-19</v>
      </c>
      <c r="AC169" s="24">
        <f t="shared" si="163"/>
        <v>2.0646171354611209E-19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276.87402314479681</v>
      </c>
      <c r="AO169" s="62">
        <f t="shared" si="144"/>
        <v>125.27302863901997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9.2222762759774927E-14</v>
      </c>
      <c r="BF169" s="14">
        <f t="shared" si="167"/>
        <v>1.3985662224947967E-12</v>
      </c>
      <c r="BG169" s="22">
        <f t="shared" si="168"/>
        <v>2.5964574826517121E-12</v>
      </c>
      <c r="BH169" s="62">
        <f t="shared" si="116"/>
        <v>293.33333333333593</v>
      </c>
      <c r="BI169" s="62">
        <f ca="1">AVERAGE(OFFSET($BH$3,0,0,'Données projet'!$E$11+1,1))-AVERAGE(OFFSET($H$3,0,0,'Données projet'!$E$11+1,1))</f>
        <v>236.29093866505224</v>
      </c>
      <c r="BJ169" s="62">
        <f t="shared" si="146"/>
        <v>258.22911730540892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-2.8421709430404007E-13</v>
      </c>
      <c r="BZ169" s="14">
        <f>BY169*VLOOKUP('Données projet'!$B$12,Paramètres!$A$1:$I$89,3,0)*VLOOKUP('Données projet'!$B$12,Paramètres!$A$1:$I$89,5,0)</f>
        <v>-2.2168933355715128E-13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250.84814055099969</v>
      </c>
      <c r="CE169" s="62">
        <f t="shared" si="148"/>
        <v>226.15029417484465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-5.1159076974727213E-13</v>
      </c>
      <c r="CU169" s="18">
        <f>CT169*VLOOKUP('Données projet'!$B$13,Paramètres!$A$1:$I$89,3,0)*VLOOKUP('Données projet'!$B$13,Paramètres!$A$1:$I$89,5,0)</f>
        <v>-5.1875304052373401E-13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385.00782828233201</v>
      </c>
      <c r="CZ169" s="62">
        <f t="shared" si="150"/>
        <v>216.22708298332475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458.75586934521687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327.17622590628559</v>
      </c>
      <c r="T170" s="62">
        <f t="shared" si="142"/>
        <v>379.61248288852113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1.4599047770385033E-19</v>
      </c>
      <c r="AC170" s="24">
        <f t="shared" si="163"/>
        <v>1.4599047770385033E-19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276.87402314479681</v>
      </c>
      <c r="AO170" s="62">
        <f t="shared" si="144"/>
        <v>125.27302863901997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9.2222762759774927E-14</v>
      </c>
      <c r="BF170" s="14">
        <f t="shared" si="167"/>
        <v>1.3985662224947967E-12</v>
      </c>
      <c r="BG170" s="22">
        <f t="shared" si="168"/>
        <v>2.5964574826517121E-12</v>
      </c>
      <c r="BH170" s="62">
        <f t="shared" si="116"/>
        <v>293.33333333333593</v>
      </c>
      <c r="BI170" s="62">
        <f ca="1">AVERAGE(OFFSET($BH$3,0,0,'Données projet'!$E$11+1,1))-AVERAGE(OFFSET($H$3,0,0,'Données projet'!$E$11+1,1))</f>
        <v>236.29093866505224</v>
      </c>
      <c r="BJ170" s="62">
        <f t="shared" si="146"/>
        <v>258.22911730540892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-2.8421709430404007E-13</v>
      </c>
      <c r="BZ170" s="14">
        <f>BY170*VLOOKUP('Données projet'!$B$12,Paramètres!$A$1:$I$89,3,0)*VLOOKUP('Données projet'!$B$12,Paramètres!$A$1:$I$89,5,0)</f>
        <v>-2.2168933355715128E-13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250.84814055099969</v>
      </c>
      <c r="CE170" s="62">
        <f t="shared" si="148"/>
        <v>226.15029417484465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-5.1159076974727213E-13</v>
      </c>
      <c r="CU170" s="18">
        <f>CT170*VLOOKUP('Données projet'!$B$13,Paramètres!$A$1:$I$89,3,0)*VLOOKUP('Données projet'!$B$13,Paramètres!$A$1:$I$89,5,0)</f>
        <v>-5.1875304052373401E-13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385.00782828233201</v>
      </c>
      <c r="CZ170" s="62">
        <f t="shared" si="150"/>
        <v>216.22708298332475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459.93573789765719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327.17622590628559</v>
      </c>
      <c r="T171" s="62">
        <f t="shared" si="142"/>
        <v>379.61248288852113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1.0323085677305604E-19</v>
      </c>
      <c r="AC171" s="24">
        <f t="shared" si="163"/>
        <v>1.0323085677305604E-19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276.87402314479681</v>
      </c>
      <c r="AO171" s="62">
        <f t="shared" si="144"/>
        <v>125.27302863901997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9.2222762759774927E-14</v>
      </c>
      <c r="BF171" s="14">
        <f t="shared" si="167"/>
        <v>1.3985662224947967E-12</v>
      </c>
      <c r="BG171" s="22">
        <f t="shared" si="168"/>
        <v>2.5964574826517121E-12</v>
      </c>
      <c r="BH171" s="62">
        <f t="shared" si="116"/>
        <v>293.33333333333593</v>
      </c>
      <c r="BI171" s="62">
        <f ca="1">AVERAGE(OFFSET($BH$3,0,0,'Données projet'!$E$11+1,1))-AVERAGE(OFFSET($H$3,0,0,'Données projet'!$E$11+1,1))</f>
        <v>236.29093866505224</v>
      </c>
      <c r="BJ171" s="62">
        <f t="shared" si="146"/>
        <v>258.22911730540892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-2.8421709430404007E-13</v>
      </c>
      <c r="BZ171" s="14">
        <f>BY171*VLOOKUP('Données projet'!$B$12,Paramètres!$A$1:$I$89,3,0)*VLOOKUP('Données projet'!$B$12,Paramètres!$A$1:$I$89,5,0)</f>
        <v>-2.2168933355715128E-13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250.84814055099969</v>
      </c>
      <c r="CE171" s="62">
        <f t="shared" si="148"/>
        <v>226.15029417484465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-5.1159076974727213E-13</v>
      </c>
      <c r="CU171" s="18">
        <f>CT171*VLOOKUP('Données projet'!$B$13,Paramètres!$A$1:$I$89,3,0)*VLOOKUP('Données projet'!$B$13,Paramètres!$A$1:$I$89,5,0)</f>
        <v>-5.1875304052373401E-13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385.00782828233201</v>
      </c>
      <c r="CZ171" s="62">
        <f t="shared" si="150"/>
        <v>216.22708298332475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461.11544789618642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327.17622590628559</v>
      </c>
      <c r="T172" s="62">
        <f t="shared" si="142"/>
        <v>379.61248288852113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7.2995238851925166E-20</v>
      </c>
      <c r="AC172" s="24">
        <f t="shared" si="163"/>
        <v>7.2995238851925166E-20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276.87402314479681</v>
      </c>
      <c r="AO172" s="62">
        <f t="shared" si="144"/>
        <v>125.27302863901997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9.2222762759774927E-14</v>
      </c>
      <c r="BF172" s="14">
        <f t="shared" si="167"/>
        <v>1.3985662224947967E-12</v>
      </c>
      <c r="BG172" s="22">
        <f t="shared" si="168"/>
        <v>2.5964574826517121E-12</v>
      </c>
      <c r="BH172" s="62">
        <f t="shared" si="116"/>
        <v>293.33333333333593</v>
      </c>
      <c r="BI172" s="62">
        <f ca="1">AVERAGE(OFFSET($BH$3,0,0,'Données projet'!$E$11+1,1))-AVERAGE(OFFSET($H$3,0,0,'Données projet'!$E$11+1,1))</f>
        <v>236.29093866505224</v>
      </c>
      <c r="BJ172" s="62">
        <f t="shared" si="146"/>
        <v>258.22911730540892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-2.8421709430404007E-13</v>
      </c>
      <c r="BZ172" s="14">
        <f>BY172*VLOOKUP('Données projet'!$B$12,Paramètres!$A$1:$I$89,3,0)*VLOOKUP('Données projet'!$B$12,Paramètres!$A$1:$I$89,5,0)</f>
        <v>-2.2168933355715128E-13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250.84814055099969</v>
      </c>
      <c r="CE172" s="62">
        <f t="shared" si="148"/>
        <v>226.15029417484465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-5.1159076974727213E-13</v>
      </c>
      <c r="CU172" s="18">
        <f>CT172*VLOOKUP('Données projet'!$B$13,Paramètres!$A$1:$I$89,3,0)*VLOOKUP('Données projet'!$B$13,Paramètres!$A$1:$I$89,5,0)</f>
        <v>-5.1875304052373401E-13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385.00782828233201</v>
      </c>
      <c r="CZ172" s="62">
        <f t="shared" si="150"/>
        <v>216.22708298332475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462.29500038785034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327.17622590628559</v>
      </c>
      <c r="T173" s="62">
        <f t="shared" si="142"/>
        <v>379.61248288852113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5.1615428386528021E-20</v>
      </c>
      <c r="AC173" s="24">
        <f t="shared" si="163"/>
        <v>5.1615428386528021E-20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276.87402314479681</v>
      </c>
      <c r="AO173" s="62">
        <f t="shared" si="144"/>
        <v>125.27302863901997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9.2222762759774927E-14</v>
      </c>
      <c r="BF173" s="14">
        <f t="shared" si="167"/>
        <v>1.3985662224947967E-12</v>
      </c>
      <c r="BG173" s="22">
        <f t="shared" si="168"/>
        <v>2.5964574826517121E-12</v>
      </c>
      <c r="BH173" s="62">
        <f t="shared" si="116"/>
        <v>293.33333333333593</v>
      </c>
      <c r="BI173" s="62">
        <f ca="1">AVERAGE(OFFSET($BH$3,0,0,'Données projet'!$E$11+1,1))-AVERAGE(OFFSET($H$3,0,0,'Données projet'!$E$11+1,1))</f>
        <v>236.29093866505224</v>
      </c>
      <c r="BJ173" s="62">
        <f t="shared" si="146"/>
        <v>258.22911730540892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-2.8421709430404007E-13</v>
      </c>
      <c r="BZ173" s="14">
        <f>BY173*VLOOKUP('Données projet'!$B$12,Paramètres!$A$1:$I$89,3,0)*VLOOKUP('Données projet'!$B$12,Paramètres!$A$1:$I$89,5,0)</f>
        <v>-2.2168933355715128E-13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250.84814055099969</v>
      </c>
      <c r="CE173" s="62">
        <f t="shared" si="148"/>
        <v>226.15029417484465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-5.1159076974727213E-13</v>
      </c>
      <c r="CU173" s="18">
        <f>CT173*VLOOKUP('Données projet'!$B$13,Paramètres!$A$1:$I$89,3,0)*VLOOKUP('Données projet'!$B$13,Paramètres!$A$1:$I$89,5,0)</f>
        <v>-5.1875304052373401E-13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385.00782828233201</v>
      </c>
      <c r="CZ173" s="62">
        <f t="shared" si="150"/>
        <v>216.22708298332475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463.47439640666357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327.17622590628559</v>
      </c>
      <c r="T174" s="62">
        <f t="shared" si="142"/>
        <v>379.61248288852113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3.6497619425962583E-20</v>
      </c>
      <c r="AC174" s="24">
        <f t="shared" si="163"/>
        <v>3.6497619425962583E-20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276.87402314479681</v>
      </c>
      <c r="AO174" s="62">
        <f t="shared" si="144"/>
        <v>125.27302863901997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9.2222762759774927E-14</v>
      </c>
      <c r="BF174" s="14">
        <f t="shared" si="167"/>
        <v>1.3985662224947967E-12</v>
      </c>
      <c r="BG174" s="22">
        <f t="shared" si="168"/>
        <v>2.5964574826517121E-12</v>
      </c>
      <c r="BH174" s="62">
        <f t="shared" si="116"/>
        <v>293.33333333333593</v>
      </c>
      <c r="BI174" s="62">
        <f ca="1">AVERAGE(OFFSET($BH$3,0,0,'Données projet'!$E$11+1,1))-AVERAGE(OFFSET($H$3,0,0,'Données projet'!$E$11+1,1))</f>
        <v>236.29093866505224</v>
      </c>
      <c r="BJ174" s="62">
        <f t="shared" si="146"/>
        <v>258.22911730540892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-2.8421709430404007E-13</v>
      </c>
      <c r="BZ174" s="14">
        <f>BY174*VLOOKUP('Données projet'!$B$12,Paramètres!$A$1:$I$89,3,0)*VLOOKUP('Données projet'!$B$12,Paramètres!$A$1:$I$89,5,0)</f>
        <v>-2.2168933355715128E-13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250.84814055099969</v>
      </c>
      <c r="CE174" s="62">
        <f t="shared" si="148"/>
        <v>226.15029417484465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-5.1159076974727213E-13</v>
      </c>
      <c r="CU174" s="18">
        <f>CT174*VLOOKUP('Données projet'!$B$13,Paramètres!$A$1:$I$89,3,0)*VLOOKUP('Données projet'!$B$13,Paramètres!$A$1:$I$89,5,0)</f>
        <v>-5.1875304052373401E-13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385.00782828233201</v>
      </c>
      <c r="CZ174" s="62">
        <f t="shared" si="150"/>
        <v>216.22708298332475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464.65363697384748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327.17622590628559</v>
      </c>
      <c r="T175" s="62">
        <f t="shared" si="142"/>
        <v>379.61248288852113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2.5807714193264011E-20</v>
      </c>
      <c r="AC175" s="24">
        <f t="shared" si="163"/>
        <v>2.5807714193264011E-20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276.87402314479681</v>
      </c>
      <c r="AO175" s="62">
        <f t="shared" si="144"/>
        <v>125.27302863901997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9.2222762759774927E-14</v>
      </c>
      <c r="BF175" s="14">
        <f t="shared" si="167"/>
        <v>1.3985662224947967E-12</v>
      </c>
      <c r="BG175" s="22">
        <f t="shared" si="168"/>
        <v>2.5964574826517121E-12</v>
      </c>
      <c r="BH175" s="62">
        <f t="shared" si="116"/>
        <v>293.33333333333593</v>
      </c>
      <c r="BI175" s="62">
        <f ca="1">AVERAGE(OFFSET($BH$3,0,0,'Données projet'!$E$11+1,1))-AVERAGE(OFFSET($H$3,0,0,'Données projet'!$E$11+1,1))</f>
        <v>236.29093866505224</v>
      </c>
      <c r="BJ175" s="62">
        <f t="shared" si="146"/>
        <v>258.22911730540892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-2.8421709430404007E-13</v>
      </c>
      <c r="BZ175" s="14">
        <f>BY175*VLOOKUP('Données projet'!$B$12,Paramètres!$A$1:$I$89,3,0)*VLOOKUP('Données projet'!$B$12,Paramètres!$A$1:$I$89,5,0)</f>
        <v>-2.2168933355715128E-13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250.84814055099969</v>
      </c>
      <c r="CE175" s="62">
        <f t="shared" si="148"/>
        <v>226.15029417484465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-5.1159076974727213E-13</v>
      </c>
      <c r="CU175" s="18">
        <f>CT175*VLOOKUP('Données projet'!$B$13,Paramètres!$A$1:$I$89,3,0)*VLOOKUP('Données projet'!$B$13,Paramètres!$A$1:$I$89,5,0)</f>
        <v>-5.1875304052373401E-13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385.00782828233201</v>
      </c>
      <c r="CZ175" s="62">
        <f t="shared" si="150"/>
        <v>216.22708298332475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465.83272309806171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327.17622590628559</v>
      </c>
      <c r="T176" s="62">
        <f t="shared" si="142"/>
        <v>379.61248288852113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1.8248809712981292E-20</v>
      </c>
      <c r="AC176" s="24">
        <f t="shared" si="163"/>
        <v>1.8248809712981292E-20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276.87402314479681</v>
      </c>
      <c r="AO176" s="62">
        <f t="shared" si="144"/>
        <v>125.27302863901997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9.2222762759774927E-14</v>
      </c>
      <c r="BF176" s="14">
        <f t="shared" si="167"/>
        <v>1.3985662224947967E-12</v>
      </c>
      <c r="BG176" s="22">
        <f t="shared" si="168"/>
        <v>2.5964574826517121E-12</v>
      </c>
      <c r="BH176" s="62">
        <f t="shared" si="116"/>
        <v>293.33333333333593</v>
      </c>
      <c r="BI176" s="62">
        <f ca="1">AVERAGE(OFFSET($BH$3,0,0,'Données projet'!$E$11+1,1))-AVERAGE(OFFSET($H$3,0,0,'Données projet'!$E$11+1,1))</f>
        <v>236.29093866505224</v>
      </c>
      <c r="BJ176" s="62">
        <f t="shared" si="146"/>
        <v>258.22911730540892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-2.8421709430404007E-13</v>
      </c>
      <c r="BZ176" s="14">
        <f>BY176*VLOOKUP('Données projet'!$B$12,Paramètres!$A$1:$I$89,3,0)*VLOOKUP('Données projet'!$B$12,Paramètres!$A$1:$I$89,5,0)</f>
        <v>-2.2168933355715128E-13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250.84814055099969</v>
      </c>
      <c r="CE176" s="62">
        <f t="shared" si="148"/>
        <v>226.15029417484465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-5.1159076974727213E-13</v>
      </c>
      <c r="CU176" s="18">
        <f>CT176*VLOOKUP('Données projet'!$B$13,Paramètres!$A$1:$I$89,3,0)*VLOOKUP('Données projet'!$B$13,Paramètres!$A$1:$I$89,5,0)</f>
        <v>-5.1875304052373401E-13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385.00782828233201</v>
      </c>
      <c r="CZ176" s="62">
        <f t="shared" si="150"/>
        <v>216.22708298332475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467.01165577563029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327.17622590628559</v>
      </c>
      <c r="T177" s="62">
        <f t="shared" si="142"/>
        <v>379.61248288852113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1.2903857096632005E-20</v>
      </c>
      <c r="AC177" s="24">
        <f t="shared" si="163"/>
        <v>1.2903857096632005E-20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276.87402314479681</v>
      </c>
      <c r="AO177" s="62">
        <f t="shared" si="144"/>
        <v>125.27302863901997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9.2222762759774927E-14</v>
      </c>
      <c r="BF177" s="14">
        <f t="shared" si="167"/>
        <v>1.3985662224947967E-12</v>
      </c>
      <c r="BG177" s="22">
        <f t="shared" si="168"/>
        <v>2.5964574826517121E-12</v>
      </c>
      <c r="BH177" s="62">
        <f t="shared" si="116"/>
        <v>293.33333333333593</v>
      </c>
      <c r="BI177" s="62">
        <f ca="1">AVERAGE(OFFSET($BH$3,0,0,'Données projet'!$E$11+1,1))-AVERAGE(OFFSET($H$3,0,0,'Données projet'!$E$11+1,1))</f>
        <v>236.29093866505224</v>
      </c>
      <c r="BJ177" s="62">
        <f t="shared" si="146"/>
        <v>258.22911730540892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-2.8421709430404007E-13</v>
      </c>
      <c r="BZ177" s="14">
        <f>BY177*VLOOKUP('Données projet'!$B$12,Paramètres!$A$1:$I$89,3,0)*VLOOKUP('Données projet'!$B$12,Paramètres!$A$1:$I$89,5,0)</f>
        <v>-2.2168933355715128E-13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250.84814055099969</v>
      </c>
      <c r="CE177" s="62">
        <f t="shared" si="148"/>
        <v>226.15029417484465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-5.1159076974727213E-13</v>
      </c>
      <c r="CU177" s="18">
        <f>CT177*VLOOKUP('Données projet'!$B$13,Paramètres!$A$1:$I$89,3,0)*VLOOKUP('Données projet'!$B$13,Paramètres!$A$1:$I$89,5,0)</f>
        <v>-5.1875304052373401E-13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385.00782828233201</v>
      </c>
      <c r="CZ177" s="62">
        <f t="shared" si="150"/>
        <v>216.22708298332475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468.19043599076269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327.17622590628559</v>
      </c>
      <c r="T178" s="62">
        <f t="shared" si="142"/>
        <v>379.61248288852113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9.1244048564906458E-21</v>
      </c>
      <c r="AC178" s="24">
        <f t="shared" si="163"/>
        <v>9.1244048564906458E-21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276.87402314479681</v>
      </c>
      <c r="AO178" s="62">
        <f t="shared" si="144"/>
        <v>125.27302863901997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9.2222762759774927E-14</v>
      </c>
      <c r="BF178" s="14">
        <f t="shared" si="167"/>
        <v>1.3985662224947967E-12</v>
      </c>
      <c r="BG178" s="22">
        <f t="shared" si="168"/>
        <v>2.5964574826517121E-12</v>
      </c>
      <c r="BH178" s="62">
        <f t="shared" si="116"/>
        <v>293.33333333333593</v>
      </c>
      <c r="BI178" s="62">
        <f ca="1">AVERAGE(OFFSET($BH$3,0,0,'Données projet'!$E$11+1,1))-AVERAGE(OFFSET($H$3,0,0,'Données projet'!$E$11+1,1))</f>
        <v>236.29093866505224</v>
      </c>
      <c r="BJ178" s="62">
        <f t="shared" si="146"/>
        <v>258.22911730540892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-2.8421709430404007E-13</v>
      </c>
      <c r="BZ178" s="14">
        <f>BY178*VLOOKUP('Données projet'!$B$12,Paramètres!$A$1:$I$89,3,0)*VLOOKUP('Données projet'!$B$12,Paramètres!$A$1:$I$89,5,0)</f>
        <v>-2.2168933355715128E-13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250.84814055099969</v>
      </c>
      <c r="CE178" s="62">
        <f t="shared" si="148"/>
        <v>226.15029417484465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-5.1159076974727213E-13</v>
      </c>
      <c r="CU178" s="18">
        <f>CT178*VLOOKUP('Données projet'!$B$13,Paramètres!$A$1:$I$89,3,0)*VLOOKUP('Données projet'!$B$13,Paramètres!$A$1:$I$89,5,0)</f>
        <v>-5.1875304052373401E-13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385.00782828233201</v>
      </c>
      <c r="CZ178" s="62">
        <f t="shared" si="150"/>
        <v>216.22708298332475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469.3690647157693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327.17622590628559</v>
      </c>
      <c r="T179" s="62">
        <f t="shared" si="142"/>
        <v>379.61248288852113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6.4519285483160027E-21</v>
      </c>
      <c r="AC179" s="24">
        <f t="shared" si="163"/>
        <v>6.4519285483160027E-21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276.87402314479681</v>
      </c>
      <c r="AO179" s="62">
        <f t="shared" si="144"/>
        <v>125.27302863901997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9.2222762759774927E-14</v>
      </c>
      <c r="BF179" s="14">
        <f t="shared" si="167"/>
        <v>1.3985662224947967E-12</v>
      </c>
      <c r="BG179" s="22">
        <f t="shared" si="168"/>
        <v>2.5964574826517121E-12</v>
      </c>
      <c r="BH179" s="62">
        <f t="shared" si="116"/>
        <v>293.33333333333593</v>
      </c>
      <c r="BI179" s="62">
        <f ca="1">AVERAGE(OFFSET($BH$3,0,0,'Données projet'!$E$11+1,1))-AVERAGE(OFFSET($H$3,0,0,'Données projet'!$E$11+1,1))</f>
        <v>236.29093866505224</v>
      </c>
      <c r="BJ179" s="62">
        <f t="shared" si="146"/>
        <v>258.22911730540892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-2.8421709430404007E-13</v>
      </c>
      <c r="BZ179" s="14">
        <f>BY179*VLOOKUP('Données projet'!$B$12,Paramètres!$A$1:$I$89,3,0)*VLOOKUP('Données projet'!$B$12,Paramètres!$A$1:$I$89,5,0)</f>
        <v>-2.2168933355715128E-13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250.84814055099969</v>
      </c>
      <c r="CE179" s="62">
        <f t="shared" si="148"/>
        <v>226.15029417484465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-5.1159076974727213E-13</v>
      </c>
      <c r="CU179" s="18">
        <f>CT179*VLOOKUP('Données projet'!$B$13,Paramètres!$A$1:$I$89,3,0)*VLOOKUP('Données projet'!$B$13,Paramètres!$A$1:$I$89,5,0)</f>
        <v>-5.1875304052373401E-13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385.00782828233201</v>
      </c>
      <c r="CZ179" s="62">
        <f t="shared" si="150"/>
        <v>216.22708298332475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470.54754291127216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327.17622590628559</v>
      </c>
      <c r="T180" s="62">
        <f t="shared" si="142"/>
        <v>379.61248288852113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4.5622024282453229E-21</v>
      </c>
      <c r="AC180" s="24">
        <f t="shared" si="163"/>
        <v>4.5622024282453229E-21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276.87402314479681</v>
      </c>
      <c r="AO180" s="62">
        <f t="shared" si="144"/>
        <v>125.27302863901997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9.2222762759774927E-14</v>
      </c>
      <c r="BF180" s="14">
        <f t="shared" si="167"/>
        <v>1.3985662224947967E-12</v>
      </c>
      <c r="BG180" s="22">
        <f t="shared" si="168"/>
        <v>2.5964574826517121E-12</v>
      </c>
      <c r="BH180" s="62">
        <f t="shared" si="116"/>
        <v>293.33333333333593</v>
      </c>
      <c r="BI180" s="62">
        <f ca="1">AVERAGE(OFFSET($BH$3,0,0,'Données projet'!$E$11+1,1))-AVERAGE(OFFSET($H$3,0,0,'Données projet'!$E$11+1,1))</f>
        <v>236.29093866505224</v>
      </c>
      <c r="BJ180" s="62">
        <f t="shared" si="146"/>
        <v>258.22911730540892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-2.8421709430404007E-13</v>
      </c>
      <c r="BZ180" s="14">
        <f>BY180*VLOOKUP('Données projet'!$B$12,Paramètres!$A$1:$I$89,3,0)*VLOOKUP('Données projet'!$B$12,Paramètres!$A$1:$I$89,5,0)</f>
        <v>-2.2168933355715128E-13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250.84814055099969</v>
      </c>
      <c r="CE180" s="62">
        <f t="shared" si="148"/>
        <v>226.15029417484465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-5.1159076974727213E-13</v>
      </c>
      <c r="CU180" s="18">
        <f>CT180*VLOOKUP('Données projet'!$B$13,Paramètres!$A$1:$I$89,3,0)*VLOOKUP('Données projet'!$B$13,Paramètres!$A$1:$I$89,5,0)</f>
        <v>-5.1875304052373401E-13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385.00782828233201</v>
      </c>
      <c r="CZ180" s="62">
        <f t="shared" si="150"/>
        <v>216.22708298332475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471.7258715264108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327.17622590628559</v>
      </c>
      <c r="T181" s="62">
        <f t="shared" si="142"/>
        <v>379.61248288852113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3.2259642741580013E-21</v>
      </c>
      <c r="AC181" s="24">
        <f t="shared" si="163"/>
        <v>3.2259642741580013E-21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276.87402314479681</v>
      </c>
      <c r="AO181" s="62">
        <f t="shared" si="144"/>
        <v>125.27302863901997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9.2222762759774927E-14</v>
      </c>
      <c r="BF181" s="14">
        <f t="shared" si="167"/>
        <v>1.3985662224947967E-12</v>
      </c>
      <c r="BG181" s="22">
        <f t="shared" si="168"/>
        <v>2.5964574826517121E-12</v>
      </c>
      <c r="BH181" s="62">
        <f t="shared" si="116"/>
        <v>293.33333333333593</v>
      </c>
      <c r="BI181" s="62">
        <f ca="1">AVERAGE(OFFSET($BH$3,0,0,'Données projet'!$E$11+1,1))-AVERAGE(OFFSET($H$3,0,0,'Données projet'!$E$11+1,1))</f>
        <v>236.29093866505224</v>
      </c>
      <c r="BJ181" s="62">
        <f t="shared" si="146"/>
        <v>258.22911730540892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-2.8421709430404007E-13</v>
      </c>
      <c r="BZ181" s="14">
        <f>BY181*VLOOKUP('Données projet'!$B$12,Paramètres!$A$1:$I$89,3,0)*VLOOKUP('Données projet'!$B$12,Paramètres!$A$1:$I$89,5,0)</f>
        <v>-2.2168933355715128E-13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250.84814055099969</v>
      </c>
      <c r="CE181" s="62">
        <f t="shared" si="148"/>
        <v>226.15029417484465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-5.1159076974727213E-13</v>
      </c>
      <c r="CU181" s="18">
        <f>CT181*VLOOKUP('Données projet'!$B$13,Paramètres!$A$1:$I$89,3,0)*VLOOKUP('Données projet'!$B$13,Paramètres!$A$1:$I$89,5,0)</f>
        <v>-5.1875304052373401E-13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385.00782828233201</v>
      </c>
      <c r="CZ181" s="62">
        <f t="shared" si="150"/>
        <v>216.22708298332475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472.90405149904302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327.17622590628559</v>
      </c>
      <c r="T182" s="62">
        <f t="shared" si="142"/>
        <v>379.61248288852113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2.2811012141226614E-21</v>
      </c>
      <c r="AC182" s="24">
        <f t="shared" si="163"/>
        <v>2.2811012141226614E-21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276.87402314479681</v>
      </c>
      <c r="AO182" s="62">
        <f t="shared" si="144"/>
        <v>125.27302863901997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9.2222762759774927E-14</v>
      </c>
      <c r="BF182" s="14">
        <f t="shared" si="167"/>
        <v>1.3985662224947967E-12</v>
      </c>
      <c r="BG182" s="22">
        <f t="shared" si="168"/>
        <v>2.5964574826517121E-12</v>
      </c>
      <c r="BH182" s="62">
        <f t="shared" si="116"/>
        <v>293.33333333333593</v>
      </c>
      <c r="BI182" s="62">
        <f ca="1">AVERAGE(OFFSET($BH$3,0,0,'Données projet'!$E$11+1,1))-AVERAGE(OFFSET($H$3,0,0,'Données projet'!$E$11+1,1))</f>
        <v>236.29093866505224</v>
      </c>
      <c r="BJ182" s="62">
        <f t="shared" si="146"/>
        <v>258.22911730540892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-2.8421709430404007E-13</v>
      </c>
      <c r="BZ182" s="14">
        <f>BY182*VLOOKUP('Données projet'!$B$12,Paramètres!$A$1:$I$89,3,0)*VLOOKUP('Données projet'!$B$12,Paramètres!$A$1:$I$89,5,0)</f>
        <v>-2.2168933355715128E-13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250.84814055099969</v>
      </c>
      <c r="CE182" s="62">
        <f t="shared" si="148"/>
        <v>226.15029417484465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-5.1159076974727213E-13</v>
      </c>
      <c r="CU182" s="18">
        <f>CT182*VLOOKUP('Données projet'!$B$13,Paramètres!$A$1:$I$89,3,0)*VLOOKUP('Données projet'!$B$13,Paramètres!$A$1:$I$89,5,0)</f>
        <v>-5.1875304052373401E-13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385.00782828233201</v>
      </c>
      <c r="CZ182" s="62">
        <f t="shared" si="150"/>
        <v>216.22708298332475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474.08208375594126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327.17622590628559</v>
      </c>
      <c r="T183" s="62">
        <f t="shared" si="142"/>
        <v>379.61248288852113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1.6129821370790007E-21</v>
      </c>
      <c r="AC183" s="24">
        <f t="shared" si="163"/>
        <v>1.6129821370790007E-21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276.87402314479681</v>
      </c>
      <c r="AO183" s="62">
        <f t="shared" si="144"/>
        <v>125.27302863901997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9.2222762759774927E-14</v>
      </c>
      <c r="BF183" s="14">
        <f t="shared" si="167"/>
        <v>1.3985662224947967E-12</v>
      </c>
      <c r="BG183" s="22">
        <f t="shared" si="168"/>
        <v>2.5964574826517121E-12</v>
      </c>
      <c r="BH183" s="62">
        <f t="shared" si="116"/>
        <v>293.33333333333593</v>
      </c>
      <c r="BI183" s="62">
        <f ca="1">AVERAGE(OFFSET($BH$3,0,0,'Données projet'!$E$11+1,1))-AVERAGE(OFFSET($H$3,0,0,'Données projet'!$E$11+1,1))</f>
        <v>236.29093866505224</v>
      </c>
      <c r="BJ183" s="62">
        <f t="shared" si="146"/>
        <v>258.22911730540892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-2.8421709430404007E-13</v>
      </c>
      <c r="BZ183" s="14">
        <f>BY183*VLOOKUP('Données projet'!$B$12,Paramètres!$A$1:$I$89,3,0)*VLOOKUP('Données projet'!$B$12,Paramètres!$A$1:$I$89,5,0)</f>
        <v>-2.2168933355715128E-13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250.84814055099969</v>
      </c>
      <c r="CE183" s="62">
        <f t="shared" si="148"/>
        <v>226.15029417484465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-5.1159076974727213E-13</v>
      </c>
      <c r="CU183" s="18">
        <f>CT183*VLOOKUP('Données projet'!$B$13,Paramètres!$A$1:$I$89,3,0)*VLOOKUP('Données projet'!$B$13,Paramètres!$A$1:$I$89,5,0)</f>
        <v>-5.1875304052373401E-13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385.00782828233201</v>
      </c>
      <c r="CZ183" s="62">
        <f t="shared" si="150"/>
        <v>216.22708298332475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475.25996921298474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327.17622590628559</v>
      </c>
      <c r="T184" s="62">
        <f t="shared" si="142"/>
        <v>379.61248288852113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1.1405506070613307E-21</v>
      </c>
      <c r="AC184" s="24">
        <f t="shared" si="163"/>
        <v>1.1405506070613307E-21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276.87402314479681</v>
      </c>
      <c r="AO184" s="62">
        <f t="shared" si="144"/>
        <v>125.27302863901997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9.2222762759774927E-14</v>
      </c>
      <c r="BF184" s="14">
        <f t="shared" si="167"/>
        <v>1.3985662224947967E-12</v>
      </c>
      <c r="BG184" s="22">
        <f t="shared" si="168"/>
        <v>2.5964574826517121E-12</v>
      </c>
      <c r="BH184" s="62">
        <f t="shared" si="116"/>
        <v>293.33333333333593</v>
      </c>
      <c r="BI184" s="62">
        <f ca="1">AVERAGE(OFFSET($BH$3,0,0,'Données projet'!$E$11+1,1))-AVERAGE(OFFSET($H$3,0,0,'Données projet'!$E$11+1,1))</f>
        <v>236.29093866505224</v>
      </c>
      <c r="BJ184" s="62">
        <f t="shared" si="146"/>
        <v>258.22911730540892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-2.8421709430404007E-13</v>
      </c>
      <c r="BZ184" s="14">
        <f>BY184*VLOOKUP('Données projet'!$B$12,Paramètres!$A$1:$I$89,3,0)*VLOOKUP('Données projet'!$B$12,Paramètres!$A$1:$I$89,5,0)</f>
        <v>-2.2168933355715128E-13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250.84814055099969</v>
      </c>
      <c r="CE184" s="62">
        <f t="shared" si="148"/>
        <v>226.15029417484465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-5.1159076974727213E-13</v>
      </c>
      <c r="CU184" s="18">
        <f>CT184*VLOOKUP('Données projet'!$B$13,Paramètres!$A$1:$I$89,3,0)*VLOOKUP('Données projet'!$B$13,Paramètres!$A$1:$I$89,5,0)</f>
        <v>-5.1875304052373401E-13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385.00782828233201</v>
      </c>
      <c r="CZ184" s="62">
        <f t="shared" si="150"/>
        <v>216.22708298332475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476.43770877534655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327.17622590628559</v>
      </c>
      <c r="T185" s="62">
        <f t="shared" si="142"/>
        <v>379.61248288852113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8.0649106853950034E-22</v>
      </c>
      <c r="AC185" s="24">
        <f t="shared" si="163"/>
        <v>8.0649106853950034E-22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276.87402314479681</v>
      </c>
      <c r="AO185" s="62">
        <f t="shared" si="144"/>
        <v>125.27302863901997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9.2222762759774927E-14</v>
      </c>
      <c r="BF185" s="14">
        <f t="shared" si="167"/>
        <v>1.3985662224947967E-12</v>
      </c>
      <c r="BG185" s="22">
        <f t="shared" si="168"/>
        <v>2.5964574826517121E-12</v>
      </c>
      <c r="BH185" s="62">
        <f t="shared" si="116"/>
        <v>293.33333333333593</v>
      </c>
      <c r="BI185" s="62">
        <f ca="1">AVERAGE(OFFSET($BH$3,0,0,'Données projet'!$E$11+1,1))-AVERAGE(OFFSET($H$3,0,0,'Données projet'!$E$11+1,1))</f>
        <v>236.29093866505224</v>
      </c>
      <c r="BJ185" s="62">
        <f t="shared" si="146"/>
        <v>258.22911730540892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-2.8421709430404007E-13</v>
      </c>
      <c r="BZ185" s="14">
        <f>BY185*VLOOKUP('Données projet'!$B$12,Paramètres!$A$1:$I$89,3,0)*VLOOKUP('Données projet'!$B$12,Paramètres!$A$1:$I$89,5,0)</f>
        <v>-2.2168933355715128E-13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250.84814055099969</v>
      </c>
      <c r="CE185" s="62">
        <f t="shared" si="148"/>
        <v>226.15029417484465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-5.1159076974727213E-13</v>
      </c>
      <c r="CU185" s="18">
        <f>CT185*VLOOKUP('Données projet'!$B$13,Paramètres!$A$1:$I$89,3,0)*VLOOKUP('Données projet'!$B$13,Paramètres!$A$1:$I$89,5,0)</f>
        <v>-5.1875304052373401E-13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385.00782828233201</v>
      </c>
      <c r="CZ185" s="62">
        <f t="shared" si="150"/>
        <v>216.22708298332475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477.61530333767718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327.17622590628559</v>
      </c>
      <c r="T186" s="62">
        <f t="shared" si="142"/>
        <v>379.61248288852113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5.7027530353066536E-22</v>
      </c>
      <c r="AC186" s="24">
        <f t="shared" si="163"/>
        <v>5.7027530353066536E-22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276.87402314479681</v>
      </c>
      <c r="AO186" s="62">
        <f t="shared" si="144"/>
        <v>125.27302863901997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9.2222762759774927E-14</v>
      </c>
      <c r="BF186" s="14">
        <f t="shared" si="167"/>
        <v>1.3985662224947967E-12</v>
      </c>
      <c r="BG186" s="22">
        <f t="shared" si="168"/>
        <v>2.5964574826517121E-12</v>
      </c>
      <c r="BH186" s="62">
        <f t="shared" si="116"/>
        <v>293.33333333333593</v>
      </c>
      <c r="BI186" s="62">
        <f ca="1">AVERAGE(OFFSET($BH$3,0,0,'Données projet'!$E$11+1,1))-AVERAGE(OFFSET($H$3,0,0,'Données projet'!$E$11+1,1))</f>
        <v>236.29093866505224</v>
      </c>
      <c r="BJ186" s="62">
        <f t="shared" si="146"/>
        <v>258.22911730540892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-2.8421709430404007E-13</v>
      </c>
      <c r="BZ186" s="14">
        <f>BY186*VLOOKUP('Données projet'!$B$12,Paramètres!$A$1:$I$89,3,0)*VLOOKUP('Données projet'!$B$12,Paramètres!$A$1:$I$89,5,0)</f>
        <v>-2.2168933355715128E-13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250.84814055099969</v>
      </c>
      <c r="CE186" s="62">
        <f t="shared" si="148"/>
        <v>226.15029417484465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-5.1159076974727213E-13</v>
      </c>
      <c r="CU186" s="18">
        <f>CT186*VLOOKUP('Données projet'!$B$13,Paramètres!$A$1:$I$89,3,0)*VLOOKUP('Données projet'!$B$13,Paramètres!$A$1:$I$89,5,0)</f>
        <v>-5.1875304052373401E-13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385.00782828233201</v>
      </c>
      <c r="CZ186" s="62">
        <f t="shared" si="150"/>
        <v>216.22708298332475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478.79275378428366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327.17622590628559</v>
      </c>
      <c r="T187" s="62">
        <f t="shared" si="142"/>
        <v>379.61248288852113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4.0324553426975017E-22</v>
      </c>
      <c r="AC187" s="24">
        <f t="shared" si="163"/>
        <v>4.0324553426975017E-22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276.87402314479681</v>
      </c>
      <c r="AO187" s="62">
        <f t="shared" si="144"/>
        <v>125.27302863901997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9.2222762759774927E-14</v>
      </c>
      <c r="BF187" s="14">
        <f t="shared" si="167"/>
        <v>1.3985662224947967E-12</v>
      </c>
      <c r="BG187" s="22">
        <f t="shared" si="168"/>
        <v>2.5964574826517121E-12</v>
      </c>
      <c r="BH187" s="62">
        <f t="shared" si="116"/>
        <v>293.33333333333593</v>
      </c>
      <c r="BI187" s="62">
        <f ca="1">AVERAGE(OFFSET($BH$3,0,0,'Données projet'!$E$11+1,1))-AVERAGE(OFFSET($H$3,0,0,'Données projet'!$E$11+1,1))</f>
        <v>236.29093866505224</v>
      </c>
      <c r="BJ187" s="62">
        <f t="shared" si="146"/>
        <v>258.22911730540892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-2.8421709430404007E-13</v>
      </c>
      <c r="BZ187" s="14">
        <f>BY187*VLOOKUP('Données projet'!$B$12,Paramètres!$A$1:$I$89,3,0)*VLOOKUP('Données projet'!$B$12,Paramètres!$A$1:$I$89,5,0)</f>
        <v>-2.2168933355715128E-13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250.84814055099969</v>
      </c>
      <c r="CE187" s="62">
        <f t="shared" si="148"/>
        <v>226.15029417484465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-5.1159076974727213E-13</v>
      </c>
      <c r="CU187" s="18">
        <f>CT187*VLOOKUP('Données projet'!$B$13,Paramètres!$A$1:$I$89,3,0)*VLOOKUP('Données projet'!$B$13,Paramètres!$A$1:$I$89,5,0)</f>
        <v>-5.1875304052373401E-13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385.00782828233201</v>
      </c>
      <c r="CZ187" s="62">
        <f t="shared" si="150"/>
        <v>216.22708298332475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479.97006098930456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327.17622590628559</v>
      </c>
      <c r="T188" s="62">
        <f t="shared" si="142"/>
        <v>379.61248288852113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2.8513765176533268E-22</v>
      </c>
      <c r="AC188" s="24">
        <f t="shared" si="163"/>
        <v>2.8513765176533268E-22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276.87402314479681</v>
      </c>
      <c r="AO188" s="62">
        <f t="shared" si="144"/>
        <v>125.27302863901997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9.2222762759774927E-14</v>
      </c>
      <c r="BF188" s="14">
        <f t="shared" si="167"/>
        <v>1.3985662224947967E-12</v>
      </c>
      <c r="BG188" s="22">
        <f t="shared" si="168"/>
        <v>2.5964574826517121E-12</v>
      </c>
      <c r="BH188" s="62">
        <f t="shared" si="116"/>
        <v>293.33333333333593</v>
      </c>
      <c r="BI188" s="62">
        <f ca="1">AVERAGE(OFFSET($BH$3,0,0,'Données projet'!$E$11+1,1))-AVERAGE(OFFSET($H$3,0,0,'Données projet'!$E$11+1,1))</f>
        <v>236.29093866505224</v>
      </c>
      <c r="BJ188" s="62">
        <f t="shared" si="146"/>
        <v>258.22911730540892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-2.8421709430404007E-13</v>
      </c>
      <c r="BZ188" s="14">
        <f>BY188*VLOOKUP('Données projet'!$B$12,Paramètres!$A$1:$I$89,3,0)*VLOOKUP('Données projet'!$B$12,Paramètres!$A$1:$I$89,5,0)</f>
        <v>-2.2168933355715128E-13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250.84814055099969</v>
      </c>
      <c r="CE188" s="62">
        <f t="shared" si="148"/>
        <v>226.15029417484465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-5.1159076974727213E-13</v>
      </c>
      <c r="CU188" s="18">
        <f>CT188*VLOOKUP('Données projet'!$B$13,Paramètres!$A$1:$I$89,3,0)*VLOOKUP('Données projet'!$B$13,Paramètres!$A$1:$I$89,5,0)</f>
        <v>-5.1875304052373401E-13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385.00782828233201</v>
      </c>
      <c r="CZ188" s="62">
        <f t="shared" si="150"/>
        <v>216.22708298332475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481.1472258168813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327.17622590628559</v>
      </c>
      <c r="T189" s="62">
        <f t="shared" si="142"/>
        <v>379.61248288852113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2.0162276713487508E-22</v>
      </c>
      <c r="AC189" s="24">
        <f t="shared" si="163"/>
        <v>2.0162276713487508E-22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276.87402314479681</v>
      </c>
      <c r="AO189" s="62">
        <f t="shared" si="144"/>
        <v>125.27302863901997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9.2222762759774927E-14</v>
      </c>
      <c r="BF189" s="14">
        <f t="shared" si="167"/>
        <v>1.3985662224947967E-12</v>
      </c>
      <c r="BG189" s="22">
        <f t="shared" si="168"/>
        <v>2.5964574826517121E-12</v>
      </c>
      <c r="BH189" s="62">
        <f t="shared" si="116"/>
        <v>293.33333333333593</v>
      </c>
      <c r="BI189" s="62">
        <f ca="1">AVERAGE(OFFSET($BH$3,0,0,'Données projet'!$E$11+1,1))-AVERAGE(OFFSET($H$3,0,0,'Données projet'!$E$11+1,1))</f>
        <v>236.29093866505224</v>
      </c>
      <c r="BJ189" s="62">
        <f t="shared" si="146"/>
        <v>258.22911730540892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-2.8421709430404007E-13</v>
      </c>
      <c r="BZ189" s="14">
        <f>BY189*VLOOKUP('Données projet'!$B$12,Paramètres!$A$1:$I$89,3,0)*VLOOKUP('Données projet'!$B$12,Paramètres!$A$1:$I$89,5,0)</f>
        <v>-2.2168933355715128E-13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250.84814055099969</v>
      </c>
      <c r="CE189" s="62">
        <f t="shared" si="148"/>
        <v>226.15029417484465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-5.1159076974727213E-13</v>
      </c>
      <c r="CU189" s="18">
        <f>CT189*VLOOKUP('Données projet'!$B$13,Paramètres!$A$1:$I$89,3,0)*VLOOKUP('Données projet'!$B$13,Paramètres!$A$1:$I$89,5,0)</f>
        <v>-5.1875304052373401E-13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385.00782828233201</v>
      </c>
      <c r="CZ189" s="62">
        <f t="shared" si="150"/>
        <v>216.22708298332475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482.32424912132575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327.17622590628559</v>
      </c>
      <c r="T190" s="62">
        <f t="shared" si="142"/>
        <v>379.61248288852113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1.4256882588266634E-22</v>
      </c>
      <c r="AC190" s="24">
        <f t="shared" si="163"/>
        <v>1.4256882588266634E-22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276.87402314479681</v>
      </c>
      <c r="AO190" s="62">
        <f t="shared" si="144"/>
        <v>125.27302863901997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9.2222762759774927E-14</v>
      </c>
      <c r="BF190" s="14">
        <f t="shared" si="167"/>
        <v>1.3985662224947967E-12</v>
      </c>
      <c r="BG190" s="22">
        <f t="shared" si="168"/>
        <v>2.5964574826517121E-12</v>
      </c>
      <c r="BH190" s="62">
        <f t="shared" si="116"/>
        <v>293.33333333333593</v>
      </c>
      <c r="BI190" s="62">
        <f ca="1">AVERAGE(OFFSET($BH$3,0,0,'Données projet'!$E$11+1,1))-AVERAGE(OFFSET($H$3,0,0,'Données projet'!$E$11+1,1))</f>
        <v>236.29093866505224</v>
      </c>
      <c r="BJ190" s="62">
        <f t="shared" si="146"/>
        <v>258.22911730540892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-2.8421709430404007E-13</v>
      </c>
      <c r="BZ190" s="14">
        <f>BY190*VLOOKUP('Données projet'!$B$12,Paramètres!$A$1:$I$89,3,0)*VLOOKUP('Données projet'!$B$12,Paramètres!$A$1:$I$89,5,0)</f>
        <v>-2.2168933355715128E-13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250.84814055099969</v>
      </c>
      <c r="CE190" s="62">
        <f t="shared" si="148"/>
        <v>226.15029417484465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-5.1159076974727213E-13</v>
      </c>
      <c r="CU190" s="18">
        <f>CT190*VLOOKUP('Données projet'!$B$13,Paramètres!$A$1:$I$89,3,0)*VLOOKUP('Données projet'!$B$13,Paramètres!$A$1:$I$89,5,0)</f>
        <v>-5.1875304052373401E-13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385.00782828233201</v>
      </c>
      <c r="CZ190" s="62">
        <f t="shared" si="150"/>
        <v>216.22708298332475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483.50113174728358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327.17622590628559</v>
      </c>
      <c r="T191" s="62">
        <f t="shared" si="142"/>
        <v>379.61248288852113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1.0081138356743754E-22</v>
      </c>
      <c r="AC191" s="24">
        <f t="shared" si="163"/>
        <v>1.0081138356743754E-22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276.87402314479681</v>
      </c>
      <c r="AO191" s="62">
        <f t="shared" si="144"/>
        <v>125.27302863901997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9.2222762759774927E-14</v>
      </c>
      <c r="BF191" s="14">
        <f t="shared" si="167"/>
        <v>1.3985662224947967E-12</v>
      </c>
      <c r="BG191" s="22">
        <f t="shared" si="168"/>
        <v>2.5964574826517121E-12</v>
      </c>
      <c r="BH191" s="62">
        <f t="shared" si="116"/>
        <v>293.33333333333593</v>
      </c>
      <c r="BI191" s="62">
        <f ca="1">AVERAGE(OFFSET($BH$3,0,0,'Données projet'!$E$11+1,1))-AVERAGE(OFFSET($H$3,0,0,'Données projet'!$E$11+1,1))</f>
        <v>236.29093866505224</v>
      </c>
      <c r="BJ191" s="62">
        <f t="shared" si="146"/>
        <v>258.22911730540892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-2.8421709430404007E-13</v>
      </c>
      <c r="BZ191" s="14">
        <f>BY191*VLOOKUP('Données projet'!$B$12,Paramètres!$A$1:$I$89,3,0)*VLOOKUP('Données projet'!$B$12,Paramètres!$A$1:$I$89,5,0)</f>
        <v>-2.2168933355715128E-13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250.84814055099969</v>
      </c>
      <c r="CE191" s="62">
        <f t="shared" si="148"/>
        <v>226.15029417484465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-5.1159076974727213E-13</v>
      </c>
      <c r="CU191" s="18">
        <f>CT191*VLOOKUP('Données projet'!$B$13,Paramètres!$A$1:$I$89,3,0)*VLOOKUP('Données projet'!$B$13,Paramètres!$A$1:$I$89,5,0)</f>
        <v>-5.1875304052373401E-13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385.00782828233201</v>
      </c>
      <c r="CZ191" s="62">
        <f t="shared" si="150"/>
        <v>216.22708298332475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484.67787452989506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327.17622590628559</v>
      </c>
      <c r="T192" s="62">
        <f t="shared" si="142"/>
        <v>379.61248288852113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7.128441294133317E-23</v>
      </c>
      <c r="AC192" s="24">
        <f t="shared" si="163"/>
        <v>7.128441294133317E-23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276.87402314479681</v>
      </c>
      <c r="AO192" s="62">
        <f t="shared" si="144"/>
        <v>125.27302863901997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9.2222762759774927E-14</v>
      </c>
      <c r="BF192" s="14">
        <f t="shared" si="167"/>
        <v>1.3985662224947967E-12</v>
      </c>
      <c r="BG192" s="22">
        <f t="shared" si="168"/>
        <v>2.5964574826517121E-12</v>
      </c>
      <c r="BH192" s="62">
        <f t="shared" si="116"/>
        <v>293.33333333333593</v>
      </c>
      <c r="BI192" s="62">
        <f ca="1">AVERAGE(OFFSET($BH$3,0,0,'Données projet'!$E$11+1,1))-AVERAGE(OFFSET($H$3,0,0,'Données projet'!$E$11+1,1))</f>
        <v>236.29093866505224</v>
      </c>
      <c r="BJ192" s="62">
        <f t="shared" si="146"/>
        <v>258.22911730540892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-2.8421709430404007E-13</v>
      </c>
      <c r="BZ192" s="14">
        <f>BY192*VLOOKUP('Données projet'!$B$12,Paramètres!$A$1:$I$89,3,0)*VLOOKUP('Données projet'!$B$12,Paramètres!$A$1:$I$89,5,0)</f>
        <v>-2.2168933355715128E-13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250.84814055099969</v>
      </c>
      <c r="CE192" s="62">
        <f t="shared" si="148"/>
        <v>226.15029417484465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-5.1159076974727213E-13</v>
      </c>
      <c r="CU192" s="18">
        <f>CT192*VLOOKUP('Données projet'!$B$13,Paramètres!$A$1:$I$89,3,0)*VLOOKUP('Données projet'!$B$13,Paramètres!$A$1:$I$89,5,0)</f>
        <v>-5.1875304052373401E-13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385.00782828233201</v>
      </c>
      <c r="CZ192" s="62">
        <f t="shared" si="150"/>
        <v>216.22708298332475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485.85447829495109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327.17622590628559</v>
      </c>
      <c r="T193" s="62">
        <f t="shared" si="142"/>
        <v>379.61248288852113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5.0405691783718771E-23</v>
      </c>
      <c r="AC193" s="24">
        <f t="shared" si="163"/>
        <v>5.0405691783718771E-23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276.87402314479681</v>
      </c>
      <c r="AO193" s="62">
        <f t="shared" si="144"/>
        <v>125.27302863901997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9.2222762759774927E-14</v>
      </c>
      <c r="BF193" s="14">
        <f t="shared" si="167"/>
        <v>1.3985662224947967E-12</v>
      </c>
      <c r="BG193" s="22">
        <f t="shared" si="168"/>
        <v>2.5964574826517121E-12</v>
      </c>
      <c r="BH193" s="62">
        <f t="shared" si="116"/>
        <v>293.33333333333593</v>
      </c>
      <c r="BI193" s="62">
        <f ca="1">AVERAGE(OFFSET($BH$3,0,0,'Données projet'!$E$11+1,1))-AVERAGE(OFFSET($H$3,0,0,'Données projet'!$E$11+1,1))</f>
        <v>236.29093866505224</v>
      </c>
      <c r="BJ193" s="62">
        <f t="shared" si="146"/>
        <v>258.22911730540892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-2.8421709430404007E-13</v>
      </c>
      <c r="BZ193" s="14">
        <f>BY193*VLOOKUP('Données projet'!$B$12,Paramètres!$A$1:$I$89,3,0)*VLOOKUP('Données projet'!$B$12,Paramètres!$A$1:$I$89,5,0)</f>
        <v>-2.2168933355715128E-13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250.84814055099969</v>
      </c>
      <c r="CE193" s="62">
        <f t="shared" si="148"/>
        <v>226.15029417484465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-5.1159076974727213E-13</v>
      </c>
      <c r="CU193" s="18">
        <f>CT193*VLOOKUP('Données projet'!$B$13,Paramètres!$A$1:$I$89,3,0)*VLOOKUP('Données projet'!$B$13,Paramètres!$A$1:$I$89,5,0)</f>
        <v>-5.1875304052373401E-13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385.00782828233201</v>
      </c>
      <c r="CZ193" s="62">
        <f t="shared" si="150"/>
        <v>216.22708298332475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487.03094385904706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327.17622590628559</v>
      </c>
      <c r="T194" s="62">
        <f t="shared" si="142"/>
        <v>379.61248288852113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3.5642206470666585E-23</v>
      </c>
      <c r="AC194" s="24">
        <f t="shared" si="163"/>
        <v>3.5642206470666585E-23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276.87402314479681</v>
      </c>
      <c r="AO194" s="62">
        <f t="shared" si="144"/>
        <v>125.27302863901997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9.2222762759774927E-14</v>
      </c>
      <c r="BF194" s="14">
        <f t="shared" si="167"/>
        <v>1.3985662224947967E-12</v>
      </c>
      <c r="BG194" s="22">
        <f t="shared" si="168"/>
        <v>2.5964574826517121E-12</v>
      </c>
      <c r="BH194" s="62">
        <f t="shared" si="116"/>
        <v>293.33333333333593</v>
      </c>
      <c r="BI194" s="62">
        <f ca="1">AVERAGE(OFFSET($BH$3,0,0,'Données projet'!$E$11+1,1))-AVERAGE(OFFSET($H$3,0,0,'Données projet'!$E$11+1,1))</f>
        <v>236.29093866505224</v>
      </c>
      <c r="BJ194" s="62">
        <f t="shared" si="146"/>
        <v>258.22911730540892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-2.8421709430404007E-13</v>
      </c>
      <c r="BZ194" s="14">
        <f>BY194*VLOOKUP('Données projet'!$B$12,Paramètres!$A$1:$I$89,3,0)*VLOOKUP('Données projet'!$B$12,Paramètres!$A$1:$I$89,5,0)</f>
        <v>-2.2168933355715128E-13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250.84814055099969</v>
      </c>
      <c r="CE194" s="62">
        <f t="shared" si="148"/>
        <v>226.15029417484465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-5.1159076974727213E-13</v>
      </c>
      <c r="CU194" s="18">
        <f>CT194*VLOOKUP('Données projet'!$B$13,Paramètres!$A$1:$I$89,3,0)*VLOOKUP('Données projet'!$B$13,Paramètres!$A$1:$I$89,5,0)</f>
        <v>-5.1875304052373401E-13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385.00782828233201</v>
      </c>
      <c r="CZ194" s="62">
        <f t="shared" si="150"/>
        <v>216.22708298332475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488.20727202973239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327.17622590628559</v>
      </c>
      <c r="T195" s="62">
        <f t="shared" si="142"/>
        <v>379.61248288852113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2.5202845891859385E-23</v>
      </c>
      <c r="AC195" s="24">
        <f t="shared" si="163"/>
        <v>2.5202845891859385E-23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276.87402314479681</v>
      </c>
      <c r="AO195" s="62">
        <f t="shared" si="144"/>
        <v>125.27302863901997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9.2222762759774927E-14</v>
      </c>
      <c r="BF195" s="14">
        <f t="shared" si="167"/>
        <v>1.3985662224947967E-12</v>
      </c>
      <c r="BG195" s="22">
        <f t="shared" si="168"/>
        <v>2.5964574826517121E-12</v>
      </c>
      <c r="BH195" s="62">
        <f t="shared" si="116"/>
        <v>293.33333333333593</v>
      </c>
      <c r="BI195" s="62">
        <f ca="1">AVERAGE(OFFSET($BH$3,0,0,'Données projet'!$E$11+1,1))-AVERAGE(OFFSET($H$3,0,0,'Données projet'!$E$11+1,1))</f>
        <v>236.29093866505224</v>
      </c>
      <c r="BJ195" s="62">
        <f t="shared" si="146"/>
        <v>258.22911730540892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-2.8421709430404007E-13</v>
      </c>
      <c r="BZ195" s="14">
        <f>BY195*VLOOKUP('Données projet'!$B$12,Paramètres!$A$1:$I$89,3,0)*VLOOKUP('Données projet'!$B$12,Paramètres!$A$1:$I$89,5,0)</f>
        <v>-2.2168933355715128E-13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250.84814055099969</v>
      </c>
      <c r="CE195" s="62">
        <f t="shared" si="148"/>
        <v>226.15029417484465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-5.1159076974727213E-13</v>
      </c>
      <c r="CU195" s="18">
        <f>CT195*VLOOKUP('Données projet'!$B$13,Paramètres!$A$1:$I$89,3,0)*VLOOKUP('Données projet'!$B$13,Paramètres!$A$1:$I$89,5,0)</f>
        <v>-5.1875304052373401E-13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385.00782828233201</v>
      </c>
      <c r="CZ195" s="62">
        <f t="shared" si="150"/>
        <v>216.22708298332475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489.38346360565777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327.17622590628559</v>
      </c>
      <c r="T196" s="62">
        <f t="shared" si="142"/>
        <v>379.61248288852113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1.7821103235333292E-23</v>
      </c>
      <c r="AC196" s="24">
        <f t="shared" si="163"/>
        <v>1.7821103235333292E-23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276.87402314479681</v>
      </c>
      <c r="AO196" s="62">
        <f t="shared" si="144"/>
        <v>125.27302863901997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9.2222762759774927E-14</v>
      </c>
      <c r="BF196" s="14">
        <f t="shared" si="167"/>
        <v>1.3985662224947967E-12</v>
      </c>
      <c r="BG196" s="22">
        <f t="shared" si="168"/>
        <v>2.5964574826517121E-12</v>
      </c>
      <c r="BH196" s="62">
        <f t="shared" ref="BH196:BH203" si="194">BG196+(AY196+AZ196)*44/12</f>
        <v>293.33333333333593</v>
      </c>
      <c r="BI196" s="62">
        <f ca="1">AVERAGE(OFFSET($BH$3,0,0,'Données projet'!$E$11+1,1))-AVERAGE(OFFSET($H$3,0,0,'Données projet'!$E$11+1,1))</f>
        <v>236.29093866505224</v>
      </c>
      <c r="BJ196" s="62">
        <f t="shared" si="146"/>
        <v>258.22911730540892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-2.8421709430404007E-13</v>
      </c>
      <c r="BZ196" s="14">
        <f>BY196*VLOOKUP('Données projet'!$B$12,Paramètres!$A$1:$I$89,3,0)*VLOOKUP('Données projet'!$B$12,Paramètres!$A$1:$I$89,5,0)</f>
        <v>-2.2168933355715128E-13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250.84814055099969</v>
      </c>
      <c r="CE196" s="62">
        <f t="shared" si="148"/>
        <v>226.15029417484465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-5.1159076974727213E-13</v>
      </c>
      <c r="CU196" s="18">
        <f>CT196*VLOOKUP('Données projet'!$B$13,Paramètres!$A$1:$I$89,3,0)*VLOOKUP('Données projet'!$B$13,Paramètres!$A$1:$I$89,5,0)</f>
        <v>-5.1875304052373401E-13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385.00782828233201</v>
      </c>
      <c r="CZ196" s="62">
        <f t="shared" si="150"/>
        <v>216.22708298332475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490.55951937671841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327.17622590628559</v>
      </c>
      <c r="T197" s="62">
        <f t="shared" ref="T197:T203" si="204">$T$3</f>
        <v>379.61248288852113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1.2601422945929693E-23</v>
      </c>
      <c r="AC197" s="24">
        <f t="shared" si="163"/>
        <v>1.2601422945929693E-23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276.87402314479681</v>
      </c>
      <c r="AO197" s="62">
        <f t="shared" ref="AO197:AO203" si="205">$AO$3</f>
        <v>125.27302863901997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9.2222762759774927E-14</v>
      </c>
      <c r="BF197" s="14">
        <f t="shared" si="167"/>
        <v>1.3985662224947967E-12</v>
      </c>
      <c r="BG197" s="22">
        <f t="shared" si="168"/>
        <v>2.5964574826517121E-12</v>
      </c>
      <c r="BH197" s="62">
        <f t="shared" si="194"/>
        <v>293.33333333333593</v>
      </c>
      <c r="BI197" s="62">
        <f ca="1">AVERAGE(OFFSET($BH$3,0,0,'Données projet'!$E$11+1,1))-AVERAGE(OFFSET($H$3,0,0,'Données projet'!$E$11+1,1))</f>
        <v>236.29093866505224</v>
      </c>
      <c r="BJ197" s="62">
        <f t="shared" ref="BJ197:BJ203" si="206">$BJ$3</f>
        <v>258.22911730540892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-2.8421709430404007E-13</v>
      </c>
      <c r="BZ197" s="14">
        <f>BY197*VLOOKUP('Données projet'!$B$12,Paramètres!$A$1:$I$89,3,0)*VLOOKUP('Données projet'!$B$12,Paramètres!$A$1:$I$89,5,0)</f>
        <v>-2.2168933355715128E-13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250.84814055099969</v>
      </c>
      <c r="CE197" s="62">
        <f t="shared" ref="CE197:CE203" si="207">$CE$3</f>
        <v>226.15029417484465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-5.1159076974727213E-13</v>
      </c>
      <c r="CU197" s="18">
        <f>CT197*VLOOKUP('Données projet'!$B$13,Paramètres!$A$1:$I$89,3,0)*VLOOKUP('Données projet'!$B$13,Paramètres!$A$1:$I$89,5,0)</f>
        <v>-5.1875304052373401E-13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385.00782828233201</v>
      </c>
      <c r="CZ197" s="62">
        <f t="shared" ref="CZ197:CZ203" si="208">$CZ$3</f>
        <v>216.22708298332475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491.73544012419472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327.17622590628559</v>
      </c>
      <c r="T198" s="62">
        <f t="shared" si="204"/>
        <v>379.61248288852113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8.9105516176666462E-24</v>
      </c>
      <c r="AC198" s="24">
        <f t="shared" si="163"/>
        <v>8.9105516176666462E-24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276.87402314479681</v>
      </c>
      <c r="AO198" s="62">
        <f t="shared" si="205"/>
        <v>125.27302863901997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9.2222762759774927E-14</v>
      </c>
      <c r="BF198" s="14">
        <f t="shared" si="167"/>
        <v>1.3985662224947967E-12</v>
      </c>
      <c r="BG198" s="22">
        <f t="shared" si="168"/>
        <v>2.5964574826517121E-12</v>
      </c>
      <c r="BH198" s="62">
        <f t="shared" si="194"/>
        <v>293.33333333333593</v>
      </c>
      <c r="BI198" s="62">
        <f ca="1">AVERAGE(OFFSET($BH$3,0,0,'Données projet'!$E$11+1,1))-AVERAGE(OFFSET($H$3,0,0,'Données projet'!$E$11+1,1))</f>
        <v>236.29093866505224</v>
      </c>
      <c r="BJ198" s="62">
        <f t="shared" si="206"/>
        <v>258.22911730540892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-2.8421709430404007E-13</v>
      </c>
      <c r="BZ198" s="14">
        <f>BY198*VLOOKUP('Données projet'!$B$12,Paramètres!$A$1:$I$89,3,0)*VLOOKUP('Données projet'!$B$12,Paramètres!$A$1:$I$89,5,0)</f>
        <v>-2.2168933355715128E-13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250.84814055099969</v>
      </c>
      <c r="CE198" s="62">
        <f t="shared" si="207"/>
        <v>226.15029417484465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-5.1159076974727213E-13</v>
      </c>
      <c r="CU198" s="18">
        <f>CT198*VLOOKUP('Données projet'!$B$13,Paramètres!$A$1:$I$89,3,0)*VLOOKUP('Données projet'!$B$13,Paramètres!$A$1:$I$89,5,0)</f>
        <v>-5.1875304052373401E-13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385.00782828233201</v>
      </c>
      <c r="CZ198" s="62">
        <f t="shared" si="208"/>
        <v>216.22708298332475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492.91122662089026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327.17622590628559</v>
      </c>
      <c r="T199" s="62">
        <f t="shared" si="204"/>
        <v>379.61248288852113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6.3007114729648464E-24</v>
      </c>
      <c r="AC199" s="24">
        <f t="shared" si="163"/>
        <v>6.3007114729648464E-24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276.87402314479681</v>
      </c>
      <c r="AO199" s="62">
        <f t="shared" si="205"/>
        <v>125.27302863901997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9.2222762759774927E-14</v>
      </c>
      <c r="BF199" s="14">
        <f t="shared" si="167"/>
        <v>1.3985662224947967E-12</v>
      </c>
      <c r="BG199" s="22">
        <f t="shared" si="168"/>
        <v>2.5964574826517121E-12</v>
      </c>
      <c r="BH199" s="62">
        <f t="shared" si="194"/>
        <v>293.33333333333593</v>
      </c>
      <c r="BI199" s="62">
        <f ca="1">AVERAGE(OFFSET($BH$3,0,0,'Données projet'!$E$11+1,1))-AVERAGE(OFFSET($H$3,0,0,'Données projet'!$E$11+1,1))</f>
        <v>236.29093866505224</v>
      </c>
      <c r="BJ199" s="62">
        <f t="shared" si="206"/>
        <v>258.22911730540892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-2.8421709430404007E-13</v>
      </c>
      <c r="BZ199" s="14">
        <f>BY199*VLOOKUP('Données projet'!$B$12,Paramètres!$A$1:$I$89,3,0)*VLOOKUP('Données projet'!$B$12,Paramètres!$A$1:$I$89,5,0)</f>
        <v>-2.2168933355715128E-13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250.84814055099969</v>
      </c>
      <c r="CE199" s="62">
        <f t="shared" si="207"/>
        <v>226.15029417484465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-5.1159076974727213E-13</v>
      </c>
      <c r="CU199" s="18">
        <f>CT199*VLOOKUP('Données projet'!$B$13,Paramètres!$A$1:$I$89,3,0)*VLOOKUP('Données projet'!$B$13,Paramètres!$A$1:$I$89,5,0)</f>
        <v>-5.1875304052373401E-13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385.00782828233201</v>
      </c>
      <c r="CZ199" s="62">
        <f t="shared" si="208"/>
        <v>216.22708298332475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494.08687963126607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327.17622590628559</v>
      </c>
      <c r="T200" s="62">
        <f t="shared" si="204"/>
        <v>379.61248288852113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4.4552758088333231E-24</v>
      </c>
      <c r="AC200" s="24">
        <f t="shared" si="163"/>
        <v>4.4552758088333231E-24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276.87402314479681</v>
      </c>
      <c r="AO200" s="62">
        <f t="shared" si="205"/>
        <v>125.27302863901997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9.2222762759774927E-14</v>
      </c>
      <c r="BF200" s="14">
        <f t="shared" si="167"/>
        <v>1.3985662224947967E-12</v>
      </c>
      <c r="BG200" s="22">
        <f t="shared" si="168"/>
        <v>2.5964574826517121E-12</v>
      </c>
      <c r="BH200" s="62">
        <f t="shared" si="194"/>
        <v>293.33333333333593</v>
      </c>
      <c r="BI200" s="62">
        <f ca="1">AVERAGE(OFFSET($BH$3,0,0,'Données projet'!$E$11+1,1))-AVERAGE(OFFSET($H$3,0,0,'Données projet'!$E$11+1,1))</f>
        <v>236.29093866505224</v>
      </c>
      <c r="BJ200" s="62">
        <f t="shared" si="206"/>
        <v>258.22911730540892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-2.8421709430404007E-13</v>
      </c>
      <c r="BZ200" s="14">
        <f>BY200*VLOOKUP('Données projet'!$B$12,Paramètres!$A$1:$I$89,3,0)*VLOOKUP('Données projet'!$B$12,Paramètres!$A$1:$I$89,5,0)</f>
        <v>-2.2168933355715128E-13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250.84814055099969</v>
      </c>
      <c r="CE200" s="62">
        <f t="shared" si="207"/>
        <v>226.15029417484465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-5.1159076974727213E-13</v>
      </c>
      <c r="CU200" s="18">
        <f>CT200*VLOOKUP('Données projet'!$B$13,Paramètres!$A$1:$I$89,3,0)*VLOOKUP('Données projet'!$B$13,Paramètres!$A$1:$I$89,5,0)</f>
        <v>-5.1875304052373401E-13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385.00782828233201</v>
      </c>
      <c r="CZ200" s="62">
        <f t="shared" si="208"/>
        <v>216.22708298332475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495.26239991157297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327.17622590628559</v>
      </c>
      <c r="T201" s="62">
        <f t="shared" si="204"/>
        <v>379.61248288852113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3.1503557364824232E-24</v>
      </c>
      <c r="AC201" s="24">
        <f t="shared" si="163"/>
        <v>3.1503557364824232E-24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276.87402314479681</v>
      </c>
      <c r="AO201" s="62">
        <f t="shared" si="205"/>
        <v>125.27302863901997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9.2222762759774927E-14</v>
      </c>
      <c r="BF201" s="14">
        <f t="shared" si="167"/>
        <v>1.3985662224947967E-12</v>
      </c>
      <c r="BG201" s="22">
        <f t="shared" si="168"/>
        <v>2.5964574826517121E-12</v>
      </c>
      <c r="BH201" s="62">
        <f t="shared" si="194"/>
        <v>293.33333333333593</v>
      </c>
      <c r="BI201" s="62">
        <f ca="1">AVERAGE(OFFSET($BH$3,0,0,'Données projet'!$E$11+1,1))-AVERAGE(OFFSET($H$3,0,0,'Données projet'!$E$11+1,1))</f>
        <v>236.29093866505224</v>
      </c>
      <c r="BJ201" s="62">
        <f t="shared" si="206"/>
        <v>258.22911730540892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-2.8421709430404007E-13</v>
      </c>
      <c r="BZ201" s="14">
        <f>BY201*VLOOKUP('Données projet'!$B$12,Paramètres!$A$1:$I$89,3,0)*VLOOKUP('Données projet'!$B$12,Paramètres!$A$1:$I$89,5,0)</f>
        <v>-2.2168933355715128E-13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250.84814055099969</v>
      </c>
      <c r="CE201" s="62">
        <f t="shared" si="207"/>
        <v>226.15029417484465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-5.1159076974727213E-13</v>
      </c>
      <c r="CU201" s="18">
        <f>CT201*VLOOKUP('Données projet'!$B$13,Paramètres!$A$1:$I$89,3,0)*VLOOKUP('Données projet'!$B$13,Paramètres!$A$1:$I$89,5,0)</f>
        <v>-5.1875304052373401E-13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385.00782828233201</v>
      </c>
      <c r="CZ201" s="62">
        <f t="shared" si="208"/>
        <v>216.22708298332475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496.43778820998034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327.17622590628559</v>
      </c>
      <c r="T202" s="62">
        <f t="shared" si="204"/>
        <v>379.61248288852113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2.2276379044166616E-24</v>
      </c>
      <c r="AC202" s="24">
        <f t="shared" si="163"/>
        <v>2.2276379044166616E-24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276.87402314479681</v>
      </c>
      <c r="AO202" s="62">
        <f t="shared" si="205"/>
        <v>125.27302863901997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9.2222762759774927E-14</v>
      </c>
      <c r="BF202" s="14">
        <f t="shared" si="167"/>
        <v>1.3985662224947967E-12</v>
      </c>
      <c r="BG202" s="22">
        <f t="shared" si="168"/>
        <v>2.5964574826517121E-12</v>
      </c>
      <c r="BH202" s="62">
        <f t="shared" si="194"/>
        <v>293.33333333333593</v>
      </c>
      <c r="BI202" s="62">
        <f ca="1">AVERAGE(OFFSET($BH$3,0,0,'Données projet'!$E$11+1,1))-AVERAGE(OFFSET($H$3,0,0,'Données projet'!$E$11+1,1))</f>
        <v>236.29093866505224</v>
      </c>
      <c r="BJ202" s="62">
        <f t="shared" si="206"/>
        <v>258.22911730540892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-2.8421709430404007E-13</v>
      </c>
      <c r="BZ202" s="14">
        <f>BY202*VLOOKUP('Données projet'!$B$12,Paramètres!$A$1:$I$89,3,0)*VLOOKUP('Données projet'!$B$12,Paramètres!$A$1:$I$89,5,0)</f>
        <v>-2.2168933355715128E-13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250.84814055099969</v>
      </c>
      <c r="CE202" s="62">
        <f t="shared" si="207"/>
        <v>226.15029417484465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-5.1159076974727213E-13</v>
      </c>
      <c r="CU202" s="18">
        <f>CT202*VLOOKUP('Données projet'!$B$13,Paramètres!$A$1:$I$89,3,0)*VLOOKUP('Données projet'!$B$13,Paramètres!$A$1:$I$89,5,0)</f>
        <v>-5.1875304052373401E-13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385.00782828233201</v>
      </c>
      <c r="CZ202" s="62">
        <f t="shared" si="208"/>
        <v>216.22708298332475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497.61304526670318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327.17622590628559</v>
      </c>
      <c r="T203" s="62">
        <f t="shared" si="204"/>
        <v>379.61248288852113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1.5751778682412116E-24</v>
      </c>
      <c r="AC203" s="24">
        <f t="shared" si="163"/>
        <v>1.5751778682412116E-24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276.87402314479681</v>
      </c>
      <c r="AO203" s="62">
        <f t="shared" si="205"/>
        <v>125.27302863901997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9.2222762759774927E-14</v>
      </c>
      <c r="BF203" s="14">
        <f t="shared" si="167"/>
        <v>1.3985662224947967E-12</v>
      </c>
      <c r="BG203" s="22">
        <f t="shared" si="168"/>
        <v>2.5964574826517121E-12</v>
      </c>
      <c r="BH203" s="62">
        <f t="shared" si="194"/>
        <v>293.33333333333593</v>
      </c>
      <c r="BI203" s="62">
        <f ca="1">AVERAGE(OFFSET($BH$3,0,0,'Données projet'!$E$11+1,1))-AVERAGE(OFFSET($H$3,0,0,'Données projet'!$E$11+1,1))</f>
        <v>236.29093866505224</v>
      </c>
      <c r="BJ203" s="62">
        <f t="shared" si="206"/>
        <v>258.22911730540892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-2.8421709430404007E-13</v>
      </c>
      <c r="BZ203" s="14">
        <f>BY203*VLOOKUP('Données projet'!$B$12,Paramètres!$A$1:$I$89,3,0)*VLOOKUP('Données projet'!$B$12,Paramètres!$A$1:$I$89,5,0)</f>
        <v>-2.2168933355715128E-13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250.84814055099969</v>
      </c>
      <c r="CE203" s="62">
        <f t="shared" si="207"/>
        <v>226.15029417484465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-5.1159076974727213E-13</v>
      </c>
      <c r="CU203" s="18">
        <f>CT203*VLOOKUP('Données projet'!$B$13,Paramètres!$A$1:$I$89,3,0)*VLOOKUP('Données projet'!$B$13,Paramètres!$A$1:$I$89,5,0)</f>
        <v>-5.1875304052373401E-13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385.00782828233201</v>
      </c>
      <c r="CZ203" s="62">
        <f t="shared" si="208"/>
        <v>216.22708298332475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1.3239616704988877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1.301201306051178</v>
      </c>
      <c r="BV205" s="88">
        <f>EXP(LN('Données projet'!B114)/'Données projet'!A114)</f>
        <v>1.1966732973638288</v>
      </c>
      <c r="CQ205" s="88">
        <f>EXP(LN('Données projet'!B140)/'Données projet'!A140)</f>
        <v>1.2054868146447177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3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8" t="s">
        <v>238</v>
      </c>
      <c r="P2" s="129">
        <v>0</v>
      </c>
    </row>
    <row r="3" spans="1:16" ht="15" thickBot="1" x14ac:dyDescent="0.35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9"/>
      <c r="P3" s="136">
        <v>0.2</v>
      </c>
    </row>
    <row r="4" spans="1:16" ht="15" thickBot="1" x14ac:dyDescent="0.35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3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8" t="s">
        <v>237</v>
      </c>
      <c r="P5" s="129">
        <v>0</v>
      </c>
    </row>
    <row r="6" spans="1:16" x14ac:dyDescent="0.3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20"/>
      <c r="P6" s="137">
        <v>0.05</v>
      </c>
    </row>
    <row r="7" spans="1:16" x14ac:dyDescent="0.3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20"/>
      <c r="P7" s="137">
        <v>0.1</v>
      </c>
    </row>
    <row r="8" spans="1:16" ht="15" thickBot="1" x14ac:dyDescent="0.35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9"/>
      <c r="P8" s="136">
        <v>0.15</v>
      </c>
    </row>
    <row r="9" spans="1:16" ht="15" thickBot="1" x14ac:dyDescent="0.35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3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8" t="s">
        <v>236</v>
      </c>
      <c r="P10" s="129">
        <v>0</v>
      </c>
    </row>
    <row r="11" spans="1:16" ht="15" thickBot="1" x14ac:dyDescent="0.35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9"/>
      <c r="P11" s="136">
        <v>0.1</v>
      </c>
    </row>
    <row r="12" spans="1:16" x14ac:dyDescent="0.3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3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3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3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3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3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3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3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3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3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3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3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3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3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3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3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3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3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3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3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3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3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3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3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3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3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3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3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3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3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3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3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3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3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3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3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3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3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3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3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3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3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3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3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3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3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3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3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3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3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3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3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3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3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3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3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3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3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3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3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3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3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3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3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3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3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3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3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3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3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3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3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3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3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3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3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" thickBot="1" x14ac:dyDescent="0.35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3">
      <c r="A93" s="130" t="s">
        <v>208</v>
      </c>
    </row>
    <row r="94" spans="1:14" x14ac:dyDescent="0.3">
      <c r="A94" s="130" t="s">
        <v>209</v>
      </c>
    </row>
    <row r="95" spans="1:14" x14ac:dyDescent="0.3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A28" sqref="A2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3" t="str">
        <f>IF('Données projet'!$B$9="","",'Données projet'!$B$9)</f>
        <v>Pin laricio</v>
      </c>
      <c r="B6" s="154">
        <f>'Données projet'!D9</f>
        <v>1.419</v>
      </c>
      <c r="C6" s="155">
        <f ca="1">IF(OR('Données projet'!B9="",'Données projet'!C9="",'Données projet'!C9=0%),0,Calculateur!S3)</f>
        <v>327.17622590628559</v>
      </c>
      <c r="D6" s="155">
        <f>IF(OR('Données projet'!B9="",'Données projet'!C9="",'Données projet'!C9=0%),0,Calculateur!T3)</f>
        <v>379.61248288852113</v>
      </c>
      <c r="E6" s="155">
        <f ca="1">MIN(C6,D6)</f>
        <v>327.17622590628559</v>
      </c>
      <c r="F6" s="155">
        <f ca="1">E6*B6</f>
        <v>464.26306456101929</v>
      </c>
      <c r="G6" s="155">
        <f ca="1">F6*(100%-'Données projet'!$C$24)*(100%-'Données projet'!$C$25)*(100%-'Données projet'!$C$26)*(100%-'Données projet'!$C$27)</f>
        <v>417.83675810491735</v>
      </c>
      <c r="H6" s="156">
        <f>IF(OR('Données projet'!B9="",'Données projet'!C9="",'Données projet'!C9=0%),0,AVERAGE(Calculateur!$AC$3:$AC$33)*B6)</f>
        <v>2.7893302340912505</v>
      </c>
      <c r="I6" s="157">
        <f>H6*(100%-'Données projet'!$C$24)*(100%-'Données projet'!$C$25)*(100%-'Données projet'!$C$26)*(100%-'Données projet'!$C$27)</f>
        <v>2.5103972106821253</v>
      </c>
      <c r="J6" s="158">
        <f>IF(OR('Données projet'!B9="",'Données projet'!C9="",'Données projet'!C9=0%),0,SUM(Calculateur!$V$3:$V$33)*VLOOKUP('Données projet'!$B$9,Paramètres!$A$1:$I$89,9,0)*B6)</f>
        <v>73.220399999999998</v>
      </c>
      <c r="K6" s="159">
        <f>J6*(100%-'Données projet'!$C$24)*(100%-'Données projet'!$C$25)*(100%-'Données projet'!$C$26)*(100%-'Données projet'!$C$27)</f>
        <v>65.898359999999997</v>
      </c>
      <c r="L6" s="160">
        <f ca="1">G6+I6+K6</f>
        <v>486.2455153155995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1" t="str">
        <f>IF('Données projet'!$B$10="","",'Données projet'!$B$10)</f>
        <v>Chêne chevelu</v>
      </c>
      <c r="B7" s="162">
        <f>'Données projet'!D10</f>
        <v>0.55200000000000005</v>
      </c>
      <c r="C7" s="155">
        <f ca="1">IF(OR('Données projet'!B10="",'Données projet'!C10="",'Données projet'!C10=0%),0,Calculateur!AN3)</f>
        <v>276.87402314479681</v>
      </c>
      <c r="D7" s="155">
        <f>IF(OR('Données projet'!B10="",'Données projet'!C10="",'Données projet'!C10=0%),0,Calculateur!AO3)</f>
        <v>125.27302863901997</v>
      </c>
      <c r="E7" s="155">
        <f t="shared" ref="E7:E15" ca="1" si="0">MIN(C7,D7)</f>
        <v>125.27302863901997</v>
      </c>
      <c r="F7" s="155">
        <f t="shared" ref="F7:F15" ca="1" si="1">E7*B7</f>
        <v>69.150711808739032</v>
      </c>
      <c r="G7" s="155">
        <f ca="1">F7*(100%-'Données projet'!$C$24)*(100%-'Données projet'!$C$25)*(100%-'Données projet'!$C$26)*(100%-'Données projet'!$C$27)</f>
        <v>62.235640627865131</v>
      </c>
      <c r="H7" s="163">
        <f>IF(OR('Données projet'!B10="",'Données projet'!C10="",'Données projet'!C10=0%),0,AVERAGE(Calculateur!$AX$3:$AX$33)*B7)</f>
        <v>0</v>
      </c>
      <c r="I7" s="157">
        <f>H7*(100%-'Données projet'!$C$24)*(100%-'Données projet'!$C$25)*(100%-'Données projet'!$C$26)*(100%-'Données projet'!$C$27)</f>
        <v>0</v>
      </c>
      <c r="J7" s="158">
        <f>IF(OR('Données projet'!B10="",'Données projet'!C10="",'Données projet'!C10=0%),0,SUM(Calculateur!$AQ$3:$AQ$33)*VLOOKUP('Données projet'!$B$10,Paramètres!$A$1:$I$89,9,0)*B7)</f>
        <v>0</v>
      </c>
      <c r="K7" s="159">
        <f>J7*(100%-'Données projet'!$C$24)*(100%-'Données projet'!$C$25)*(100%-'Données projet'!$C$26)*(100%-'Données projet'!$C$27)</f>
        <v>0</v>
      </c>
      <c r="L7" s="160">
        <f t="shared" ref="L7:L15" ca="1" si="2">G7+I7+K7</f>
        <v>62.235640627865131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1" t="str">
        <f>IF('Données projet'!$B$11="","",'Données projet'!$B$11)</f>
        <v>Bouleau verruqueux</v>
      </c>
      <c r="B8" s="162">
        <f>'Données projet'!D11</f>
        <v>6.9000000000000006E-2</v>
      </c>
      <c r="C8" s="155">
        <f ca="1">IF(OR('Données projet'!B11="",'Données projet'!C11="",'Données projet'!C11=0%),0,Calculateur!BI3)</f>
        <v>236.29093866505224</v>
      </c>
      <c r="D8" s="155">
        <f>IF(OR('Données projet'!B11="",'Données projet'!C11="",'Données projet'!C11=0%),0,Calculateur!BJ3)</f>
        <v>258.22911730540892</v>
      </c>
      <c r="E8" s="155">
        <f t="shared" ca="1" si="0"/>
        <v>236.29093866505224</v>
      </c>
      <c r="F8" s="155">
        <f t="shared" ca="1" si="1"/>
        <v>16.304074767888604</v>
      </c>
      <c r="G8" s="155">
        <f ca="1">F8*(100%-'Données projet'!$C$24)*(100%-'Données projet'!$C$25)*(100%-'Données projet'!$C$26)*(100%-'Données projet'!$C$27)</f>
        <v>14.673667291099743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0.6865500000000001</v>
      </c>
      <c r="K8" s="159">
        <f>J8*(100%-'Données projet'!$C$24)*(100%-'Données projet'!$C$25)*(100%-'Données projet'!$C$26)*(100%-'Données projet'!$C$27)</f>
        <v>0.61789500000000008</v>
      </c>
      <c r="L8" s="160">
        <f t="shared" ca="1" si="2"/>
        <v>15.291562291099744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1" t="str">
        <f>IF('Données projet'!$B$12="","",'Données projet'!$B$12)</f>
        <v>Merisier</v>
      </c>
      <c r="B9" s="162">
        <f>'Données projet'!D12</f>
        <v>0.20100000000000001</v>
      </c>
      <c r="C9" s="155">
        <f ca="1">IF(OR('Données projet'!B12="",'Données projet'!C12="",'Données projet'!C12=0%),0,Calculateur!CD3)</f>
        <v>250.84814055099969</v>
      </c>
      <c r="D9" s="155">
        <f>IF(OR('Données projet'!B12="",'Données projet'!C12="",'Données projet'!C12=0%),0,Calculateur!CE3)</f>
        <v>226.15029417484465</v>
      </c>
      <c r="E9" s="155">
        <f t="shared" ca="1" si="0"/>
        <v>226.15029417484465</v>
      </c>
      <c r="F9" s="155">
        <f t="shared" ca="1" si="1"/>
        <v>45.45620912914378</v>
      </c>
      <c r="G9" s="155">
        <f ca="1">F9*(100%-'Données projet'!$C$24)*(100%-'Données projet'!$C$25)*(100%-'Données projet'!$C$26)*(100%-'Données projet'!$C$27)</f>
        <v>40.910588216229399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1.407</v>
      </c>
      <c r="K9" s="159">
        <f>J9*(100%-'Données projet'!$C$24)*(100%-'Données projet'!$C$25)*(100%-'Données projet'!$C$26)*(100%-'Données projet'!$C$27)</f>
        <v>1.2663</v>
      </c>
      <c r="L9" s="160">
        <f t="shared" ca="1" si="2"/>
        <v>42.176888216229401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1" t="str">
        <f>IF('Données projet'!$B$13="","",'Données projet'!$B$13)</f>
        <v>Chêne pubescent</v>
      </c>
      <c r="B10" s="162">
        <f>'Données projet'!D13</f>
        <v>0.39300000000000002</v>
      </c>
      <c r="C10" s="155">
        <f ca="1">IF(OR('Données projet'!B13="",'Données projet'!C13="",'Données projet'!C13=0%),0,Calculateur!CY3)</f>
        <v>385.00782828233201</v>
      </c>
      <c r="D10" s="155">
        <f>IF(OR('Données projet'!B13="",'Données projet'!C13="",'Données projet'!C13=0%),0,Calculateur!CZ3)</f>
        <v>216.22708298332475</v>
      </c>
      <c r="E10" s="155">
        <f t="shared" ca="1" si="0"/>
        <v>216.22708298332475</v>
      </c>
      <c r="F10" s="155">
        <f t="shared" ca="1" si="1"/>
        <v>84.977243612446628</v>
      </c>
      <c r="G10" s="155">
        <f ca="1">F10*(100%-'Données projet'!$C$24)*(100%-'Données projet'!$C$25)*(100%-'Données projet'!$C$26)*(100%-'Données projet'!$C$27)</f>
        <v>76.479519251201964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0.78600000000000003</v>
      </c>
      <c r="K10" s="159">
        <f>J10*(100%-'Données projet'!$C$24)*(100%-'Données projet'!$C$25)*(100%-'Données projet'!$C$26)*(100%-'Données projet'!$C$27)</f>
        <v>0.70740000000000003</v>
      </c>
      <c r="L10" s="160">
        <f t="shared" ca="1" si="2"/>
        <v>77.186919251201971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1" t="str">
        <f>IF('Données projet'!$B$14="","",'Données projet'!$B$14)</f>
        <v/>
      </c>
      <c r="B11" s="162">
        <f>'Données projet'!D14</f>
        <v>0</v>
      </c>
      <c r="C11" s="155">
        <f>IF(OR('Données projet'!B14="",'Données projet'!C14="",'Données projet'!C14=0%),0,Calculateur!DT3)</f>
        <v>0</v>
      </c>
      <c r="D11" s="155">
        <f>IF(OR('Données projet'!B14="",'Données projet'!C14="",'Données projet'!C14=0%),0,Calculateur!DU3)</f>
        <v>0</v>
      </c>
      <c r="E11" s="155">
        <f t="shared" si="0"/>
        <v>0</v>
      </c>
      <c r="F11" s="155">
        <f t="shared" si="1"/>
        <v>0</v>
      </c>
      <c r="G11" s="155">
        <f>F11*(100%-'Données projet'!$C$24)*(100%-'Données projet'!$C$25)*(100%-'Données projet'!$C$26)*(100%-'Données projet'!$C$27)</f>
        <v>0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0</v>
      </c>
      <c r="K11" s="159">
        <f>J11*(100%-'Données projet'!$C$24)*(100%-'Données projet'!$C$25)*(100%-'Données projet'!$C$26)*(100%-'Données projet'!$C$27)</f>
        <v>0</v>
      </c>
      <c r="L11" s="160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1" t="str">
        <f>IF('Données projet'!$B$15="","",'Données projet'!$B$15)</f>
        <v/>
      </c>
      <c r="B12" s="162">
        <f>'Données projet'!D15</f>
        <v>0</v>
      </c>
      <c r="C12" s="155">
        <f>IF(OR('Données projet'!B15="",'Données projet'!C15="",'Données projet'!C15=0%),0,Calculateur!EO3)</f>
        <v>0</v>
      </c>
      <c r="D12" s="155">
        <f>IF(OR('Données projet'!B15="",'Données projet'!C15="",'Données projet'!C15=0%),0,Calculateur!EP3)</f>
        <v>0</v>
      </c>
      <c r="E12" s="155">
        <f t="shared" si="0"/>
        <v>0</v>
      </c>
      <c r="F12" s="155">
        <f t="shared" si="1"/>
        <v>0</v>
      </c>
      <c r="G12" s="155">
        <f>F12*(100%-'Données projet'!$C$24)*(100%-'Données projet'!$C$25)*(100%-'Données projet'!$C$26)*(100%-'Données projet'!$C$27)</f>
        <v>0</v>
      </c>
      <c r="H12" s="163">
        <f>IF(OR('Données projet'!B15="",'Données projet'!C15="",'Données projet'!C15=0%),0,AVERAGE(Calculateur!$EY$3:$EY$33)*B12)</f>
        <v>0</v>
      </c>
      <c r="I12" s="157">
        <f>H12*(100%-'Données projet'!$C$24)*(100%-'Données projet'!$C$25)*(100%-'Données projet'!$C$26)*(100%-'Données projet'!$C$27)</f>
        <v>0</v>
      </c>
      <c r="J12" s="158">
        <f>IF(OR('Données projet'!B15="",'Données projet'!C15="",'Données projet'!C15=0%),0,SUM(Calculateur!$ER$3:$ER$33)*VLOOKUP('Données projet'!$B$15,Paramètres!$A$1:$I$89,9,0)*B12)</f>
        <v>0</v>
      </c>
      <c r="K12" s="159">
        <f>J12*(100%-'Données projet'!$C$24)*(100%-'Données projet'!$C$25)*(100%-'Données projet'!$C$26)*(100%-'Données projet'!$C$27)</f>
        <v>0</v>
      </c>
      <c r="L12" s="160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1" t="str">
        <f>IF('Données projet'!$B$16="","",'Données projet'!$B$16)</f>
        <v/>
      </c>
      <c r="B13" s="162">
        <f>'Données projet'!D16</f>
        <v>0</v>
      </c>
      <c r="C13" s="155">
        <f>IF(OR('Données projet'!B16="",'Données projet'!C16="",'Données projet'!C16=0%),0,Calculateur!FJ3)</f>
        <v>0</v>
      </c>
      <c r="D13" s="155">
        <f>IF(OR('Données projet'!B16="",'Données projet'!C16="",'Données projet'!C16=0%),0,Calculateur!FK3)</f>
        <v>0</v>
      </c>
      <c r="E13" s="155">
        <f t="shared" si="0"/>
        <v>0</v>
      </c>
      <c r="F13" s="155">
        <f t="shared" si="1"/>
        <v>0</v>
      </c>
      <c r="G13" s="155">
        <f>F13*(100%-'Données projet'!$C$24)*(100%-'Données projet'!$C$25)*(100%-'Données projet'!$C$26)*(100%-'Données projet'!$C$27)</f>
        <v>0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</v>
      </c>
      <c r="K13" s="159">
        <f>J13*(100%-'Données projet'!$C$24)*(100%-'Données projet'!$C$25)*(100%-'Données projet'!$C$26)*(100%-'Données projet'!$C$27)</f>
        <v>0</v>
      </c>
      <c r="L13" s="160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1" t="str">
        <f>IF('Données projet'!$B$17="","",'Données projet'!$B$17)</f>
        <v/>
      </c>
      <c r="B14" s="162">
        <f>'Données projet'!D17</f>
        <v>0</v>
      </c>
      <c r="C14" s="155">
        <f>IF(OR('Données projet'!B17="",'Données projet'!C17="",'Données projet'!C17=0%),0,Calculateur!GE3)</f>
        <v>0</v>
      </c>
      <c r="D14" s="155">
        <f>IF(OR('Données projet'!B17="",'Données projet'!C17="",'Données projet'!C17=0%),0,Calculateur!GF3)</f>
        <v>0</v>
      </c>
      <c r="E14" s="155">
        <f t="shared" si="0"/>
        <v>0</v>
      </c>
      <c r="F14" s="155">
        <f t="shared" si="1"/>
        <v>0</v>
      </c>
      <c r="G14" s="155">
        <f>F14*(100%-'Données projet'!$C$24)*(100%-'Données projet'!$C$25)*(100%-'Données projet'!$C$26)*(100%-'Données projet'!$C$27)</f>
        <v>0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0</v>
      </c>
      <c r="K14" s="159">
        <f>J14*(100%-'Données projet'!$C$24)*(100%-'Données projet'!$C$25)*(100%-'Données projet'!$C$26)*(100%-'Données projet'!$C$27)</f>
        <v>0</v>
      </c>
      <c r="L14" s="160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4" t="str">
        <f>IF('Données projet'!B18="","",'Données projet'!B18)</f>
        <v/>
      </c>
      <c r="B15" s="165">
        <f>'Données projet'!D18</f>
        <v>0</v>
      </c>
      <c r="C15" s="166">
        <f>IF(OR('Données projet'!B18="",'Données projet'!C18="",'Données projet'!C18=0%),0,Calculateur!GZ3)</f>
        <v>0</v>
      </c>
      <c r="D15" s="166">
        <f>IF(OR('Données projet'!B18="",'Données projet'!C18="",'Données projet'!C18=0%),0,Calculateur!HA3)</f>
        <v>0</v>
      </c>
      <c r="E15" s="166">
        <f t="shared" si="0"/>
        <v>0</v>
      </c>
      <c r="F15" s="167">
        <f t="shared" si="1"/>
        <v>0</v>
      </c>
      <c r="G15" s="167">
        <f>F15*(100%-'Données projet'!$C$24)*(100%-'Données projet'!$C$25)*(100%-'Données projet'!$C$26)*(100%-'Données projet'!$C$27)</f>
        <v>0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</v>
      </c>
      <c r="K15" s="171">
        <f>J15*(100%-'Données projet'!$C$24)*(100%-'Données projet'!$C$25)*(100%-'Données projet'!$C$26)*(100%-'Données projet'!$C$27)</f>
        <v>0</v>
      </c>
      <c r="L15" s="172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3">
        <f t="shared" ref="F16:L16" ca="1" si="3">SUM(F6:F15)</f>
        <v>680.15130387923728</v>
      </c>
      <c r="G16" s="174">
        <f t="shared" ca="1" si="3"/>
        <v>612.13617349131357</v>
      </c>
      <c r="H16" s="175">
        <f t="shared" si="3"/>
        <v>2.7893302340912505</v>
      </c>
      <c r="I16" s="175">
        <f t="shared" si="3"/>
        <v>2.5103972106821253</v>
      </c>
      <c r="J16" s="176">
        <f t="shared" si="3"/>
        <v>76.099949999999993</v>
      </c>
      <c r="K16" s="176">
        <f t="shared" si="3"/>
        <v>68.489955000000009</v>
      </c>
      <c r="L16" s="177">
        <f t="shared" ca="1" si="3"/>
        <v>683.13652570199565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8" t="str">
        <f>A6</f>
        <v>Pin laricio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8" t="str">
        <f>A7</f>
        <v>Chêne chevelu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8" t="str">
        <f>A8</f>
        <v>Bouleau verruqueux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8" t="str">
        <f>A9</f>
        <v>Merisier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8" t="str">
        <f>A10</f>
        <v>Chêne pubescent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8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8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8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8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8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3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3">
      <c r="A4" s="98"/>
      <c r="B4" s="98"/>
      <c r="C4" s="98"/>
      <c r="D4" s="98"/>
      <c r="E4" s="98"/>
      <c r="G4" s="179"/>
      <c r="H4" s="327" t="s">
        <v>315</v>
      </c>
      <c r="I4" s="327"/>
      <c r="K4" s="324" t="s">
        <v>253</v>
      </c>
      <c r="L4" s="325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3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" thickBot="1" x14ac:dyDescent="0.35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5" t="s">
        <v>310</v>
      </c>
      <c r="S7" s="336"/>
      <c r="T7" s="336"/>
      <c r="U7" s="336"/>
      <c r="V7" s="337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Pin laricio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576.58338664007056</v>
      </c>
      <c r="U10" s="189">
        <f>'Données projet'!D9</f>
        <v>1.419</v>
      </c>
      <c r="V10" s="188">
        <f>U10*T10</f>
        <v>818.17182564226016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Chêne chevelu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-1720.094482094938</v>
      </c>
      <c r="U11" s="189">
        <f>'Données projet'!D10</f>
        <v>0.55200000000000005</v>
      </c>
      <c r="V11" s="188">
        <f t="shared" ref="V11" si="0">U11*T11</f>
        <v>-949.49215411640591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Bouleau verruqueux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-1447.0422059146554</v>
      </c>
      <c r="U12" s="189">
        <f>'Données projet'!D11</f>
        <v>6.9000000000000006E-2</v>
      </c>
      <c r="V12" s="188">
        <f t="shared" ref="V12:V19" si="1">U12*T12</f>
        <v>-99.84591220811123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Merisier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-1138.6877755418952</v>
      </c>
      <c r="U13" s="189">
        <f>'Données projet'!D12</f>
        <v>0.20100000000000001</v>
      </c>
      <c r="V13" s="188">
        <f t="shared" si="1"/>
        <v>-228.87624288392095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5" t="str">
        <f>IF('Données projet'!$B$9="","",'Données projet'!$B$9)</f>
        <v>Pin laricio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>Chêne pubescent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-1392.766593401358</v>
      </c>
      <c r="U14" s="189">
        <f>'Données projet'!D13</f>
        <v>0.39300000000000002</v>
      </c>
      <c r="V14" s="188">
        <f t="shared" si="1"/>
        <v>-547.35727120673369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28" t="s">
        <v>318</v>
      </c>
      <c r="H15" s="202"/>
      <c r="I15" s="203"/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9">
        <f>'Données projet'!D14</f>
        <v>0</v>
      </c>
      <c r="V15" s="188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8"/>
      <c r="H16" s="202"/>
      <c r="I16" s="203"/>
      <c r="J16" s="215"/>
      <c r="K16" s="224"/>
      <c r="L16" s="324" t="s">
        <v>254</v>
      </c>
      <c r="M16" s="325"/>
      <c r="N16" s="2">
        <v>50</v>
      </c>
      <c r="O16" s="25"/>
      <c r="P16" s="25"/>
      <c r="Q16" s="264"/>
      <c r="R16" s="25"/>
      <c r="S16" s="184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9">
        <f>'Données projet'!D15</f>
        <v>0</v>
      </c>
      <c r="V16" s="188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5">
        <v>2000</v>
      </c>
      <c r="F17" s="260"/>
      <c r="G17" s="328"/>
      <c r="J17" s="215"/>
      <c r="K17" s="224"/>
      <c r="L17" s="295" t="s">
        <v>289</v>
      </c>
      <c r="M17" s="297"/>
      <c r="N17" s="186">
        <f>VLOOKUP(N16,Calculateur!$A$2:$H$153,3,0)/VLOOKUP('Scénario référence'!$G$15,Paramètres!A1:I89,3,0)/VLOOKUP('Scénario référence'!$G$15,Paramètres!A1:I89,5,0)</f>
        <v>49.999999999999964</v>
      </c>
      <c r="O17" s="25"/>
      <c r="P17" s="25"/>
      <c r="Q17" s="264"/>
      <c r="R17" s="25"/>
      <c r="S17" s="184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</v>
      </c>
      <c r="V17" s="188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28"/>
      <c r="J18" s="215"/>
      <c r="K18" s="224"/>
      <c r="L18" s="295" t="s">
        <v>255</v>
      </c>
      <c r="M18" s="297"/>
      <c r="N18" s="204">
        <v>10</v>
      </c>
      <c r="O18" s="25"/>
      <c r="P18" s="25"/>
      <c r="Q18" s="264"/>
      <c r="R18" s="25"/>
      <c r="S18" s="184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</v>
      </c>
      <c r="V18" s="188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28"/>
      <c r="H19" s="231" t="s">
        <v>178</v>
      </c>
      <c r="I19" s="231" t="s">
        <v>287</v>
      </c>
      <c r="J19" s="259"/>
      <c r="K19" s="182"/>
      <c r="L19" s="324" t="s">
        <v>288</v>
      </c>
      <c r="M19" s="325"/>
      <c r="N19" s="190">
        <f>N17*N18</f>
        <v>499.99999999999966</v>
      </c>
      <c r="O19" s="25"/>
      <c r="P19" s="5"/>
      <c r="Q19" s="265"/>
      <c r="R19" s="5"/>
      <c r="S19" s="184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28"/>
      <c r="H20" s="202">
        <v>1</v>
      </c>
      <c r="I20" s="203">
        <v>3500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>
        <v>2</v>
      </c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>
        <v>3</v>
      </c>
      <c r="I22" s="203">
        <v>600</v>
      </c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1">
        <f>'Données projet'!A36</f>
        <v>17</v>
      </c>
      <c r="B23" s="192">
        <f>'Données projet'!D36</f>
        <v>0</v>
      </c>
      <c r="C23" s="205"/>
      <c r="D23" s="193">
        <f>B23*C23</f>
        <v>0</v>
      </c>
      <c r="E23" s="205"/>
      <c r="F23" s="260"/>
      <c r="H23" s="202">
        <v>4</v>
      </c>
      <c r="I23" s="203">
        <v>500</v>
      </c>
      <c r="K23" s="224"/>
      <c r="L23" s="326" t="s">
        <v>260</v>
      </c>
      <c r="M23" s="326"/>
      <c r="N23" s="326"/>
      <c r="O23" s="25"/>
      <c r="P23" s="25"/>
      <c r="Q23" s="264"/>
      <c r="R23" s="25"/>
      <c r="S23" s="184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-13890.422547413726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1">
        <f>'Données projet'!A37</f>
        <v>20</v>
      </c>
      <c r="B24" s="192">
        <f>'Données projet'!D37</f>
        <v>30</v>
      </c>
      <c r="C24" s="205">
        <v>10</v>
      </c>
      <c r="D24" s="193">
        <f t="shared" ref="D24:D42" si="2">B24*C24</f>
        <v>300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166.06447494847811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1">
        <f>'Données projet'!A38</f>
        <v>25</v>
      </c>
      <c r="B25" s="192">
        <f>'Données projet'!D38</f>
        <v>0</v>
      </c>
      <c r="C25" s="205"/>
      <c r="D25" s="193">
        <f t="shared" si="2"/>
        <v>0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/>
      <c r="Q25" s="264"/>
      <c r="R25" s="25"/>
      <c r="S25" s="197" t="s">
        <v>266</v>
      </c>
      <c r="T25" s="342">
        <f ca="1">T23-T24</f>
        <v>-14056.487022362204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1">
        <f>'Données projet'!A39</f>
        <v>30</v>
      </c>
      <c r="B26" s="192">
        <f>'Données projet'!D39</f>
        <v>90</v>
      </c>
      <c r="C26" s="205">
        <v>20</v>
      </c>
      <c r="D26" s="193">
        <f t="shared" si="2"/>
        <v>1800</v>
      </c>
      <c r="E26" s="205"/>
      <c r="F26" s="263"/>
      <c r="G26" s="258"/>
      <c r="H26" s="202"/>
      <c r="I26" s="203"/>
      <c r="K26" s="224"/>
      <c r="L26" s="329" t="s">
        <v>258</v>
      </c>
      <c r="M26" s="330"/>
      <c r="N26" s="330"/>
      <c r="O26" s="330"/>
      <c r="P26" s="331"/>
      <c r="Q26" s="264"/>
      <c r="R26" s="25"/>
      <c r="S26" s="197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1">
        <f>'Données projet'!A40</f>
        <v>35</v>
      </c>
      <c r="B27" s="192">
        <f>'Données projet'!D40</f>
        <v>0</v>
      </c>
      <c r="C27" s="205"/>
      <c r="D27" s="193">
        <f t="shared" si="2"/>
        <v>0</v>
      </c>
      <c r="E27" s="205"/>
      <c r="F27" s="263"/>
      <c r="G27" s="258"/>
      <c r="H27" s="202"/>
      <c r="I27" s="203"/>
      <c r="K27" s="224"/>
      <c r="L27" s="332"/>
      <c r="M27" s="333"/>
      <c r="N27" s="333"/>
      <c r="O27" s="333"/>
      <c r="P27" s="334"/>
      <c r="Q27" s="264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1">
        <f>'Données projet'!A41</f>
        <v>40</v>
      </c>
      <c r="B28" s="192">
        <f>'Données projet'!D41</f>
        <v>100</v>
      </c>
      <c r="C28" s="205">
        <v>20</v>
      </c>
      <c r="D28" s="193">
        <f t="shared" si="2"/>
        <v>2000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1">
        <f>'Données projet'!A42</f>
        <v>45</v>
      </c>
      <c r="B29" s="192">
        <f>'Données projet'!D42</f>
        <v>0</v>
      </c>
      <c r="C29" s="205"/>
      <c r="D29" s="193">
        <f t="shared" si="2"/>
        <v>0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1">
        <f>'Données projet'!A43</f>
        <v>50</v>
      </c>
      <c r="B30" s="192">
        <f>'Données projet'!D43</f>
        <v>104</v>
      </c>
      <c r="C30" s="205">
        <v>30</v>
      </c>
      <c r="D30" s="193">
        <f t="shared" si="2"/>
        <v>3120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1">
        <f>'Données projet'!A44</f>
        <v>55</v>
      </c>
      <c r="B31" s="192">
        <f>'Données projet'!D44</f>
        <v>0</v>
      </c>
      <c r="C31" s="205"/>
      <c r="D31" s="193">
        <f t="shared" si="2"/>
        <v>0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1">
        <f>'Données projet'!A45</f>
        <v>60</v>
      </c>
      <c r="B32" s="192">
        <f>'Données projet'!D45</f>
        <v>80</v>
      </c>
      <c r="C32" s="205">
        <v>30</v>
      </c>
      <c r="D32" s="193">
        <f t="shared" si="2"/>
        <v>2400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1">
        <f>'Données projet'!A46</f>
        <v>65</v>
      </c>
      <c r="B33" s="192">
        <f>'Données projet'!D46</f>
        <v>555</v>
      </c>
      <c r="C33" s="205">
        <v>35</v>
      </c>
      <c r="D33" s="193">
        <f t="shared" si="2"/>
        <v>19425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1">
        <f>'Données projet'!A47</f>
        <v>0</v>
      </c>
      <c r="B34" s="192">
        <f>'Données projet'!D47</f>
        <v>0</v>
      </c>
      <c r="C34" s="205"/>
      <c r="D34" s="193">
        <f t="shared" si="2"/>
        <v>0</v>
      </c>
      <c r="E34" s="205"/>
      <c r="F34" s="263"/>
      <c r="G34" s="217"/>
      <c r="H34" s="202"/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1">
        <f>'Données projet'!A48</f>
        <v>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/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1">
        <f>'Données projet'!A49</f>
        <v>0</v>
      </c>
      <c r="B36" s="192">
        <f>'Données projet'!D49</f>
        <v>0</v>
      </c>
      <c r="C36" s="205"/>
      <c r="D36" s="193">
        <f t="shared" si="2"/>
        <v>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1">
        <f>'Données projet'!A50</f>
        <v>0</v>
      </c>
      <c r="B37" s="192">
        <f>'Données projet'!D50</f>
        <v>0</v>
      </c>
      <c r="C37" s="205"/>
      <c r="D37" s="193">
        <f t="shared" si="2"/>
        <v>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1">
        <f>'Données projet'!A51</f>
        <v>0</v>
      </c>
      <c r="B38" s="192">
        <f>'Données projet'!D51</f>
        <v>0</v>
      </c>
      <c r="C38" s="205"/>
      <c r="D38" s="193">
        <f t="shared" si="2"/>
        <v>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1">
        <f>'Données projet'!A52</f>
        <v>0</v>
      </c>
      <c r="B39" s="192">
        <f>'Données projet'!D52</f>
        <v>0</v>
      </c>
      <c r="C39" s="205"/>
      <c r="D39" s="193">
        <f t="shared" si="2"/>
        <v>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1">
        <f>'Données projet'!A53</f>
        <v>0</v>
      </c>
      <c r="B40" s="192">
        <f>'Données projet'!D53</f>
        <v>0</v>
      </c>
      <c r="C40" s="205"/>
      <c r="D40" s="193">
        <f t="shared" si="2"/>
        <v>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1">
        <f>'Données projet'!A54</f>
        <v>0</v>
      </c>
      <c r="B41" s="192">
        <f>'Données projet'!D54</f>
        <v>0</v>
      </c>
      <c r="C41" s="205"/>
      <c r="D41" s="193">
        <f t="shared" si="2"/>
        <v>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1">
        <f>'Données projet'!A55</f>
        <v>0</v>
      </c>
      <c r="B42" s="192">
        <f>'Données projet'!D55</f>
        <v>0</v>
      </c>
      <c r="C42" s="205"/>
      <c r="D42" s="193">
        <f t="shared" si="2"/>
        <v>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5" t="str">
        <f>IF('Données projet'!$B$10="","",'Données projet'!$B$10)</f>
        <v>Chêne chevelu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5">
        <v>2000</v>
      </c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1">
        <f>'Données projet'!A62</f>
        <v>25</v>
      </c>
      <c r="B54" s="192">
        <f>'Données projet'!D62</f>
        <v>0</v>
      </c>
      <c r="C54" s="203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1">
        <f>'Données projet'!A63</f>
        <v>30</v>
      </c>
      <c r="B55" s="192">
        <f>'Données projet'!D63</f>
        <v>0</v>
      </c>
      <c r="C55" s="203"/>
      <c r="D55" s="190">
        <f t="shared" ref="D55:D73" si="4">B55*C55</f>
        <v>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1">
        <f>'Données projet'!A64</f>
        <v>35</v>
      </c>
      <c r="B56" s="192">
        <f>'Données projet'!D64</f>
        <v>13</v>
      </c>
      <c r="C56" s="203">
        <v>10</v>
      </c>
      <c r="D56" s="190">
        <f t="shared" si="4"/>
        <v>130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1">
        <f>'Données projet'!A65</f>
        <v>40</v>
      </c>
      <c r="B57" s="192">
        <f>'Données projet'!D65</f>
        <v>0</v>
      </c>
      <c r="C57" s="203"/>
      <c r="D57" s="190">
        <f t="shared" si="4"/>
        <v>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1">
        <f>'Données projet'!A66</f>
        <v>45</v>
      </c>
      <c r="B58" s="192">
        <f>'Données projet'!D66</f>
        <v>28</v>
      </c>
      <c r="C58" s="203">
        <v>10</v>
      </c>
      <c r="D58" s="190">
        <f t="shared" si="4"/>
        <v>280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1">
        <f>'Données projet'!A67</f>
        <v>50</v>
      </c>
      <c r="B59" s="192">
        <f>'Données projet'!D67</f>
        <v>0</v>
      </c>
      <c r="C59" s="203"/>
      <c r="D59" s="190">
        <f t="shared" si="4"/>
        <v>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1">
        <f>'Données projet'!A68</f>
        <v>55</v>
      </c>
      <c r="B60" s="192">
        <f>'Données projet'!D68</f>
        <v>28</v>
      </c>
      <c r="C60" s="203">
        <v>20</v>
      </c>
      <c r="D60" s="190">
        <f t="shared" si="4"/>
        <v>560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1">
        <f>'Données projet'!A69</f>
        <v>60</v>
      </c>
      <c r="B61" s="192">
        <f>'Données projet'!D69</f>
        <v>0</v>
      </c>
      <c r="C61" s="203"/>
      <c r="D61" s="190">
        <f t="shared" si="4"/>
        <v>0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1">
        <f>'Données projet'!A70</f>
        <v>65</v>
      </c>
      <c r="B62" s="192">
        <f>'Données projet'!D70</f>
        <v>28</v>
      </c>
      <c r="C62" s="203">
        <v>20</v>
      </c>
      <c r="D62" s="190">
        <f t="shared" si="4"/>
        <v>560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1">
        <f>'Données projet'!A71</f>
        <v>70</v>
      </c>
      <c r="B63" s="192">
        <f>'Données projet'!D71</f>
        <v>0</v>
      </c>
      <c r="C63" s="203"/>
      <c r="D63" s="190">
        <f t="shared" si="4"/>
        <v>0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1">
        <f>'Données projet'!A72</f>
        <v>75</v>
      </c>
      <c r="B64" s="192">
        <f>'Données projet'!D72</f>
        <v>28</v>
      </c>
      <c r="C64" s="203">
        <v>30</v>
      </c>
      <c r="D64" s="190">
        <f t="shared" si="4"/>
        <v>840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1">
        <f>'Données projet'!A73</f>
        <v>80</v>
      </c>
      <c r="B65" s="192">
        <f>'Données projet'!D73</f>
        <v>0</v>
      </c>
      <c r="C65" s="203"/>
      <c r="D65" s="190">
        <f t="shared" si="4"/>
        <v>0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1">
        <f>'Données projet'!A74</f>
        <v>85</v>
      </c>
      <c r="B66" s="192">
        <f>'Données projet'!D74</f>
        <v>28</v>
      </c>
      <c r="C66" s="203">
        <v>30</v>
      </c>
      <c r="D66" s="190">
        <f t="shared" si="4"/>
        <v>840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1">
        <f>'Données projet'!A75</f>
        <v>95</v>
      </c>
      <c r="B67" s="192">
        <f>'Données projet'!D75</f>
        <v>28</v>
      </c>
      <c r="C67" s="203"/>
      <c r="D67" s="190">
        <f t="shared" si="4"/>
        <v>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1">
        <f>'Données projet'!A76</f>
        <v>105</v>
      </c>
      <c r="B68" s="192">
        <f>'Données projet'!D76</f>
        <v>28</v>
      </c>
      <c r="C68" s="203">
        <v>50</v>
      </c>
      <c r="D68" s="190">
        <f t="shared" si="4"/>
        <v>1400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1">
        <f>'Données projet'!A77</f>
        <v>115</v>
      </c>
      <c r="B69" s="192">
        <f>'Données projet'!D77</f>
        <v>26</v>
      </c>
      <c r="C69" s="203">
        <v>50</v>
      </c>
      <c r="D69" s="190">
        <f t="shared" si="4"/>
        <v>1300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1">
        <f>'Données projet'!A78</f>
        <v>125</v>
      </c>
      <c r="B70" s="192">
        <f>'Données projet'!D78</f>
        <v>23</v>
      </c>
      <c r="C70" s="203">
        <v>70</v>
      </c>
      <c r="D70" s="190">
        <f t="shared" si="4"/>
        <v>1610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1">
        <f>'Données projet'!A79</f>
        <v>135</v>
      </c>
      <c r="B71" s="192">
        <f>'Données projet'!D79</f>
        <v>19</v>
      </c>
      <c r="C71" s="203">
        <v>100</v>
      </c>
      <c r="D71" s="190">
        <f t="shared" si="4"/>
        <v>1900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1">
        <f>'Données projet'!A80</f>
        <v>145</v>
      </c>
      <c r="B72" s="192">
        <f>'Données projet'!D80</f>
        <v>15</v>
      </c>
      <c r="C72" s="203">
        <v>120</v>
      </c>
      <c r="D72" s="190">
        <f t="shared" si="4"/>
        <v>1800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1">
        <f>'Données projet'!A81</f>
        <v>150</v>
      </c>
      <c r="B73" s="192">
        <f>'Données projet'!D81</f>
        <v>217</v>
      </c>
      <c r="C73" s="203">
        <v>150</v>
      </c>
      <c r="D73" s="190">
        <f t="shared" si="4"/>
        <v>32550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5" t="str">
        <f>IF('Données projet'!B11="","",'Données projet'!B11)</f>
        <v>Bouleau verruqueux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5">
        <v>2000</v>
      </c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1">
        <f>'Données projet'!A88</f>
        <v>15</v>
      </c>
      <c r="B85" s="192">
        <f>'Données projet'!D88</f>
        <v>0</v>
      </c>
      <c r="C85" s="203"/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1">
        <f>'Données projet'!A89</f>
        <v>20</v>
      </c>
      <c r="B86" s="192">
        <f>'Données projet'!D89</f>
        <v>19.600000000000001</v>
      </c>
      <c r="C86" s="291">
        <v>10</v>
      </c>
      <c r="D86" s="190">
        <f t="shared" ref="D86:D104" si="6">B86*C86</f>
        <v>196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1">
        <f>'Données projet'!A90</f>
        <v>25</v>
      </c>
      <c r="B87" s="192">
        <f>'Données projet'!D90</f>
        <v>0</v>
      </c>
      <c r="C87" s="291"/>
      <c r="D87" s="190">
        <f t="shared" si="6"/>
        <v>0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1">
        <f>'Données projet'!A91</f>
        <v>30</v>
      </c>
      <c r="B88" s="192">
        <f>'Données projet'!D91</f>
        <v>20.200000000000003</v>
      </c>
      <c r="C88" s="291">
        <v>10</v>
      </c>
      <c r="D88" s="190">
        <f t="shared" si="6"/>
        <v>202.00000000000003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1">
        <f>'Données projet'!A92</f>
        <v>35</v>
      </c>
      <c r="B89" s="192">
        <f>'Données projet'!D92</f>
        <v>0</v>
      </c>
      <c r="C89" s="291"/>
      <c r="D89" s="190">
        <f t="shared" si="6"/>
        <v>0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>
        <f>IF(O88+1&lt;=MIN('Données projet'!$E$9:$E$18),O88+1,"STOP")</f>
        <v>56</v>
      </c>
      <c r="P89" s="196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1">
        <f>'Données projet'!A93</f>
        <v>40</v>
      </c>
      <c r="B90" s="192">
        <f>'Données projet'!D93</f>
        <v>16.5</v>
      </c>
      <c r="C90" s="291">
        <v>10</v>
      </c>
      <c r="D90" s="190">
        <f t="shared" si="6"/>
        <v>165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>
        <f>IF(O89+1&lt;=MIN('Données projet'!$E$9:$E$18),O89+1,"STOP")</f>
        <v>57</v>
      </c>
      <c r="P90" s="196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1">
        <f>'Données projet'!A94</f>
        <v>45</v>
      </c>
      <c r="B91" s="192">
        <f>'Données projet'!D94</f>
        <v>0</v>
      </c>
      <c r="C91" s="291"/>
      <c r="D91" s="190">
        <f t="shared" si="6"/>
        <v>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>
        <f>IF(O90+1&lt;=MIN('Données projet'!$E$9:$E$18),O90+1,"STOP")</f>
        <v>58</v>
      </c>
      <c r="P91" s="196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1">
        <f>'Données projet'!A95</f>
        <v>50</v>
      </c>
      <c r="B92" s="192">
        <f>'Données projet'!D95</f>
        <v>12.1</v>
      </c>
      <c r="C92" s="291">
        <v>20</v>
      </c>
      <c r="D92" s="190">
        <f t="shared" si="6"/>
        <v>242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>
        <f>IF(O91+1&lt;=MIN('Données projet'!$E$9:$E$18),O91+1,"STOP")</f>
        <v>59</v>
      </c>
      <c r="P92" s="196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1">
        <f>'Données projet'!A96</f>
        <v>55</v>
      </c>
      <c r="B93" s="192">
        <f>'Données projet'!D96</f>
        <v>0</v>
      </c>
      <c r="C93" s="291"/>
      <c r="D93" s="190">
        <f t="shared" si="6"/>
        <v>0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>
        <f>IF(O92+1&lt;=MIN('Données projet'!$E$9:$E$18),O92+1,"STOP")</f>
        <v>60</v>
      </c>
      <c r="P93" s="196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1">
        <f>'Données projet'!A97</f>
        <v>60</v>
      </c>
      <c r="B94" s="192">
        <f>'Données projet'!D97</f>
        <v>8.3000000000000007</v>
      </c>
      <c r="C94" s="291">
        <v>20</v>
      </c>
      <c r="D94" s="190">
        <f t="shared" si="6"/>
        <v>166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>
        <f>IF(O93+1&lt;=MIN('Données projet'!$E$9:$E$18),O93+1,"STOP")</f>
        <v>61</v>
      </c>
      <c r="P94" s="196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1">
        <f>'Données projet'!A98</f>
        <v>65</v>
      </c>
      <c r="B95" s="192">
        <f>'Données projet'!D98</f>
        <v>0</v>
      </c>
      <c r="C95" s="291"/>
      <c r="D95" s="190">
        <f t="shared" si="6"/>
        <v>0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>
        <f>IF(O94+1&lt;=MIN('Données projet'!$E$9:$E$18),O94+1,"STOP")</f>
        <v>62</v>
      </c>
      <c r="P95" s="196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1">
        <f>'Données projet'!A99</f>
        <v>70</v>
      </c>
      <c r="B96" s="192">
        <f>'Données projet'!D99</f>
        <v>254.7</v>
      </c>
      <c r="C96" s="291">
        <v>30</v>
      </c>
      <c r="D96" s="190">
        <f t="shared" si="6"/>
        <v>7641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>
        <f>IF(O95+1&lt;=MIN('Données projet'!$E$9:$E$18),O95+1,"STOP")</f>
        <v>63</v>
      </c>
      <c r="P96" s="196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1">
        <f>'Données projet'!A100</f>
        <v>0</v>
      </c>
      <c r="B97" s="192">
        <f>'Données projet'!D100</f>
        <v>0</v>
      </c>
      <c r="C97" s="203"/>
      <c r="D97" s="190">
        <f t="shared" si="6"/>
        <v>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>
        <f>IF(O96+1&lt;=MIN('Données projet'!$E$9:$E$18),O96+1,"STOP")</f>
        <v>64</v>
      </c>
      <c r="P97" s="196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1">
        <f>'Données projet'!A101</f>
        <v>0</v>
      </c>
      <c r="B98" s="192">
        <f>'Données projet'!D101</f>
        <v>0</v>
      </c>
      <c r="C98" s="203"/>
      <c r="D98" s="190">
        <f t="shared" si="6"/>
        <v>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>
        <f>IF(O97+1&lt;=MIN('Données projet'!$E$9:$E$18),O97+1,"STOP")</f>
        <v>65</v>
      </c>
      <c r="P98" s="196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1">
        <f>'Données projet'!A102</f>
        <v>0</v>
      </c>
      <c r="B99" s="192">
        <f>'Données projet'!D102</f>
        <v>0</v>
      </c>
      <c r="C99" s="203"/>
      <c r="D99" s="190">
        <f t="shared" si="6"/>
        <v>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 t="str">
        <f>IF(O98+1&lt;=MIN('Données projet'!$E$9:$E$18),O98+1,"STOP")</f>
        <v>STOP</v>
      </c>
      <c r="P99" s="196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1">
        <f>'Données projet'!A103</f>
        <v>0</v>
      </c>
      <c r="B100" s="192">
        <f>'Données projet'!D103</f>
        <v>0</v>
      </c>
      <c r="C100" s="203"/>
      <c r="D100" s="190">
        <f t="shared" si="6"/>
        <v>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 t="e">
        <f>IF(O99+1&lt;=MIN('Données projet'!$E$9:$E$18),O99+1,"STOP")</f>
        <v>#VALUE!</v>
      </c>
      <c r="P100" s="196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1">
        <f>'Données projet'!A104</f>
        <v>0</v>
      </c>
      <c r="B101" s="192">
        <f>'Données projet'!D104</f>
        <v>0</v>
      </c>
      <c r="C101" s="203"/>
      <c r="D101" s="190">
        <f t="shared" si="6"/>
        <v>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 t="e">
        <f>IF(O100+1&lt;=MIN('Données projet'!$E$9:$E$18),O100+1,"STOP")</f>
        <v>#VALUE!</v>
      </c>
      <c r="P101" s="196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1">
        <f>'Données projet'!A105</f>
        <v>0</v>
      </c>
      <c r="B102" s="192">
        <f>'Données projet'!D105</f>
        <v>0</v>
      </c>
      <c r="C102" s="203"/>
      <c r="D102" s="190">
        <f t="shared" si="6"/>
        <v>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 t="e">
        <f>IF(O101+1&lt;=MIN('Données projet'!$E$9:$E$18),O101+1,"STOP")</f>
        <v>#VALUE!</v>
      </c>
      <c r="P102" s="196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1">
        <f>'Données projet'!A106</f>
        <v>0</v>
      </c>
      <c r="B103" s="192">
        <f>'Données projet'!D106</f>
        <v>0</v>
      </c>
      <c r="C103" s="203"/>
      <c r="D103" s="190">
        <f t="shared" si="6"/>
        <v>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e">
        <f>IF(O102+1&lt;=MIN('Données projet'!$E$9:$E$18),O102+1,"STOP")</f>
        <v>#VALUE!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1">
        <f>'Données projet'!A107</f>
        <v>0</v>
      </c>
      <c r="B104" s="192">
        <f>'Données projet'!D107</f>
        <v>0</v>
      </c>
      <c r="C104" s="203"/>
      <c r="D104" s="190">
        <f t="shared" si="6"/>
        <v>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5" t="str">
        <f>IF('Données projet'!B12="","",'Données projet'!B12)</f>
        <v>Merisier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5">
        <v>2000</v>
      </c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1">
        <f>'Données projet'!A114</f>
        <v>25</v>
      </c>
      <c r="B116" s="192">
        <f>'Données projet'!D114</f>
        <v>28</v>
      </c>
      <c r="C116" s="203">
        <v>10</v>
      </c>
      <c r="D116" s="190">
        <f>B116*C116</f>
        <v>280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1">
        <f>'Données projet'!A115</f>
        <v>30</v>
      </c>
      <c r="B117" s="192">
        <f>'Données projet'!D115</f>
        <v>0</v>
      </c>
      <c r="C117" s="203">
        <v>10</v>
      </c>
      <c r="D117" s="190">
        <f t="shared" ref="D117:D135" si="8">B117*C117</f>
        <v>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1">
        <f>'Données projet'!A116</f>
        <v>35</v>
      </c>
      <c r="B118" s="192">
        <f>'Données projet'!D116</f>
        <v>51</v>
      </c>
      <c r="C118" s="203">
        <v>20</v>
      </c>
      <c r="D118" s="190">
        <f t="shared" si="8"/>
        <v>1020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1">
        <f>'Données projet'!A117</f>
        <v>45</v>
      </c>
      <c r="B119" s="192">
        <f>'Données projet'!D117</f>
        <v>63</v>
      </c>
      <c r="C119" s="203">
        <v>20</v>
      </c>
      <c r="D119" s="190">
        <f t="shared" si="8"/>
        <v>1260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1">
        <f>'Données projet'!A118</f>
        <v>55</v>
      </c>
      <c r="B120" s="192">
        <f>'Données projet'!D118</f>
        <v>60</v>
      </c>
      <c r="C120" s="203">
        <v>30</v>
      </c>
      <c r="D120" s="190">
        <f t="shared" si="8"/>
        <v>1800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1">
        <f>'Données projet'!A119</f>
        <v>65</v>
      </c>
      <c r="B121" s="192">
        <f>'Données projet'!D119</f>
        <v>53</v>
      </c>
      <c r="C121" s="203">
        <v>50</v>
      </c>
      <c r="D121" s="190">
        <f t="shared" si="8"/>
        <v>2650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1">
        <f>'Données projet'!A120</f>
        <v>70</v>
      </c>
      <c r="B122" s="192">
        <f>'Données projet'!D120</f>
        <v>20</v>
      </c>
      <c r="C122" s="203">
        <v>70</v>
      </c>
      <c r="D122" s="190">
        <f t="shared" si="8"/>
        <v>1400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1">
        <f>'Données projet'!A121</f>
        <v>75</v>
      </c>
      <c r="B123" s="192">
        <f>'Données projet'!D121</f>
        <v>286</v>
      </c>
      <c r="C123" s="203"/>
      <c r="D123" s="190">
        <f t="shared" si="8"/>
        <v>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1">
        <f>'Données projet'!A122</f>
        <v>0</v>
      </c>
      <c r="B124" s="192">
        <f>'Données projet'!D122</f>
        <v>0</v>
      </c>
      <c r="C124" s="203"/>
      <c r="D124" s="190">
        <f t="shared" si="8"/>
        <v>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1">
        <f>'Données projet'!A123</f>
        <v>0</v>
      </c>
      <c r="B125" s="192">
        <f>'Données projet'!D123</f>
        <v>0</v>
      </c>
      <c r="C125" s="203"/>
      <c r="D125" s="190">
        <f t="shared" si="8"/>
        <v>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1">
        <f>'Données projet'!A124</f>
        <v>0</v>
      </c>
      <c r="B126" s="192">
        <f>'Données projet'!D124</f>
        <v>0</v>
      </c>
      <c r="C126" s="203"/>
      <c r="D126" s="190">
        <f t="shared" si="8"/>
        <v>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1">
        <f>'Données projet'!A125</f>
        <v>0</v>
      </c>
      <c r="B127" s="192">
        <f>'Données projet'!D125</f>
        <v>0</v>
      </c>
      <c r="C127" s="203"/>
      <c r="D127" s="190">
        <f t="shared" si="8"/>
        <v>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1">
        <f>'Données projet'!A126</f>
        <v>0</v>
      </c>
      <c r="B128" s="192">
        <f>'Données projet'!D126</f>
        <v>0</v>
      </c>
      <c r="C128" s="203"/>
      <c r="D128" s="190">
        <f t="shared" si="8"/>
        <v>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1">
        <f>'Données projet'!A127</f>
        <v>0</v>
      </c>
      <c r="B129" s="192">
        <f>'Données projet'!D127</f>
        <v>0</v>
      </c>
      <c r="C129" s="203"/>
      <c r="D129" s="190">
        <f t="shared" si="8"/>
        <v>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1">
        <f>'Données projet'!A133</f>
        <v>0</v>
      </c>
      <c r="B135" s="192">
        <f>'Données projet'!D133</f>
        <v>0</v>
      </c>
      <c r="C135" s="203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5" t="str">
        <f>IF('Données projet'!B13="","",'Données projet'!B13)</f>
        <v>Chêne pubescent</v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5">
        <v>2000</v>
      </c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6">
        <f>'Données projet'!D140</f>
        <v>0</v>
      </c>
      <c r="C147" s="203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6">
        <f>'Données projet'!D141</f>
        <v>8</v>
      </c>
      <c r="C148" s="292">
        <v>10</v>
      </c>
      <c r="D148" s="193">
        <f t="shared" ref="D148:D166" si="10">B148*C148</f>
        <v>80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6">
        <f>'Données projet'!D142</f>
        <v>0</v>
      </c>
      <c r="C149" s="292"/>
      <c r="D149" s="193">
        <f t="shared" si="10"/>
        <v>0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6">
        <f>'Données projet'!D143</f>
        <v>42</v>
      </c>
      <c r="C150" s="292">
        <v>10</v>
      </c>
      <c r="D150" s="193">
        <f t="shared" si="10"/>
        <v>420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6">
        <f>'Données projet'!D144</f>
        <v>0</v>
      </c>
      <c r="C151" s="292"/>
      <c r="D151" s="193">
        <f t="shared" si="10"/>
        <v>0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6">
        <f>'Données projet'!D145</f>
        <v>42</v>
      </c>
      <c r="C152" s="292">
        <v>10</v>
      </c>
      <c r="D152" s="193">
        <f t="shared" si="10"/>
        <v>420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6">
        <f>'Données projet'!D146</f>
        <v>0</v>
      </c>
      <c r="C153" s="292"/>
      <c r="D153" s="193">
        <f t="shared" si="10"/>
        <v>0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6">
        <f>'Données projet'!D147</f>
        <v>42</v>
      </c>
      <c r="C154" s="292">
        <v>20</v>
      </c>
      <c r="D154" s="193">
        <f t="shared" si="10"/>
        <v>840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6">
        <f>'Données projet'!D148</f>
        <v>0</v>
      </c>
      <c r="C155" s="292"/>
      <c r="D155" s="193">
        <f t="shared" si="10"/>
        <v>0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6">
        <f>'Données projet'!D149</f>
        <v>42</v>
      </c>
      <c r="C156" s="292">
        <v>30</v>
      </c>
      <c r="D156" s="193">
        <f t="shared" si="10"/>
        <v>1260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6">
        <f>'Données projet'!D150</f>
        <v>0</v>
      </c>
      <c r="C157" s="292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6">
        <f>'Données projet'!D151</f>
        <v>42</v>
      </c>
      <c r="C158" s="292">
        <v>40</v>
      </c>
      <c r="D158" s="193">
        <f t="shared" si="10"/>
        <v>1680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85</v>
      </c>
      <c r="B159" s="186">
        <f>'Données projet'!D152</f>
        <v>42</v>
      </c>
      <c r="C159" s="292">
        <v>50</v>
      </c>
      <c r="D159" s="193">
        <f t="shared" si="10"/>
        <v>2100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95</v>
      </c>
      <c r="B160" s="186">
        <f>'Données projet'!D153</f>
        <v>42</v>
      </c>
      <c r="C160" s="292">
        <v>50</v>
      </c>
      <c r="D160" s="193">
        <f t="shared" si="10"/>
        <v>2100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105</v>
      </c>
      <c r="B161" s="186">
        <f>'Données projet'!D154</f>
        <v>41</v>
      </c>
      <c r="C161" s="292">
        <v>50</v>
      </c>
      <c r="D161" s="193">
        <f t="shared" si="10"/>
        <v>2050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115</v>
      </c>
      <c r="B162" s="186">
        <f>'Données projet'!D155</f>
        <v>37</v>
      </c>
      <c r="C162" s="292">
        <v>70</v>
      </c>
      <c r="D162" s="193">
        <f t="shared" si="10"/>
        <v>2590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125</v>
      </c>
      <c r="B163" s="186">
        <f>'Données projet'!D156</f>
        <v>33</v>
      </c>
      <c r="C163" s="292">
        <v>100</v>
      </c>
      <c r="D163" s="193">
        <f t="shared" si="10"/>
        <v>3300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135</v>
      </c>
      <c r="B164" s="186">
        <f>'Données projet'!D157</f>
        <v>29</v>
      </c>
      <c r="C164" s="292">
        <v>120</v>
      </c>
      <c r="D164" s="193">
        <f t="shared" si="10"/>
        <v>3480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145</v>
      </c>
      <c r="B165" s="186">
        <f>'Données projet'!D158</f>
        <v>0</v>
      </c>
      <c r="C165" s="292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6">
        <f>'Données projet'!D159</f>
        <v>306</v>
      </c>
      <c r="C166" s="292">
        <v>200</v>
      </c>
      <c r="D166" s="193">
        <f t="shared" si="10"/>
        <v>61200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5" t="str">
        <f>IF('Données projet'!B14="","",'Données projet'!B14)</f>
        <v/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1">
        <f>'Données projet'!A166</f>
        <v>0</v>
      </c>
      <c r="B178" s="192">
        <f>'Données projet'!D166</f>
        <v>0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1">
        <f>'Données projet'!A167</f>
        <v>0</v>
      </c>
      <c r="B179" s="192">
        <f>'Données projet'!D167</f>
        <v>0</v>
      </c>
      <c r="C179" s="205"/>
      <c r="D179" s="190">
        <f t="shared" ref="D179:D197" si="11">B179*C179</f>
        <v>0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1">
        <f>'Données projet'!A168</f>
        <v>0</v>
      </c>
      <c r="B180" s="192">
        <f>'Données projet'!D168</f>
        <v>0</v>
      </c>
      <c r="C180" s="205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1">
        <f>'Données projet'!A169</f>
        <v>0</v>
      </c>
      <c r="B181" s="192">
        <f>'Données projet'!D169</f>
        <v>0</v>
      </c>
      <c r="C181" s="205"/>
      <c r="D181" s="190">
        <f t="shared" si="11"/>
        <v>0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1">
        <f>'Données projet'!A170</f>
        <v>0</v>
      </c>
      <c r="B182" s="192">
        <f>'Données projet'!D170</f>
        <v>0</v>
      </c>
      <c r="C182" s="205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1">
        <f>'Données projet'!A171</f>
        <v>0</v>
      </c>
      <c r="B183" s="192">
        <f>'Données projet'!D171</f>
        <v>0</v>
      </c>
      <c r="C183" s="205"/>
      <c r="D183" s="190">
        <f t="shared" si="11"/>
        <v>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1">
        <f>'Données projet'!A172</f>
        <v>0</v>
      </c>
      <c r="B184" s="192">
        <f>'Données projet'!D172</f>
        <v>0</v>
      </c>
      <c r="C184" s="205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1">
        <f>'Données projet'!A173</f>
        <v>0</v>
      </c>
      <c r="B185" s="192">
        <f>'Données projet'!D173</f>
        <v>0</v>
      </c>
      <c r="C185" s="205"/>
      <c r="D185" s="190">
        <f t="shared" si="11"/>
        <v>0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1">
        <f>'Données projet'!A174</f>
        <v>0</v>
      </c>
      <c r="B186" s="192">
        <f>'Données projet'!D174</f>
        <v>0</v>
      </c>
      <c r="C186" s="205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1">
        <f>'Données projet'!A175</f>
        <v>0</v>
      </c>
      <c r="B187" s="192">
        <f>'Données projet'!D175</f>
        <v>0</v>
      </c>
      <c r="C187" s="205"/>
      <c r="D187" s="190">
        <f t="shared" si="11"/>
        <v>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1">
        <f>'Données projet'!A176</f>
        <v>0</v>
      </c>
      <c r="B188" s="192">
        <f>'Données projet'!D176</f>
        <v>0</v>
      </c>
      <c r="C188" s="205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1">
        <f>'Données projet'!A177</f>
        <v>0</v>
      </c>
      <c r="B189" s="192">
        <f>'Données projet'!D177</f>
        <v>0</v>
      </c>
      <c r="C189" s="205"/>
      <c r="D189" s="190">
        <f t="shared" si="11"/>
        <v>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1">
        <f>'Données projet'!A178</f>
        <v>0</v>
      </c>
      <c r="B190" s="192">
        <f>'Données projet'!D178</f>
        <v>0</v>
      </c>
      <c r="C190" s="205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1">
        <f>'Données projet'!A179</f>
        <v>0</v>
      </c>
      <c r="B191" s="192">
        <f>'Données projet'!D179</f>
        <v>0</v>
      </c>
      <c r="C191" s="205"/>
      <c r="D191" s="190">
        <f t="shared" si="11"/>
        <v>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1">
        <f>'Données projet'!A180</f>
        <v>0</v>
      </c>
      <c r="B192" s="192">
        <f>'Données projet'!D180</f>
        <v>0</v>
      </c>
      <c r="C192" s="205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1">
        <f>'Données projet'!A181</f>
        <v>0</v>
      </c>
      <c r="B193" s="192">
        <f>'Données projet'!D181</f>
        <v>0</v>
      </c>
      <c r="C193" s="205"/>
      <c r="D193" s="190">
        <f t="shared" si="11"/>
        <v>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1">
        <f>'Données projet'!A182</f>
        <v>0</v>
      </c>
      <c r="B194" s="192">
        <f>'Données projet'!D182</f>
        <v>0</v>
      </c>
      <c r="C194" s="205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1">
        <f>'Données projet'!A183</f>
        <v>0</v>
      </c>
      <c r="B195" s="192">
        <f>'Données projet'!D183</f>
        <v>0</v>
      </c>
      <c r="C195" s="205"/>
      <c r="D195" s="190">
        <f t="shared" si="11"/>
        <v>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1">
        <f>'Données projet'!A184</f>
        <v>0</v>
      </c>
      <c r="B196" s="192">
        <f>'Données projet'!D184</f>
        <v>0</v>
      </c>
      <c r="C196" s="205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1">
        <f>'Données projet'!A185</f>
        <v>0</v>
      </c>
      <c r="B197" s="192">
        <f>'Données projet'!D185</f>
        <v>0</v>
      </c>
      <c r="C197" s="205"/>
      <c r="D197" s="190">
        <f t="shared" si="11"/>
        <v>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5" t="str">
        <f>IF('Données projet'!$B$15="","",'Données projet'!$B$15)</f>
        <v/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1">
        <f>'Données projet'!A192</f>
        <v>0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1">
        <f>'Données projet'!A193</f>
        <v>0</v>
      </c>
      <c r="B210" s="192">
        <f>'Données projet'!D193</f>
        <v>0</v>
      </c>
      <c r="C210" s="205"/>
      <c r="D210" s="190">
        <f t="shared" ref="D210:D228" si="12">B210*C210</f>
        <v>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1">
        <f>'Données projet'!A194</f>
        <v>0</v>
      </c>
      <c r="B211" s="192">
        <f>'Données projet'!D194</f>
        <v>0</v>
      </c>
      <c r="C211" s="205"/>
      <c r="D211" s="190">
        <f t="shared" si="12"/>
        <v>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1">
        <f>'Données projet'!A195</f>
        <v>0</v>
      </c>
      <c r="B212" s="192">
        <f>'Données projet'!D195</f>
        <v>0</v>
      </c>
      <c r="C212" s="205"/>
      <c r="D212" s="190">
        <f t="shared" si="12"/>
        <v>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1">
        <f>'Données projet'!A196</f>
        <v>0</v>
      </c>
      <c r="B213" s="192">
        <f>'Données projet'!D196</f>
        <v>0</v>
      </c>
      <c r="C213" s="205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1">
        <f>'Données projet'!A197</f>
        <v>0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1">
        <f>'Données projet'!A198</f>
        <v>0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1">
        <f>'Données projet'!A199</f>
        <v>0</v>
      </c>
      <c r="B216" s="192">
        <f>'Données projet'!D199</f>
        <v>0</v>
      </c>
      <c r="C216" s="205"/>
      <c r="D216" s="190">
        <f t="shared" si="12"/>
        <v>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1">
        <f>'Données projet'!A200</f>
        <v>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5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1">
        <f>'Données projet'!A218</f>
        <v>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1">
        <f>'Données projet'!A219</f>
        <v>0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1">
        <f>'Données projet'!A220</f>
        <v>0</v>
      </c>
      <c r="B242" s="192">
        <f>'Données projet'!D220</f>
        <v>0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1">
        <f>'Données projet'!A221</f>
        <v>0</v>
      </c>
      <c r="B243" s="192">
        <f>'Données projet'!D221</f>
        <v>0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1">
        <f>'Données projet'!A222</f>
        <v>0</v>
      </c>
      <c r="B244" s="192">
        <f>'Données projet'!D222</f>
        <v>0</v>
      </c>
      <c r="C244" s="205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1">
        <f>'Données projet'!A223</f>
        <v>0</v>
      </c>
      <c r="B245" s="192">
        <f>'Données projet'!D223</f>
        <v>0</v>
      </c>
      <c r="C245" s="205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1">
        <f>'Données projet'!A224</f>
        <v>0</v>
      </c>
      <c r="B246" s="192">
        <f>'Données projet'!D224</f>
        <v>0</v>
      </c>
      <c r="C246" s="205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1">
        <f>'Données projet'!A225</f>
        <v>0</v>
      </c>
      <c r="B247" s="192">
        <f>'Données projet'!D225</f>
        <v>0</v>
      </c>
      <c r="C247" s="205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1">
        <f>'Données projet'!A226</f>
        <v>0</v>
      </c>
      <c r="B248" s="192">
        <f>'Données projet'!D226</f>
        <v>0</v>
      </c>
      <c r="C248" s="205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1">
        <f>'Données projet'!A227</f>
        <v>0</v>
      </c>
      <c r="B249" s="192">
        <f>'Données projet'!D227</f>
        <v>0</v>
      </c>
      <c r="C249" s="205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1">
        <f>'Données projet'!A228</f>
        <v>0</v>
      </c>
      <c r="B250" s="192">
        <f>'Données projet'!D228</f>
        <v>0</v>
      </c>
      <c r="C250" s="205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1">
        <f>'Données projet'!A229</f>
        <v>0</v>
      </c>
      <c r="B251" s="192">
        <f>'Données projet'!D229</f>
        <v>0</v>
      </c>
      <c r="C251" s="205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1">
        <f>'Données projet'!A230</f>
        <v>0</v>
      </c>
      <c r="B252" s="192">
        <f>'Données projet'!D230</f>
        <v>0</v>
      </c>
      <c r="C252" s="205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1">
        <f>'Données projet'!A231</f>
        <v>0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1">
        <f>'Données projet'!A232</f>
        <v>0</v>
      </c>
      <c r="B254" s="192">
        <f>'Données projet'!D232</f>
        <v>0</v>
      </c>
      <c r="C254" s="205"/>
      <c r="D254" s="190">
        <f t="shared" si="13"/>
        <v>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5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1">
        <f>'Données projet'!A244</f>
        <v>0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1">
        <f>'Données projet'!A245</f>
        <v>0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1">
        <f>'Données projet'!A246</f>
        <v>0</v>
      </c>
      <c r="B273" s="192">
        <f>'Données projet'!D246</f>
        <v>0</v>
      </c>
      <c r="C273" s="205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1">
        <f>'Données projet'!A247</f>
        <v>0</v>
      </c>
      <c r="B274" s="192">
        <f>'Données projet'!D247</f>
        <v>0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1">
        <f>'Données projet'!A248</f>
        <v>0</v>
      </c>
      <c r="B275" s="192">
        <f>'Données projet'!D248</f>
        <v>0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1">
        <f>'Données projet'!A249</f>
        <v>0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1">
        <f>'Données projet'!A250</f>
        <v>0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1">
        <f>'Données projet'!A251</f>
        <v>0</v>
      </c>
      <c r="B278" s="192">
        <f>'Données projet'!D251</f>
        <v>0</v>
      </c>
      <c r="C278" s="205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1">
        <f>'Données projet'!A252</f>
        <v>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1">
        <f>'Données projet'!A253</f>
        <v>0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1">
        <f>'Données projet'!A254</f>
        <v>0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1">
        <f>'Données projet'!A255</f>
        <v>0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1">
        <f>'Données projet'!A256</f>
        <v>0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1">
        <f>'Données projet'!A257</f>
        <v>0</v>
      </c>
      <c r="B284" s="192">
        <f>'Données projet'!D257</f>
        <v>0</v>
      </c>
      <c r="C284" s="205"/>
      <c r="D284" s="190">
        <f t="shared" si="14"/>
        <v>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5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1">
        <f>'Données projet'!A270</f>
        <v>0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1">
        <f>'Données projet'!A271</f>
        <v>0</v>
      </c>
      <c r="B303" s="192">
        <f>'Données projet'!D271</f>
        <v>0</v>
      </c>
      <c r="C303" s="203"/>
      <c r="D303" s="193">
        <f t="shared" ref="D303:D321" si="15">B303*C303</f>
        <v>0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1">
        <f>'Données projet'!A272</f>
        <v>0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1">
        <f>'Données projet'!A273</f>
        <v>0</v>
      </c>
      <c r="B305" s="192">
        <f>'Données projet'!D273</f>
        <v>0</v>
      </c>
      <c r="C305" s="203"/>
      <c r="D305" s="193">
        <f t="shared" si="15"/>
        <v>0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1">
        <f>'Données projet'!A274</f>
        <v>0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1">
        <f>'Données projet'!A275</f>
        <v>0</v>
      </c>
      <c r="B307" s="192">
        <f>'Données projet'!D275</f>
        <v>0</v>
      </c>
      <c r="C307" s="203"/>
      <c r="D307" s="193">
        <f t="shared" si="15"/>
        <v>0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1">
        <f>'Données projet'!A276</f>
        <v>0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RUPIL</cp:lastModifiedBy>
  <dcterms:created xsi:type="dcterms:W3CDTF">2021-02-01T08:22:39Z</dcterms:created>
  <dcterms:modified xsi:type="dcterms:W3CDTF">2022-03-28T08:01:48Z</dcterms:modified>
</cp:coreProperties>
</file>