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88-001 CHAMP DE ROCHES/g. Carbone - LBC/2. Documents DPP Champs de r.- dossier Ministère/1. V5 - A MAJ/"/>
    </mc:Choice>
  </mc:AlternateContent>
  <xr:revisionPtr revIDLastSave="160" documentId="11_2C416CDA4AAE8D43D4C29AD96C20F8759277F301" xr6:coauthVersionLast="47" xr6:coauthVersionMax="47" xr10:uidLastSave="{0C7FAAFA-A4CC-0F43-A09C-B6ECB2C9BA49}"/>
  <bookViews>
    <workbookView minimized="1" xWindow="3320" yWindow="500" windowWidth="25900" windowHeight="158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Surface_projet">VAN!$C$4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3" i="1" l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F63" i="1"/>
  <c r="G62" i="1"/>
  <c r="F62" i="1"/>
  <c r="G46" i="1"/>
  <c r="F46" i="1"/>
  <c r="D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F37" i="1"/>
  <c r="G36" i="1"/>
  <c r="F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BR4" i="2"/>
  <c r="EC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HI7" i="2"/>
  <c r="EA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HH20" i="2"/>
  <c r="EW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X38" i="2"/>
  <c r="HG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HH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C107" i="2"/>
  <c r="HG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EC112" i="2"/>
  <c r="EX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FS113" i="2"/>
  <c r="EB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DH156" i="2"/>
  <c r="HH156" i="2"/>
  <c r="FS156" i="2"/>
  <c r="EX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HH157" i="2"/>
  <c r="EA157" i="2"/>
  <c r="ED157" i="2" s="1"/>
  <c r="EX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V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DG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1" i="2" s="1"/>
  <c r="HH161" i="2"/>
  <c r="EX161" i="2"/>
  <c r="HG161" i="2"/>
  <c r="FS161" i="2"/>
  <c r="AB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C162" i="2"/>
  <c r="HH162" i="2"/>
  <c r="HG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V163" i="2"/>
  <c r="EY163" i="2" s="1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V164" i="2"/>
  <c r="DI163" i="2"/>
  <c r="HH164" i="2"/>
  <c r="HG164" i="2"/>
  <c r="FS164" i="2"/>
  <c r="EA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G166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V168" i="2"/>
  <c r="EW168" i="2"/>
  <c r="EC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2" i="2" s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HI175" i="2"/>
  <c r="EB175" i="2"/>
  <c r="A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W178" i="2"/>
  <c r="FQ178" i="2"/>
  <c r="EB178" i="2"/>
  <c r="HH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B179" i="2"/>
  <c r="DF179" i="2"/>
  <c r="EA179" i="2"/>
  <c r="ED179" i="2" s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D185" i="2"/>
  <c r="FS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Y189" i="2" s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W192" i="2"/>
  <c r="EA192" i="2"/>
  <c r="EC192" i="2"/>
  <c r="ED192" i="2" s="1"/>
  <c r="HI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EA201" i="2"/>
  <c r="HG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G202" i="2"/>
  <c r="FZ6" i="2"/>
  <c r="EW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47" i="2" a="1"/>
  <c r="GT147" i="2" s="1"/>
  <c r="GT102" i="2" a="1"/>
  <c r="GT10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32" i="2" a="1"/>
  <c r="BC32" i="2" s="1"/>
  <c r="BC7" i="2" a="1"/>
  <c r="BC7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72" i="2" a="1"/>
  <c r="CS72" i="2" s="1"/>
  <c r="BC151" i="2" a="1"/>
  <c r="BC151" i="2" s="1"/>
  <c r="GT152" i="2" a="1"/>
  <c r="GT152" i="2" s="1"/>
  <c r="CS38" i="2" a="1"/>
  <c r="CS38" i="2" s="1"/>
  <c r="GT33" i="2" a="1"/>
  <c r="GT33" i="2" s="1"/>
  <c r="BC18" i="2" a="1"/>
  <c r="BC18" i="2" s="1"/>
  <c r="BC84" i="2" a="1"/>
  <c r="BC84" i="2" s="1"/>
  <c r="BC185" i="2" a="1"/>
  <c r="BC185" i="2" s="1"/>
  <c r="BC130" i="2" a="1"/>
  <c r="BC130" i="2" s="1"/>
  <c r="GT181" i="2" a="1"/>
  <c r="GT181" i="2" s="1"/>
  <c r="BC143" i="2" a="1"/>
  <c r="BC143" i="2" s="1"/>
  <c r="AH151" i="2" a="1"/>
  <c r="AH151" i="2" s="1"/>
  <c r="GT184" i="2" a="1"/>
  <c r="GT184" i="2" s="1"/>
  <c r="BC31" i="2" a="1"/>
  <c r="BC31" i="2" s="1"/>
  <c r="GT115" i="2" a="1"/>
  <c r="GT115" i="2" s="1"/>
  <c r="CS185" i="2" a="1"/>
  <c r="CS185" i="2" s="1"/>
  <c r="BX107" i="2" a="1"/>
  <c r="BX107" i="2" s="1"/>
  <c r="CS114" i="2" a="1"/>
  <c r="CS114" i="2" s="1"/>
  <c r="GT11" i="2" a="1"/>
  <c r="GT11" i="2" s="1"/>
  <c r="GT68" i="2" a="1"/>
  <c r="GT68" i="2" s="1"/>
  <c r="BC126" i="2" a="1"/>
  <c r="BC126" i="2" s="1"/>
  <c r="CS134" i="2" a="1"/>
  <c r="CS134" i="2" s="1"/>
  <c r="CS105" i="2" a="1"/>
  <c r="CS105" i="2" s="1"/>
  <c r="CS129" i="2" a="1"/>
  <c r="CS129" i="2" s="1"/>
  <c r="AH62" i="2" a="1"/>
  <c r="AH62" i="2" s="1"/>
  <c r="CS116" i="2" a="1"/>
  <c r="CS116" i="2" s="1"/>
  <c r="GT121" i="2" a="1"/>
  <c r="GT121" i="2" s="1"/>
  <c r="BC181" i="2" a="1"/>
  <c r="BC181" i="2" s="1"/>
  <c r="CS120" i="2" a="1"/>
  <c r="CS120" i="2" s="1"/>
  <c r="CS77" i="2" a="1"/>
  <c r="CS77" i="2" s="1"/>
  <c r="GT122" i="2" a="1"/>
  <c r="GT122" i="2" s="1"/>
  <c r="BC65" i="2" a="1"/>
  <c r="BC65" i="2" s="1"/>
  <c r="CS137" i="2" a="1"/>
  <c r="CS137" i="2" s="1"/>
  <c r="CS161" i="2" a="1"/>
  <c r="CS161" i="2" s="1"/>
  <c r="CS24" i="2" a="1"/>
  <c r="CS24" i="2" s="1"/>
  <c r="AH163" i="2" a="1"/>
  <c r="AH163" i="2" s="1"/>
  <c r="CS66" i="2" a="1"/>
  <c r="CS66" i="2" s="1"/>
  <c r="GT51" i="2" a="1"/>
  <c r="GT51" i="2" s="1"/>
  <c r="BC114" i="2" a="1"/>
  <c r="BC114" i="2" s="1"/>
  <c r="BC34" i="2" a="1"/>
  <c r="BC34" i="2" s="1"/>
  <c r="AH199" i="2" a="1"/>
  <c r="AH199" i="2" s="1"/>
  <c r="BC47" i="2" a="1"/>
  <c r="BC47" i="2" s="1"/>
  <c r="AH90" i="2" a="1"/>
  <c r="AH90" i="2" s="1"/>
  <c r="GT133" i="2" a="1"/>
  <c r="GT133" i="2" s="1"/>
  <c r="BC68" i="2" a="1"/>
  <c r="BC68" i="2" s="1"/>
  <c r="HG203" i="2"/>
  <c r="BC117" i="2" a="1"/>
  <c r="BC117" i="2" s="1"/>
  <c r="BC58" i="2" a="1"/>
  <c r="BC58" i="2" s="1"/>
  <c r="AH92" i="2" a="1"/>
  <c r="AH92" i="2" s="1"/>
  <c r="FR203" i="2"/>
  <c r="AH166" i="2" a="1"/>
  <c r="AH166" i="2" s="1"/>
  <c r="CS52" i="2" a="1"/>
  <c r="CS52" i="2" s="1"/>
  <c r="AH19" i="2" a="1"/>
  <c r="AH19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<sst xmlns="http://schemas.openxmlformats.org/spreadsheetml/2006/main" count="1149" uniqueCount="325">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</sst>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</cellStyleXfs>
  <cellXfs count="35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2" fillId="6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3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7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6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10" fillId="3" borderId="1" xfId="1" applyNumberFormat="1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9" fontId="2" fillId="4" borderId="1" xfId="0" applyNumberFormat="1" applyFont="1" applyFill="1" applyBorder="1" applyAlignment="1" applyProtection="1">
      <alignment horizontal="center" vertical="center"/>
      <protection hidden="1"/>
    </xf>
    <xf numFmtId="2" fontId="2" fillId="4" borderId="1" xfId="0" applyNumberFormat="1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12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7" xfId="0" applyFont="1" applyBorder="1" applyAlignment="1" applyProtection="1">
      <protection hidden="1"/>
    </xf>
    <xf numFmtId="9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6" fillId="4" borderId="1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10" fillId="14" borderId="1" xfId="0" applyFont="1" applyFill="1" applyBorder="1" applyAlignment="1" applyProtection="1">
      <alignment horizontal="center"/>
      <protection locked="0" hidden="1"/>
    </xf>
    <xf numFmtId="9" fontId="10" fillId="14" borderId="1" xfId="1" applyNumberFormat="1" applyFont="1" applyFill="1" applyBorder="1" applyAlignment="1" applyProtection="1">
      <alignment horizontal="center"/>
      <protection locked="0"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/>
      <protection locked="0" hidden="1"/>
    </xf>
    <xf numFmtId="0" fontId="10" fillId="14" borderId="1" xfId="0" applyFont="1" applyFill="1" applyBorder="1" applyAlignment="1" applyProtection="1">
      <alignment horizontal="center" vertical="center"/>
      <protection locked="0" hidden="1"/>
    </xf>
    <xf numFmtId="1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0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10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10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10" fillId="14" borderId="1" xfId="0" applyNumberFormat="1" applyFont="1" applyFill="1" applyBorder="1" applyAlignment="1" applyProtection="1">
      <alignment horizontal="center"/>
      <protection locked="0"/>
    </xf>
    <xf numFmtId="0" fontId="2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2" fillId="2" borderId="42" xfId="0" applyFont="1" applyFill="1" applyBorder="1" applyAlignment="1" applyProtection="1">
      <alignment horizontal="center" vertical="center" wrapText="1"/>
      <protection hidden="1"/>
    </xf>
    <xf numFmtId="0" fontId="2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2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2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2" fillId="10" borderId="9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9" fontId="10" fillId="14" borderId="1" xfId="1" applyNumberFormat="1" applyFont="1" applyFill="1" applyBorder="1" applyAlignment="1" applyProtection="1">
      <alignment horizontal="center"/>
      <protection locked="0"/>
    </xf>
    <xf numFmtId="0" fontId="30" fillId="14" borderId="1" xfId="0" applyFont="1" applyFill="1" applyBorder="1" applyAlignment="1" applyProtection="1">
      <alignment horizontal="center"/>
      <protection locked="0" hidden="1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2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protection hidden="1"/>
    </xf>
    <xf numFmtId="0" fontId="17" fillId="0" borderId="0" xfId="0" applyFont="1" applyProtection="1"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8" fillId="0" borderId="0" xfId="0" applyFont="1" applyProtection="1"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8" fillId="3" borderId="1" xfId="0" applyFont="1" applyFill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9" fontId="28" fillId="3" borderId="1" xfId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12" xfId="0" applyFont="1" applyFill="1" applyBorder="1" applyAlignment="1" applyProtection="1">
      <alignment horizontal="center" vertical="center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2" fillId="15" borderId="11" xfId="0" applyFont="1" applyFill="1" applyBorder="1" applyAlignment="1" applyProtection="1">
      <alignment horizontal="center" vertical="center"/>
      <protection hidden="1"/>
    </xf>
    <xf numFmtId="0" fontId="2" fillId="15" borderId="28" xfId="0" applyFont="1" applyFill="1" applyBorder="1" applyAlignment="1" applyProtection="1">
      <alignment horizontal="center" vertical="center" wrapText="1"/>
      <protection hidden="1"/>
    </xf>
    <xf numFmtId="0" fontId="2" fillId="13" borderId="12" xfId="0" applyFont="1" applyFill="1" applyBorder="1" applyAlignment="1" applyProtection="1">
      <alignment horizontal="center" vertical="center" wrapText="1"/>
      <protection hidden="1"/>
    </xf>
    <xf numFmtId="0" fontId="2" fillId="9" borderId="11" xfId="0" applyFont="1" applyFill="1" applyBorder="1" applyAlignment="1" applyProtection="1">
      <alignment horizontal="center" vertical="center" wrapText="1"/>
      <protection hidden="1"/>
    </xf>
    <xf numFmtId="0" fontId="2" fillId="9" borderId="13" xfId="0" applyFont="1" applyFill="1" applyBorder="1" applyAlignment="1" applyProtection="1">
      <alignment horizontal="center" vertical="center" wrapText="1"/>
      <protection hidden="1"/>
    </xf>
    <xf numFmtId="0" fontId="2" fillId="17" borderId="30" xfId="0" applyFont="1" applyFill="1" applyBorder="1" applyAlignment="1" applyProtection="1">
      <alignment horizontal="center" vertical="center" wrapText="1"/>
      <protection hidden="1"/>
    </xf>
    <xf numFmtId="0" fontId="2" fillId="17" borderId="28" xfId="0" applyFont="1" applyFill="1" applyBorder="1" applyAlignment="1" applyProtection="1">
      <alignment horizontal="center" vertical="center" wrapText="1"/>
      <protection hidden="1"/>
    </xf>
    <xf numFmtId="0" fontId="2" fillId="15" borderId="26" xfId="0" applyFont="1" applyFill="1" applyBorder="1" applyAlignment="1" applyProtection="1">
      <alignment horizontal="center"/>
      <protection hidden="1"/>
    </xf>
    <xf numFmtId="2" fontId="2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2" fillId="15" borderId="17" xfId="0" applyFont="1" applyFill="1" applyBorder="1" applyAlignment="1" applyProtection="1">
      <alignment horizontal="center"/>
      <protection hidden="1"/>
    </xf>
    <xf numFmtId="2" fontId="2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2" fillId="15" borderId="19" xfId="0" applyFont="1" applyFill="1" applyBorder="1" applyAlignment="1" applyProtection="1">
      <alignment horizontal="center"/>
      <protection hidden="1"/>
    </xf>
    <xf numFmtId="2" fontId="2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2" fillId="13" borderId="11" xfId="0" applyNumberFormat="1" applyFont="1" applyFill="1" applyBorder="1" applyAlignment="1" applyProtection="1">
      <alignment horizontal="center"/>
      <protection hidden="1"/>
    </xf>
    <xf numFmtId="1" fontId="2" fillId="13" borderId="12" xfId="0" applyNumberFormat="1" applyFont="1" applyFill="1" applyBorder="1" applyAlignment="1" applyProtection="1">
      <alignment horizontal="center"/>
      <protection hidden="1"/>
    </xf>
    <xf numFmtId="1" fontId="2" fillId="9" borderId="12" xfId="0" applyNumberFormat="1" applyFont="1" applyFill="1" applyBorder="1" applyAlignment="1" applyProtection="1">
      <alignment horizontal="center"/>
      <protection hidden="1"/>
    </xf>
    <xf numFmtId="1" fontId="2" fillId="17" borderId="12" xfId="0" applyNumberFormat="1" applyFont="1" applyFill="1" applyBorder="1" applyAlignment="1" applyProtection="1">
      <alignment horizontal="center"/>
      <protection hidden="1"/>
    </xf>
    <xf numFmtId="1" fontId="2" fillId="10" borderId="13" xfId="0" applyNumberFormat="1" applyFont="1" applyFill="1" applyBorder="1" applyAlignment="1" applyProtection="1">
      <alignment horizontal="center"/>
      <protection hidden="1"/>
    </xf>
    <xf numFmtId="0" fontId="2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6" fillId="0" borderId="0" xfId="0" applyFont="1" applyProtection="1"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22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2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2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6" fillId="0" borderId="41" xfId="0" applyFont="1" applyBorder="1" applyProtection="1">
      <protection hidden="1"/>
    </xf>
    <xf numFmtId="166" fontId="2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2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7" xfId="0" applyFont="1" applyBorder="1" applyProtection="1">
      <protection locked="0" hidden="1"/>
    </xf>
    <xf numFmtId="0" fontId="16" fillId="0" borderId="0" xfId="0" applyFont="1" applyBorder="1" applyProtection="1">
      <protection locked="0" hidden="1"/>
    </xf>
    <xf numFmtId="0" fontId="16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2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1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2" fillId="4" borderId="1" xfId="0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4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6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9" fontId="2" fillId="0" borderId="0" xfId="0" applyNumberFormat="1" applyFont="1" applyBorder="1" applyAlignment="1" applyProtection="1">
      <alignment horizontal="center" vertical="center"/>
      <protection locked="0" hidden="1"/>
    </xf>
    <xf numFmtId="9" fontId="2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6" fillId="0" borderId="0" xfId="0" applyFont="1" applyBorder="1" applyAlignment="1" applyProtection="1">
      <protection locked="0" hidden="1"/>
    </xf>
    <xf numFmtId="0" fontId="17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10" fillId="0" borderId="38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3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6" fillId="0" borderId="0" xfId="0" applyFont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32" fillId="0" borderId="7" xfId="0" applyFont="1" applyBorder="1" applyAlignment="1" applyProtection="1">
      <protection hidden="1"/>
    </xf>
    <xf numFmtId="0" fontId="32" fillId="0" borderId="0" xfId="0" applyFont="1" applyBorder="1" applyAlignment="1" applyProtection="1">
      <protection hidden="1"/>
    </xf>
    <xf numFmtId="0" fontId="16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2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2" fillId="4" borderId="6" xfId="0" applyNumberFormat="1" applyFont="1" applyFill="1" applyBorder="1" applyAlignment="1" applyProtection="1">
      <alignment horizontal="center" vertical="center"/>
      <protection hidden="1"/>
    </xf>
    <xf numFmtId="0" fontId="16" fillId="0" borderId="51" xfId="0" applyFont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2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8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8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0" fillId="14" borderId="1" xfId="0" applyNumberFormat="1" applyFont="1" applyFill="1" applyBorder="1" applyAlignment="1" applyProtection="1">
      <alignment horizontal="center"/>
      <protection locked="0" hidden="1"/>
    </xf>
    <xf numFmtId="0" fontId="16" fillId="0" borderId="0" xfId="0" applyFont="1" applyAlignment="1" applyProtection="1">
      <alignment vertical="center"/>
      <protection hidden="1"/>
    </xf>
    <xf numFmtId="0" fontId="16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" xfId="3" applyBorder="1" applyProtection="1">
      <protection locked="0"/>
    </xf>
    <xf numFmtId="0" fontId="5" fillId="0" borderId="39" xfId="3" applyBorder="1" applyProtection="1">
      <protection locked="0"/>
    </xf>
    <xf numFmtId="0" fontId="5" fillId="0" borderId="1" xfId="3" applyBorder="1" applyAlignment="1" applyProtection="1">
      <alignment horizontal="center"/>
      <protection locked="0"/>
    </xf>
    <xf numFmtId="9" fontId="33" fillId="21" borderId="1" xfId="4" applyFont="1" applyFill="1" applyBorder="1" applyAlignment="1" applyProtection="1">
      <alignment horizontal="center"/>
      <protection locked="0" hidden="1"/>
    </xf>
    <xf numFmtId="0" fontId="33" fillId="21" borderId="1" xfId="3" applyFont="1" applyFill="1" applyBorder="1" applyAlignment="1" applyProtection="1">
      <alignment horizontal="center"/>
      <protection locked="0"/>
    </xf>
    <xf numFmtId="0" fontId="5" fillId="0" borderId="39" xfId="3" applyBorder="1" applyAlignment="1" applyProtection="1">
      <alignment horizontal="center" vertical="center"/>
      <protection locked="0"/>
    </xf>
    <xf numFmtId="0" fontId="33" fillId="21" borderId="1" xfId="3" applyFont="1" applyFill="1" applyBorder="1" applyAlignment="1" applyProtection="1">
      <alignment horizontal="center" vertical="center"/>
      <protection locked="0"/>
    </xf>
    <xf numFmtId="0" fontId="34" fillId="0" borderId="1" xfId="0" applyFont="1" applyBorder="1" applyProtection="1"/>
    <xf numFmtId="1" fontId="34" fillId="0" borderId="6" xfId="0" applyNumberFormat="1" applyFont="1" applyBorder="1" applyProtection="1"/>
    <xf numFmtId="0" fontId="35" fillId="22" borderId="6" xfId="0" applyFont="1" applyFill="1" applyBorder="1" applyAlignment="1" applyProtection="1">
      <alignment horizontal="center"/>
      <protection locked="0"/>
    </xf>
    <xf numFmtId="9" fontId="35" fillId="22" borderId="6" xfId="0" applyNumberFormat="1" applyFont="1" applyFill="1" applyBorder="1" applyAlignment="1" applyProtection="1">
      <alignment horizontal="center"/>
      <protection locked="0" hidden="1"/>
    </xf>
    <xf numFmtId="0" fontId="34" fillId="0" borderId="10" xfId="0" applyFont="1" applyBorder="1" applyProtection="1"/>
    <xf numFmtId="1" fontId="34" fillId="0" borderId="31" xfId="0" applyNumberFormat="1" applyFont="1" applyBorder="1" applyProtection="1"/>
    <xf numFmtId="0" fontId="35" fillId="22" borderId="31" xfId="0" applyFont="1" applyFill="1" applyBorder="1" applyAlignment="1" applyProtection="1">
      <alignment horizontal="center"/>
      <protection locked="0"/>
    </xf>
    <xf numFmtId="9" fontId="35" fillId="22" borderId="31" xfId="0" applyNumberFormat="1" applyFont="1" applyFill="1" applyBorder="1" applyAlignment="1" applyProtection="1">
      <alignment horizontal="center"/>
      <protection locked="0" hidden="1"/>
    </xf>
    <xf numFmtId="0" fontId="33" fillId="21" borderId="47" xfId="3" applyFont="1" applyFill="1" applyBorder="1" applyAlignment="1" applyProtection="1">
      <alignment horizontal="center"/>
      <protection locked="0"/>
    </xf>
    <xf numFmtId="1" fontId="5" fillId="0" borderId="1" xfId="3" applyNumberFormat="1" applyBorder="1" applyProtection="1">
      <protection locked="0"/>
    </xf>
    <xf numFmtId="0" fontId="19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center"/>
      <protection hidden="1"/>
    </xf>
    <xf numFmtId="0" fontId="7" fillId="14" borderId="0" xfId="0" applyFont="1" applyFill="1" applyAlignment="1" applyProtection="1">
      <alignment horizontal="center"/>
      <protection hidden="1"/>
    </xf>
    <xf numFmtId="0" fontId="8" fillId="4" borderId="42" xfId="0" applyFont="1" applyFill="1" applyBorder="1" applyAlignment="1" applyProtection="1">
      <alignment horizontal="center" vertical="center"/>
      <protection hidden="1"/>
    </xf>
    <xf numFmtId="0" fontId="8" fillId="4" borderId="43" xfId="0" applyFont="1" applyFill="1" applyBorder="1" applyAlignment="1" applyProtection="1">
      <alignment horizontal="center" vertical="center"/>
      <protection hidden="1"/>
    </xf>
    <xf numFmtId="0" fontId="8" fillId="4" borderId="44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8" fillId="4" borderId="42" xfId="0" applyFont="1" applyFill="1" applyBorder="1" applyAlignment="1" applyProtection="1">
      <alignment horizontal="center"/>
      <protection hidden="1"/>
    </xf>
    <xf numFmtId="0" fontId="8" fillId="4" borderId="43" xfId="0" applyFont="1" applyFill="1" applyBorder="1" applyAlignment="1" applyProtection="1">
      <alignment horizontal="center"/>
      <protection hidden="1"/>
    </xf>
    <xf numFmtId="0" fontId="8" fillId="4" borderId="44" xfId="0" applyFont="1" applyFill="1" applyBorder="1" applyAlignment="1" applyProtection="1">
      <alignment horizontal="center"/>
      <protection hidden="1"/>
    </xf>
    <xf numFmtId="0" fontId="8" fillId="2" borderId="37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35" xfId="0" applyFont="1" applyFill="1" applyBorder="1" applyAlignment="1" applyProtection="1">
      <alignment horizontal="center"/>
      <protection hidden="1"/>
    </xf>
    <xf numFmtId="0" fontId="8" fillId="6" borderId="37" xfId="0" applyFont="1" applyFill="1" applyBorder="1" applyAlignment="1" applyProtection="1">
      <alignment horizontal="center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8" fillId="6" borderId="35" xfId="0" applyFont="1" applyFill="1" applyBorder="1" applyAlignment="1" applyProtection="1">
      <alignment horizontal="center"/>
      <protection hidden="1"/>
    </xf>
    <xf numFmtId="0" fontId="2" fillId="9" borderId="22" xfId="0" applyFont="1" applyFill="1" applyBorder="1" applyAlignment="1" applyProtection="1">
      <alignment horizontal="center" vertical="center"/>
      <protection hidden="1"/>
    </xf>
    <xf numFmtId="0" fontId="2" fillId="9" borderId="24" xfId="0" applyFont="1" applyFill="1" applyBorder="1" applyAlignment="1" applyProtection="1">
      <alignment horizontal="center" vertical="center"/>
      <protection hidden="1"/>
    </xf>
    <xf numFmtId="0" fontId="2" fillId="9" borderId="23" xfId="0" applyFont="1" applyFill="1" applyBorder="1" applyAlignment="1" applyProtection="1">
      <alignment horizontal="center" vertical="center"/>
      <protection hidden="1"/>
    </xf>
    <xf numFmtId="0" fontId="16" fillId="0" borderId="25" xfId="0" applyFont="1" applyBorder="1" applyAlignment="1" applyProtection="1">
      <alignment horizontal="center" wrapText="1"/>
      <protection hidden="1"/>
    </xf>
    <xf numFmtId="0" fontId="16" fillId="0" borderId="25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 vertical="center"/>
      <protection hidden="1"/>
    </xf>
    <xf numFmtId="0" fontId="2" fillId="4" borderId="6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/>
      <protection hidden="1"/>
    </xf>
    <xf numFmtId="0" fontId="7" fillId="14" borderId="0" xfId="0" applyFont="1" applyFill="1" applyBorder="1" applyAlignment="1" applyProtection="1">
      <alignment horizontal="center"/>
      <protection hidden="1"/>
    </xf>
    <xf numFmtId="0" fontId="32" fillId="0" borderId="53" xfId="0" applyFont="1" applyBorder="1" applyAlignment="1" applyProtection="1">
      <alignment horizontal="center" vertical="center" wrapText="1"/>
      <protection hidden="1"/>
    </xf>
    <xf numFmtId="0" fontId="16" fillId="0" borderId="38" xfId="0" applyFont="1" applyBorder="1" applyAlignment="1" applyProtection="1">
      <alignment horizontal="center" wrapText="1"/>
      <protection hidden="1"/>
    </xf>
    <xf numFmtId="0" fontId="16" fillId="0" borderId="40" xfId="0" applyFont="1" applyBorder="1" applyAlignment="1" applyProtection="1">
      <alignment horizontal="center" wrapText="1"/>
      <protection hidden="1"/>
    </xf>
    <xf numFmtId="0" fontId="16" fillId="0" borderId="50" xfId="0" applyFont="1" applyBorder="1" applyAlignment="1" applyProtection="1">
      <alignment horizontal="center" wrapText="1"/>
      <protection hidden="1"/>
    </xf>
    <xf numFmtId="0" fontId="16" fillId="0" borderId="3" xfId="0" applyFont="1" applyBorder="1" applyAlignment="1" applyProtection="1">
      <alignment horizontal="center" wrapText="1"/>
      <protection hidden="1"/>
    </xf>
    <xf numFmtId="0" fontId="16" fillId="0" borderId="52" xfId="0" applyFont="1" applyBorder="1" applyAlignment="1" applyProtection="1">
      <alignment horizontal="center" wrapText="1"/>
      <protection hidden="1"/>
    </xf>
    <xf numFmtId="0" fontId="16" fillId="0" borderId="31" xfId="0" applyFont="1" applyBorder="1" applyAlignment="1" applyProtection="1">
      <alignment horizontal="center" wrapText="1"/>
      <protection hidden="1"/>
    </xf>
    <xf numFmtId="0" fontId="8" fillId="20" borderId="42" xfId="0" applyFont="1" applyFill="1" applyBorder="1" applyAlignment="1" applyProtection="1">
      <alignment horizontal="center"/>
      <protection hidden="1"/>
    </xf>
    <xf numFmtId="0" fontId="8" fillId="20" borderId="43" xfId="0" applyFont="1" applyFill="1" applyBorder="1" applyAlignment="1" applyProtection="1">
      <alignment horizontal="center"/>
      <protection hidden="1"/>
    </xf>
    <xf numFmtId="0" fontId="8" fillId="20" borderId="44" xfId="0" applyFont="1" applyFill="1" applyBorder="1" applyAlignment="1" applyProtection="1">
      <alignment horizontal="center"/>
      <protection hidden="1"/>
    </xf>
    <xf numFmtId="0" fontId="16" fillId="0" borderId="40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167" fontId="12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7">
    <cellStyle name="Lien hypertexte" xfId="2" builtinId="8"/>
    <cellStyle name="Normal" xfId="0" builtinId="0"/>
    <cellStyle name="Normal 2" xfId="3" xr:uid="{D2E86234-902C-8740-BE77-D32FF3563AB2}"/>
    <cellStyle name="Normal 2 2" xfId="5" xr:uid="{98AF2198-8F2C-7548-BEE5-110EC9AA6ED7}"/>
    <cellStyle name="Normal 3" xfId="6" xr:uid="{8BA0261D-D545-5A4E-9891-06EF4A6578C7}"/>
    <cellStyle name="Pourcentage" xfId="1" builtinId="5"/>
    <cellStyle name="Pourcentage 2" xfId="4" xr:uid="{A89A239F-E4A7-0C47-9A75-3994EEEC9D9F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179.64007820340888</c:v>
                </c:pt>
                <c:pt idx="14">
                  <c:v>215.39584283593408</c:v>
                </c:pt>
                <c:pt idx="15">
                  <c:v>251.01473072466717</c:v>
                </c:pt>
                <c:pt idx="16">
                  <c:v>286.51891307475506</c:v>
                </c:pt>
                <c:pt idx="17">
                  <c:v>321.92460060215132</c:v>
                </c:pt>
                <c:pt idx="18">
                  <c:v>357.24414130207202</c:v>
                </c:pt>
                <c:pt idx="19">
                  <c:v>392.93009822200844</c:v>
                </c:pt>
                <c:pt idx="20">
                  <c:v>428.54578454775537</c:v>
                </c:pt>
                <c:pt idx="21">
                  <c:v>464.0978527922727</c:v>
                </c:pt>
                <c:pt idx="22">
                  <c:v>499.59185381999487</c:v>
                </c:pt>
                <c:pt idx="23">
                  <c:v>535.0324861894976</c:v>
                </c:pt>
                <c:pt idx="24">
                  <c:v>570.42377594938648</c:v>
                </c:pt>
                <c:pt idx="25">
                  <c:v>605.54980770315581</c:v>
                </c:pt>
                <c:pt idx="26">
                  <c:v>640.63354316768266</c:v>
                </c:pt>
                <c:pt idx="27">
                  <c:v>675.67762008263787</c:v>
                </c:pt>
                <c:pt idx="28">
                  <c:v>710.68438071077901</c:v>
                </c:pt>
                <c:pt idx="29">
                  <c:v>745.65591814463266</c:v>
                </c:pt>
                <c:pt idx="30">
                  <c:v>780.59411348307503</c:v>
                </c:pt>
                <c:pt idx="31">
                  <c:v>671.9559975046767</c:v>
                </c:pt>
                <c:pt idx="32">
                  <c:v>703.68591015453387</c:v>
                </c:pt>
                <c:pt idx="33">
                  <c:v>735.38656805371522</c:v>
                </c:pt>
                <c:pt idx="34">
                  <c:v>767.05940745274086</c:v>
                </c:pt>
                <c:pt idx="35">
                  <c:v>798.70573652474422</c:v>
                </c:pt>
                <c:pt idx="36">
                  <c:v>830.32675150748025</c:v>
                </c:pt>
                <c:pt idx="37">
                  <c:v>699.09239084190824</c:v>
                </c:pt>
                <c:pt idx="38">
                  <c:v>723.80272964590631</c:v>
                </c:pt>
                <c:pt idx="39">
                  <c:v>748.49586702387558</c:v>
                </c:pt>
                <c:pt idx="40">
                  <c:v>773.1724495278487</c:v>
                </c:pt>
                <c:pt idx="41">
                  <c:v>797.83307913277804</c:v>
                </c:pt>
                <c:pt idx="42">
                  <c:v>822.47831762002932</c:v>
                </c:pt>
                <c:pt idx="43">
                  <c:v>687.05880434588732</c:v>
                </c:pt>
                <c:pt idx="44">
                  <c:v>710.24701772271976</c:v>
                </c:pt>
                <c:pt idx="45">
                  <c:v>733.41976488307193</c:v>
                </c:pt>
                <c:pt idx="46">
                  <c:v>756.57760263872979</c:v>
                </c:pt>
                <c:pt idx="47">
                  <c:v>779.72105098068926</c:v>
                </c:pt>
                <c:pt idx="48">
                  <c:v>802.85059655638725</c:v>
                </c:pt>
                <c:pt idx="49">
                  <c:v>662.54058417706869</c:v>
                </c:pt>
                <c:pt idx="50">
                  <c:v>683.55731657128399</c:v>
                </c:pt>
                <c:pt idx="51">
                  <c:v>704.5607965314897</c:v>
                </c:pt>
                <c:pt idx="52">
                  <c:v>725.55147429600538</c:v>
                </c:pt>
                <c:pt idx="53">
                  <c:v>746.52977195775156</c:v>
                </c:pt>
                <c:pt idx="54">
                  <c:v>767.49608598100974</c:v>
                </c:pt>
                <c:pt idx="55">
                  <c:v>628.79734099509483</c:v>
                </c:pt>
                <c:pt idx="56">
                  <c:v>646.33083923518518</c:v>
                </c:pt>
                <c:pt idx="57">
                  <c:v>663.85452714710436</c:v>
                </c:pt>
                <c:pt idx="58">
                  <c:v>681.36869994686231</c:v>
                </c:pt>
                <c:pt idx="59">
                  <c:v>698.87363644948789</c:v>
                </c:pt>
                <c:pt idx="60">
                  <c:v>716.36960037654308</c:v>
                </c:pt>
                <c:pt idx="61">
                  <c:v>586.67500447098337</c:v>
                </c:pt>
                <c:pt idx="62">
                  <c:v>604.23336233410805</c:v>
                </c:pt>
                <c:pt idx="63">
                  <c:v>621.78112531404111</c:v>
                </c:pt>
                <c:pt idx="64">
                  <c:v>639.31863429406792</c:v>
                </c:pt>
                <c:pt idx="65">
                  <c:v>656.8462099455628</c:v>
                </c:pt>
                <c:pt idx="66">
                  <c:v>674.36415444477132</c:v>
                </c:pt>
                <c:pt idx="67">
                  <c:v>546.24855583469991</c:v>
                </c:pt>
                <c:pt idx="68">
                  <c:v>561.63531739671441</c:v>
                </c:pt>
                <c:pt idx="69">
                  <c:v>577.01326101134919</c:v>
                </c:pt>
                <c:pt idx="70">
                  <c:v>592.38265466360133</c:v>
                </c:pt>
                <c:pt idx="71">
                  <c:v>607.74375130653345</c:v>
                </c:pt>
                <c:pt idx="72">
                  <c:v>623.09679007092416</c:v>
                </c:pt>
                <c:pt idx="73">
                  <c:v>503.99723200983721</c:v>
                </c:pt>
                <c:pt idx="74">
                  <c:v>518.08900823898523</c:v>
                </c:pt>
                <c:pt idx="75">
                  <c:v>532.17270152227161</c:v>
                </c:pt>
                <c:pt idx="76">
                  <c:v>546.24855583470014</c:v>
                </c:pt>
                <c:pt idx="77">
                  <c:v>560.31680155687127</c:v>
                </c:pt>
                <c:pt idx="78">
                  <c:v>574.37765656188174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2.5660320434298862</c:v>
                </c:pt>
                <c:pt idx="2">
                  <c:v>3.490216043462222</c:v>
                </c:pt>
                <c:pt idx="3">
                  <c:v>4.7486496692906526</c:v>
                </c:pt>
                <c:pt idx="4">
                  <c:v>6.4626953771728965</c:v>
                </c:pt>
                <c:pt idx="5">
                  <c:v>8.7979417027881173</c:v>
                </c:pt>
                <c:pt idx="6">
                  <c:v>11.980374033120137</c:v>
                </c:pt>
                <c:pt idx="7">
                  <c:v>16.318476261013739</c:v>
                </c:pt>
                <c:pt idx="8">
                  <c:v>22.233444670214165</c:v>
                </c:pt>
                <c:pt idx="9">
                  <c:v>30.30049972576553</c:v>
                </c:pt>
                <c:pt idx="10">
                  <c:v>41.30538302972608</c:v>
                </c:pt>
                <c:pt idx="11">
                  <c:v>56.321635629521353</c:v>
                </c:pt>
                <c:pt idx="12">
                  <c:v>76.816321062694342</c:v>
                </c:pt>
                <c:pt idx="13">
                  <c:v>104.79468893441758</c:v>
                </c:pt>
                <c:pt idx="14">
                  <c:v>142.99815624656733</c:v>
                </c:pt>
                <c:pt idx="15">
                  <c:v>195.17530334919044</c:v>
                </c:pt>
                <c:pt idx="16">
                  <c:v>182.16155133314172</c:v>
                </c:pt>
                <c:pt idx="17">
                  <c:v>200.88220056520177</c:v>
                </c:pt>
                <c:pt idx="18">
                  <c:v>219.56242455091993</c:v>
                </c:pt>
                <c:pt idx="19">
                  <c:v>238.2061468968584</c:v>
                </c:pt>
                <c:pt idx="20">
                  <c:v>256.81662635389347</c:v>
                </c:pt>
                <c:pt idx="21">
                  <c:v>275.39661054372829</c:v>
                </c:pt>
                <c:pt idx="22">
                  <c:v>293.9484459457056</c:v>
                </c:pt>
                <c:pt idx="23">
                  <c:v>312.47415862183624</c:v>
                </c:pt>
                <c:pt idx="24">
                  <c:v>330.97551477411662</c:v>
                </c:pt>
                <c:pt idx="25">
                  <c:v>349.45406704138014</c:v>
                </c:pt>
                <c:pt idx="26">
                  <c:v>316.39591565174067</c:v>
                </c:pt>
                <c:pt idx="27">
                  <c:v>339.74775226555545</c:v>
                </c:pt>
                <c:pt idx="28">
                  <c:v>363.06428933973535</c:v>
                </c:pt>
                <c:pt idx="29">
                  <c:v>386.34811097620383</c:v>
                </c:pt>
                <c:pt idx="30">
                  <c:v>409.60146453012459</c:v>
                </c:pt>
                <c:pt idx="31">
                  <c:v>432.82632151190916</c:v>
                </c:pt>
                <c:pt idx="32">
                  <c:v>456.02442473203701</c:v>
                </c:pt>
                <c:pt idx="33">
                  <c:v>479.19732535186193</c:v>
                </c:pt>
                <c:pt idx="34">
                  <c:v>502.34641239478327</c:v>
                </c:pt>
                <c:pt idx="35">
                  <c:v>525.47293653557915</c:v>
                </c:pt>
                <c:pt idx="36">
                  <c:v>468.00273769986575</c:v>
                </c:pt>
                <c:pt idx="37">
                  <c:v>495.97883016711143</c:v>
                </c:pt>
                <c:pt idx="38">
                  <c:v>523.92150373805168</c:v>
                </c:pt>
                <c:pt idx="39">
                  <c:v>551.83278906179726</c:v>
                </c:pt>
                <c:pt idx="40">
                  <c:v>579.71449485526739</c:v>
                </c:pt>
                <c:pt idx="41">
                  <c:v>607.5682418780965</c:v>
                </c:pt>
                <c:pt idx="42">
                  <c:v>635.39549035690573</c:v>
                </c:pt>
                <c:pt idx="43">
                  <c:v>663.19756235900854</c:v>
                </c:pt>
                <c:pt idx="44">
                  <c:v>690.97566022245303</c:v>
                </c:pt>
                <c:pt idx="45">
                  <c:v>718.73088187113183</c:v>
                </c:pt>
                <c:pt idx="46">
                  <c:v>634.00473635096603</c:v>
                </c:pt>
                <c:pt idx="47">
                  <c:v>666.59392627014302</c:v>
                </c:pt>
                <c:pt idx="48">
                  <c:v>699.15036052100697</c:v>
                </c:pt>
                <c:pt idx="49">
                  <c:v>731.67577620062411</c:v>
                </c:pt>
                <c:pt idx="50">
                  <c:v>764.17174363345441</c:v>
                </c:pt>
                <c:pt idx="51">
                  <c:v>796.63968893150013</c:v>
                </c:pt>
                <c:pt idx="52">
                  <c:v>829.08091269000261</c:v>
                </c:pt>
                <c:pt idx="53">
                  <c:v>861.49660560879636</c:v>
                </c:pt>
                <c:pt idx="54">
                  <c:v>893.88786164367775</c:v>
                </c:pt>
                <c:pt idx="55">
                  <c:v>926.25568915535689</c:v>
                </c:pt>
                <c:pt idx="56">
                  <c:v>4.400367824666284E-12</c:v>
                </c:pt>
                <c:pt idx="57">
                  <c:v>4.400367824666284E-12</c:v>
                </c:pt>
                <c:pt idx="58">
                  <c:v>4.400367824666284E-12</c:v>
                </c:pt>
                <c:pt idx="59">
                  <c:v>4.400367824666284E-12</c:v>
                </c:pt>
                <c:pt idx="60">
                  <c:v>4.400367824666284E-12</c:v>
                </c:pt>
                <c:pt idx="61">
                  <c:v>4.400367824666284E-12</c:v>
                </c:pt>
                <c:pt idx="62">
                  <c:v>4.400367824666284E-12</c:v>
                </c:pt>
                <c:pt idx="63">
                  <c:v>4.400367824666284E-12</c:v>
                </c:pt>
                <c:pt idx="64">
                  <c:v>4.400367824666284E-12</c:v>
                </c:pt>
                <c:pt idx="65">
                  <c:v>4.400367824666284E-12</c:v>
                </c:pt>
                <c:pt idx="66">
                  <c:v>4.400367824666284E-12</c:v>
                </c:pt>
                <c:pt idx="67">
                  <c:v>4.400367824666284E-12</c:v>
                </c:pt>
                <c:pt idx="68">
                  <c:v>4.400367824666284E-12</c:v>
                </c:pt>
                <c:pt idx="69">
                  <c:v>4.400367824666284E-12</c:v>
                </c:pt>
                <c:pt idx="70">
                  <c:v>4.400367824666284E-12</c:v>
                </c:pt>
                <c:pt idx="71">
                  <c:v>4.400367824666284E-12</c:v>
                </c:pt>
                <c:pt idx="72">
                  <c:v>4.400367824666284E-12</c:v>
                </c:pt>
                <c:pt idx="73">
                  <c:v>4.400367824666284E-12</c:v>
                </c:pt>
                <c:pt idx="74">
                  <c:v>4.400367824666284E-12</c:v>
                </c:pt>
                <c:pt idx="75">
                  <c:v>4.400367824666284E-12</c:v>
                </c:pt>
                <c:pt idx="76">
                  <c:v>4.400367824666284E-12</c:v>
                </c:pt>
                <c:pt idx="77">
                  <c:v>4.400367824666284E-12</c:v>
                </c:pt>
                <c:pt idx="78">
                  <c:v>4.400367824666284E-12</c:v>
                </c:pt>
                <c:pt idx="79">
                  <c:v>4.400367824666284E-12</c:v>
                </c:pt>
                <c:pt idx="80">
                  <c:v>4.400367824666284E-12</c:v>
                </c:pt>
                <c:pt idx="81">
                  <c:v>4.400367824666284E-12</c:v>
                </c:pt>
                <c:pt idx="82">
                  <c:v>4.400367824666284E-12</c:v>
                </c:pt>
                <c:pt idx="83">
                  <c:v>4.400367824666284E-12</c:v>
                </c:pt>
                <c:pt idx="84">
                  <c:v>4.400367824666284E-12</c:v>
                </c:pt>
                <c:pt idx="85">
                  <c:v>4.400367824666284E-12</c:v>
                </c:pt>
                <c:pt idx="86">
                  <c:v>4.400367824666284E-12</c:v>
                </c:pt>
                <c:pt idx="87">
                  <c:v>4.400367824666284E-12</c:v>
                </c:pt>
                <c:pt idx="88">
                  <c:v>4.400367824666284E-12</c:v>
                </c:pt>
                <c:pt idx="89">
                  <c:v>4.400367824666284E-12</c:v>
                </c:pt>
                <c:pt idx="90">
                  <c:v>4.400367824666284E-12</c:v>
                </c:pt>
                <c:pt idx="91">
                  <c:v>4.400367824666284E-12</c:v>
                </c:pt>
                <c:pt idx="92">
                  <c:v>4.400367824666284E-12</c:v>
                </c:pt>
                <c:pt idx="93">
                  <c:v>4.400367824666284E-12</c:v>
                </c:pt>
                <c:pt idx="94">
                  <c:v>4.400367824666284E-12</c:v>
                </c:pt>
                <c:pt idx="95">
                  <c:v>4.400367824666284E-12</c:v>
                </c:pt>
                <c:pt idx="96">
                  <c:v>4.400367824666284E-12</c:v>
                </c:pt>
                <c:pt idx="97">
                  <c:v>4.400367824666284E-12</c:v>
                </c:pt>
                <c:pt idx="98">
                  <c:v>4.400367824666284E-12</c:v>
                </c:pt>
                <c:pt idx="99">
                  <c:v>4.400367824666284E-12</c:v>
                </c:pt>
                <c:pt idx="100">
                  <c:v>4.400367824666284E-12</c:v>
                </c:pt>
                <c:pt idx="101">
                  <c:v>4.400367824666284E-12</c:v>
                </c:pt>
                <c:pt idx="102">
                  <c:v>4.400367824666284E-12</c:v>
                </c:pt>
                <c:pt idx="103">
                  <c:v>4.400367824666284E-12</c:v>
                </c:pt>
                <c:pt idx="104">
                  <c:v>4.400367824666284E-12</c:v>
                </c:pt>
                <c:pt idx="105">
                  <c:v>4.400367824666284E-12</c:v>
                </c:pt>
                <c:pt idx="106">
                  <c:v>4.400367824666284E-12</c:v>
                </c:pt>
                <c:pt idx="107">
                  <c:v>4.400367824666284E-12</c:v>
                </c:pt>
                <c:pt idx="108">
                  <c:v>4.400367824666284E-12</c:v>
                </c:pt>
                <c:pt idx="109">
                  <c:v>4.400367824666284E-12</c:v>
                </c:pt>
                <c:pt idx="110">
                  <c:v>4.400367824666284E-12</c:v>
                </c:pt>
                <c:pt idx="111">
                  <c:v>4.400367824666284E-12</c:v>
                </c:pt>
                <c:pt idx="112">
                  <c:v>4.400367824666284E-12</c:v>
                </c:pt>
                <c:pt idx="113">
                  <c:v>4.400367824666284E-12</c:v>
                </c:pt>
                <c:pt idx="114">
                  <c:v>4.400367824666284E-12</c:v>
                </c:pt>
                <c:pt idx="115">
                  <c:v>4.400367824666284E-12</c:v>
                </c:pt>
                <c:pt idx="116">
                  <c:v>4.400367824666284E-12</c:v>
                </c:pt>
                <c:pt idx="117">
                  <c:v>4.400367824666284E-12</c:v>
                </c:pt>
                <c:pt idx="118">
                  <c:v>4.400367824666284E-12</c:v>
                </c:pt>
                <c:pt idx="119">
                  <c:v>4.400367824666284E-12</c:v>
                </c:pt>
                <c:pt idx="120">
                  <c:v>4.400367824666284E-12</c:v>
                </c:pt>
                <c:pt idx="121">
                  <c:v>4.400367824666284E-12</c:v>
                </c:pt>
                <c:pt idx="122">
                  <c:v>4.400367824666284E-12</c:v>
                </c:pt>
                <c:pt idx="123">
                  <c:v>4.400367824666284E-12</c:v>
                </c:pt>
                <c:pt idx="124">
                  <c:v>4.400367824666284E-12</c:v>
                </c:pt>
                <c:pt idx="125">
                  <c:v>4.400367824666284E-12</c:v>
                </c:pt>
                <c:pt idx="126">
                  <c:v>4.400367824666284E-12</c:v>
                </c:pt>
                <c:pt idx="127">
                  <c:v>4.400367824666284E-12</c:v>
                </c:pt>
                <c:pt idx="128">
                  <c:v>4.400367824666284E-12</c:v>
                </c:pt>
                <c:pt idx="129">
                  <c:v>4.400367824666284E-12</c:v>
                </c:pt>
                <c:pt idx="130">
                  <c:v>4.400367824666284E-12</c:v>
                </c:pt>
                <c:pt idx="131">
                  <c:v>4.400367824666284E-12</c:v>
                </c:pt>
                <c:pt idx="132">
                  <c:v>4.400367824666284E-12</c:v>
                </c:pt>
                <c:pt idx="133">
                  <c:v>4.400367824666284E-12</c:v>
                </c:pt>
                <c:pt idx="134">
                  <c:v>4.400367824666284E-12</c:v>
                </c:pt>
                <c:pt idx="135">
                  <c:v>4.400367824666284E-12</c:v>
                </c:pt>
                <c:pt idx="136">
                  <c:v>4.400367824666284E-12</c:v>
                </c:pt>
                <c:pt idx="137">
                  <c:v>4.400367824666284E-12</c:v>
                </c:pt>
                <c:pt idx="138">
                  <c:v>4.400367824666284E-12</c:v>
                </c:pt>
                <c:pt idx="139">
                  <c:v>4.400367824666284E-12</c:v>
                </c:pt>
                <c:pt idx="140">
                  <c:v>4.400367824666284E-12</c:v>
                </c:pt>
                <c:pt idx="141">
                  <c:v>4.400367824666284E-12</c:v>
                </c:pt>
                <c:pt idx="142">
                  <c:v>4.400367824666284E-12</c:v>
                </c:pt>
                <c:pt idx="143">
                  <c:v>4.400367824666284E-12</c:v>
                </c:pt>
                <c:pt idx="144">
                  <c:v>4.400367824666284E-12</c:v>
                </c:pt>
                <c:pt idx="145">
                  <c:v>4.400367824666284E-12</c:v>
                </c:pt>
                <c:pt idx="146">
                  <c:v>4.400367824666284E-12</c:v>
                </c:pt>
                <c:pt idx="147">
                  <c:v>4.400367824666284E-12</c:v>
                </c:pt>
                <c:pt idx="148">
                  <c:v>4.400367824666284E-12</c:v>
                </c:pt>
                <c:pt idx="149">
                  <c:v>4.400367824666284E-12</c:v>
                </c:pt>
                <c:pt idx="150">
                  <c:v>4.400367824666284E-12</c:v>
                </c:pt>
                <c:pt idx="151">
                  <c:v>4.400367824666284E-12</c:v>
                </c:pt>
                <c:pt idx="152">
                  <c:v>4.400367824666284E-12</c:v>
                </c:pt>
                <c:pt idx="153">
                  <c:v>4.400367824666284E-12</c:v>
                </c:pt>
                <c:pt idx="154">
                  <c:v>4.400367824666284E-12</c:v>
                </c:pt>
                <c:pt idx="155">
                  <c:v>4.400367824666284E-12</c:v>
                </c:pt>
                <c:pt idx="156">
                  <c:v>4.400367824666284E-12</c:v>
                </c:pt>
                <c:pt idx="157">
                  <c:v>4.400367824666284E-12</c:v>
                </c:pt>
                <c:pt idx="158">
                  <c:v>4.400367824666284E-12</c:v>
                </c:pt>
                <c:pt idx="159">
                  <c:v>4.400367824666284E-12</c:v>
                </c:pt>
                <c:pt idx="160">
                  <c:v>4.400367824666284E-12</c:v>
                </c:pt>
                <c:pt idx="161">
                  <c:v>4.400367824666284E-12</c:v>
                </c:pt>
                <c:pt idx="162">
                  <c:v>4.400367824666284E-12</c:v>
                </c:pt>
                <c:pt idx="163">
                  <c:v>4.400367824666284E-12</c:v>
                </c:pt>
                <c:pt idx="164">
                  <c:v>4.400367824666284E-12</c:v>
                </c:pt>
                <c:pt idx="165">
                  <c:v>4.400367824666284E-12</c:v>
                </c:pt>
                <c:pt idx="166">
                  <c:v>4.400367824666284E-12</c:v>
                </c:pt>
                <c:pt idx="167">
                  <c:v>4.400367824666284E-12</c:v>
                </c:pt>
                <c:pt idx="168">
                  <c:v>4.400367824666284E-12</c:v>
                </c:pt>
                <c:pt idx="169">
                  <c:v>4.400367824666284E-12</c:v>
                </c:pt>
                <c:pt idx="170">
                  <c:v>4.400367824666284E-12</c:v>
                </c:pt>
                <c:pt idx="171">
                  <c:v>4.400367824666284E-12</c:v>
                </c:pt>
                <c:pt idx="172">
                  <c:v>4.400367824666284E-12</c:v>
                </c:pt>
                <c:pt idx="173">
                  <c:v>4.400367824666284E-12</c:v>
                </c:pt>
                <c:pt idx="174">
                  <c:v>4.400367824666284E-12</c:v>
                </c:pt>
                <c:pt idx="175">
                  <c:v>4.400367824666284E-12</c:v>
                </c:pt>
                <c:pt idx="176">
                  <c:v>4.400367824666284E-12</c:v>
                </c:pt>
                <c:pt idx="177">
                  <c:v>4.400367824666284E-12</c:v>
                </c:pt>
                <c:pt idx="178">
                  <c:v>4.400367824666284E-12</c:v>
                </c:pt>
                <c:pt idx="179">
                  <c:v>4.400367824666284E-12</c:v>
                </c:pt>
                <c:pt idx="180">
                  <c:v>4.400367824666284E-12</c:v>
                </c:pt>
                <c:pt idx="181">
                  <c:v>4.400367824666284E-12</c:v>
                </c:pt>
                <c:pt idx="182">
                  <c:v>4.400367824666284E-12</c:v>
                </c:pt>
                <c:pt idx="183">
                  <c:v>4.400367824666284E-12</c:v>
                </c:pt>
                <c:pt idx="184">
                  <c:v>4.400367824666284E-12</c:v>
                </c:pt>
                <c:pt idx="185">
                  <c:v>4.400367824666284E-12</c:v>
                </c:pt>
                <c:pt idx="186">
                  <c:v>4.400367824666284E-12</c:v>
                </c:pt>
                <c:pt idx="187">
                  <c:v>4.400367824666284E-12</c:v>
                </c:pt>
                <c:pt idx="188">
                  <c:v>4.400367824666284E-12</c:v>
                </c:pt>
                <c:pt idx="189">
                  <c:v>4.400367824666284E-12</c:v>
                </c:pt>
                <c:pt idx="190">
                  <c:v>4.400367824666284E-12</c:v>
                </c:pt>
                <c:pt idx="191">
                  <c:v>4.400367824666284E-12</c:v>
                </c:pt>
                <c:pt idx="192">
                  <c:v>4.400367824666284E-12</c:v>
                </c:pt>
                <c:pt idx="193">
                  <c:v>4.400367824666284E-12</c:v>
                </c:pt>
                <c:pt idx="194">
                  <c:v>4.400367824666284E-12</c:v>
                </c:pt>
                <c:pt idx="195">
                  <c:v>4.400367824666284E-12</c:v>
                </c:pt>
                <c:pt idx="196">
                  <c:v>4.400367824666284E-12</c:v>
                </c:pt>
                <c:pt idx="197">
                  <c:v>4.400367824666284E-12</c:v>
                </c:pt>
                <c:pt idx="198">
                  <c:v>4.400367824666284E-12</c:v>
                </c:pt>
                <c:pt idx="199">
                  <c:v>4.400367824666284E-12</c:v>
                </c:pt>
                <c:pt idx="200">
                  <c:v>4.400367824666284E-12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2.7071273091464456</c:v>
                </c:pt>
                <c:pt idx="2">
                  <c:v>3.5907345905459116</c:v>
                </c:pt>
                <c:pt idx="3">
                  <c:v>4.7639297494251158</c:v>
                </c:pt>
                <c:pt idx="4">
                  <c:v>6.3219837517512856</c:v>
                </c:pt>
                <c:pt idx="5">
                  <c:v>8.3916221264050499</c:v>
                </c:pt>
                <c:pt idx="6">
                  <c:v>11.14144409419327</c:v>
                </c:pt>
                <c:pt idx="7">
                  <c:v>14.795803370223254</c:v>
                </c:pt>
                <c:pt idx="8">
                  <c:v>19.65330391347036</c:v>
                </c:pt>
                <c:pt idx="9">
                  <c:v>26.111449073576356</c:v>
                </c:pt>
                <c:pt idx="10">
                  <c:v>34.699496693375536</c:v>
                </c:pt>
                <c:pt idx="11">
                  <c:v>46.122259011729206</c:v>
                </c:pt>
                <c:pt idx="12">
                  <c:v>61.318502451523329</c:v>
                </c:pt>
                <c:pt idx="13">
                  <c:v>81.538825770500992</c:v>
                </c:pt>
                <c:pt idx="14">
                  <c:v>108.44952875702209</c:v>
                </c:pt>
                <c:pt idx="15">
                  <c:v>144.27116553212878</c:v>
                </c:pt>
                <c:pt idx="16">
                  <c:v>134.55281242220951</c:v>
                </c:pt>
                <c:pt idx="17">
                  <c:v>148.27580880488168</c:v>
                </c:pt>
                <c:pt idx="18">
                  <c:v>161.96848631579994</c:v>
                </c:pt>
                <c:pt idx="19">
                  <c:v>175.63377103945319</c:v>
                </c:pt>
                <c:pt idx="20">
                  <c:v>189.27409581669576</c:v>
                </c:pt>
                <c:pt idx="21">
                  <c:v>202.8915137405094</c:v>
                </c:pt>
                <c:pt idx="22">
                  <c:v>216.4877795043939</c:v>
                </c:pt>
                <c:pt idx="23">
                  <c:v>230.06440919930415</c:v>
                </c:pt>
                <c:pt idx="24">
                  <c:v>243.62272523043964</c:v>
                </c:pt>
                <c:pt idx="25">
                  <c:v>257.16389069610608</c:v>
                </c:pt>
                <c:pt idx="26">
                  <c:v>232.28252085863505</c:v>
                </c:pt>
                <c:pt idx="27">
                  <c:v>249.27096374524822</c:v>
                </c:pt>
                <c:pt idx="28">
                  <c:v>266.23314955171287</c:v>
                </c:pt>
                <c:pt idx="29">
                  <c:v>283.17098652483548</c:v>
                </c:pt>
                <c:pt idx="30">
                  <c:v>300.08613592920426</c:v>
                </c:pt>
                <c:pt idx="31">
                  <c:v>316.98005642844515</c:v>
                </c:pt>
                <c:pt idx="32">
                  <c:v>333.85403850202016</c:v>
                </c:pt>
                <c:pt idx="33">
                  <c:v>350.70923153555435</c:v>
                </c:pt>
                <c:pt idx="34">
                  <c:v>367.54666542857058</c:v>
                </c:pt>
                <c:pt idx="35">
                  <c:v>384.36726803458515</c:v>
                </c:pt>
                <c:pt idx="36">
                  <c:v>341.96801334477124</c:v>
                </c:pt>
                <c:pt idx="37">
                  <c:v>362.21889944230844</c:v>
                </c:pt>
                <c:pt idx="38">
                  <c:v>382.44504445007607</c:v>
                </c:pt>
                <c:pt idx="39">
                  <c:v>402.64794016892546</c:v>
                </c:pt>
                <c:pt idx="40">
                  <c:v>422.8289165487779</c:v>
                </c:pt>
                <c:pt idx="41">
                  <c:v>442.9891662937448</c:v>
                </c:pt>
                <c:pt idx="42">
                  <c:v>463.12976475462921</c:v>
                </c:pt>
                <c:pt idx="43">
                  <c:v>483.25168618114122</c:v>
                </c:pt>
                <c:pt idx="44">
                  <c:v>503.35581712680488</c:v>
                </c:pt>
                <c:pt idx="45">
                  <c:v>523.44296760141981</c:v>
                </c:pt>
                <c:pt idx="46">
                  <c:v>461.5651645680062</c:v>
                </c:pt>
                <c:pt idx="47">
                  <c:v>485.07141016601082</c:v>
                </c:pt>
                <c:pt idx="48">
                  <c:v>508.55347835798051</c:v>
                </c:pt>
                <c:pt idx="49">
                  <c:v>532.01264143201831</c:v>
                </c:pt>
                <c:pt idx="50">
                  <c:v>555.45005042837022</c:v>
                </c:pt>
                <c:pt idx="51">
                  <c:v>578.86675142549791</c:v>
                </c:pt>
                <c:pt idx="52">
                  <c:v>602.26369905530157</c:v>
                </c:pt>
                <c:pt idx="53">
                  <c:v>625.64176781032029</c:v>
                </c:pt>
                <c:pt idx="54">
                  <c:v>649.00176157425824</c:v>
                </c:pt>
                <c:pt idx="55">
                  <c:v>672.34442171012915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2.2968493907960883</c:v>
                </c:pt>
                <c:pt idx="2">
                  <c:v>3.0460985772796825</c:v>
                </c:pt>
                <c:pt idx="3">
                  <c:v>4.0407653018897332</c:v>
                </c:pt>
                <c:pt idx="4">
                  <c:v>5.3615470481186875</c:v>
                </c:pt>
                <c:pt idx="5">
                  <c:v>7.1157714588558214</c:v>
                </c:pt>
                <c:pt idx="6">
                  <c:v>9.4462134984446582</c:v>
                </c:pt>
                <c:pt idx="7">
                  <c:v>12.542840858315394</c:v>
                </c:pt>
                <c:pt idx="8">
                  <c:v>16.658462805085517</c:v>
                </c:pt>
                <c:pt idx="9">
                  <c:v>22.129583263073584</c:v>
                </c:pt>
                <c:pt idx="10">
                  <c:v>29.404193471083619</c:v>
                </c:pt>
                <c:pt idx="11">
                  <c:v>39.078819590955874</c:v>
                </c:pt>
                <c:pt idx="12">
                  <c:v>51.947914981001276</c:v>
                </c:pt>
                <c:pt idx="13">
                  <c:v>69.069720692517336</c:v>
                </c:pt>
                <c:pt idx="14">
                  <c:v>91.854098238288529</c:v>
                </c:pt>
                <c:pt idx="15">
                  <c:v>122.17968226184944</c:v>
                </c:pt>
                <c:pt idx="16">
                  <c:v>113.95272160800296</c:v>
                </c:pt>
                <c:pt idx="17">
                  <c:v>125.56970461952518</c:v>
                </c:pt>
                <c:pt idx="18">
                  <c:v>137.16061188422088</c:v>
                </c:pt>
                <c:pt idx="19">
                  <c:v>148.72795998116825</c:v>
                </c:pt>
                <c:pt idx="20">
                  <c:v>160.27384127523817</c:v>
                </c:pt>
                <c:pt idx="21">
                  <c:v>171.80002152912917</c:v>
                </c:pt>
                <c:pt idx="22">
                  <c:v>183.30800986705376</c:v>
                </c:pt>
                <c:pt idx="23">
                  <c:v>194.79911020309638</c:v>
                </c:pt>
                <c:pt idx="24">
                  <c:v>206.27445987190004</c:v>
                </c:pt>
                <c:pt idx="25">
                  <c:v>217.73505919620777</c:v>
                </c:pt>
                <c:pt idx="26">
                  <c:v>196.67646968355916</c:v>
                </c:pt>
                <c:pt idx="27">
                  <c:v>211.05488839971338</c:v>
                </c:pt>
                <c:pt idx="28">
                  <c:v>225.4107247130687</c:v>
                </c:pt>
                <c:pt idx="29">
                  <c:v>239.74561981136495</c:v>
                </c:pt>
                <c:pt idx="30">
                  <c:v>254.06100246527566</c:v>
                </c:pt>
                <c:pt idx="31">
                  <c:v>268.35812719850861</c:v>
                </c:pt>
                <c:pt idx="32">
                  <c:v>282.63810388797543</c:v>
                </c:pt>
                <c:pt idx="33">
                  <c:v>296.90192106282717</c:v>
                </c:pt>
                <c:pt idx="34">
                  <c:v>311.15046448818856</c:v>
                </c:pt>
                <c:pt idx="35">
                  <c:v>325.38453216451211</c:v>
                </c:pt>
                <c:pt idx="36">
                  <c:v>289.50463952496187</c:v>
                </c:pt>
                <c:pt idx="37">
                  <c:v>306.6419109634727</c:v>
                </c:pt>
                <c:pt idx="38">
                  <c:v>323.75790382676848</c:v>
                </c:pt>
                <c:pt idx="39">
                  <c:v>340.85390113822956</c:v>
                </c:pt>
                <c:pt idx="40">
                  <c:v>357.93104672133722</c:v>
                </c:pt>
                <c:pt idx="41">
                  <c:v>374.99036636130859</c:v>
                </c:pt>
                <c:pt idx="42">
                  <c:v>392.03278491364375</c:v>
                </c:pt>
                <c:pt idx="43">
                  <c:v>409.05914028184338</c:v>
                </c:pt>
                <c:pt idx="44">
                  <c:v>426.07019494630009</c:v>
                </c:pt>
                <c:pt idx="45">
                  <c:v>443.06664555597359</c:v>
                </c:pt>
                <c:pt idx="46">
                  <c:v>390.7088728727893</c:v>
                </c:pt>
                <c:pt idx="47">
                  <c:v>410.59890468820385</c:v>
                </c:pt>
                <c:pt idx="48">
                  <c:v>430.4681427246212</c:v>
                </c:pt>
                <c:pt idx="49">
                  <c:v>450.31768121347403</c:v>
                </c:pt>
                <c:pt idx="50">
                  <c:v>470.14851010697026</c:v>
                </c:pt>
                <c:pt idx="51">
                  <c:v>489.96152908493178</c:v>
                </c:pt>
                <c:pt idx="52">
                  <c:v>509.75755917856105</c:v>
                </c:pt>
                <c:pt idx="53">
                  <c:v>529.53735249520003</c:v>
                </c:pt>
                <c:pt idx="54">
                  <c:v>549.30160041505997</c:v>
                </c:pt>
                <c:pt idx="55">
                  <c:v>569.05094054742926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309" t="s">
        <v>291</v>
      </c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</row>
    <row r="13" spans="2:13" ht="15" customHeight="1" x14ac:dyDescent="0.2">
      <c r="B13" s="309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</row>
    <row r="14" spans="2:13" ht="15" customHeight="1" x14ac:dyDescent="0.2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</row>
    <row r="15" spans="2:13" ht="18.75" customHeight="1" x14ac:dyDescent="0.2">
      <c r="B15" s="309"/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</row>
    <row r="16" spans="2:13" ht="18.75" customHeight="1" x14ac:dyDescent="0.2"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</row>
    <row r="18" spans="2:13" ht="12" customHeight="1" x14ac:dyDescent="0.2">
      <c r="B18" s="309" t="s">
        <v>292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</row>
    <row r="19" spans="2:13" ht="12" customHeight="1" x14ac:dyDescent="0.2"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</row>
    <row r="20" spans="2:13" ht="12" customHeight="1" x14ac:dyDescent="0.2">
      <c r="B20" s="309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</row>
    <row r="21" spans="2:13" ht="12" customHeight="1" x14ac:dyDescent="0.2">
      <c r="B21" s="309"/>
      <c r="C21" s="309"/>
      <c r="D21" s="309"/>
      <c r="E21" s="309"/>
      <c r="F21" s="309"/>
      <c r="G21" s="309"/>
      <c r="H21" s="309"/>
      <c r="I21" s="309"/>
      <c r="J21" s="309"/>
      <c r="K21" s="309"/>
      <c r="L21" s="309"/>
      <c r="M21" s="309"/>
    </row>
    <row r="22" spans="2:13" ht="12" customHeight="1" x14ac:dyDescent="0.2"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</row>
    <row r="23" spans="2:13" ht="12" customHeight="1" x14ac:dyDescent="0.2"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</row>
    <row r="24" spans="2:13" ht="12" customHeight="1" x14ac:dyDescent="0.2"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</row>
    <row r="25" spans="2:13" ht="12" customHeight="1" x14ac:dyDescent="0.2"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</row>
    <row r="26" spans="2:13" ht="12" customHeight="1" x14ac:dyDescent="0.2"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</row>
    <row r="27" spans="2:13" ht="12" customHeight="1" x14ac:dyDescent="0.2"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</row>
    <row r="28" spans="2:13" ht="12" customHeight="1" x14ac:dyDescent="0.2"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</row>
    <row r="29" spans="2:13" ht="12" customHeight="1" x14ac:dyDescent="0.2"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</row>
    <row r="30" spans="2:13" ht="12" customHeight="1" x14ac:dyDescent="0.2"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</row>
    <row r="31" spans="2:13" ht="12" customHeight="1" x14ac:dyDescent="0.2">
      <c r="B31" s="309"/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4" zoomScale="80" zoomScaleNormal="80" workbookViewId="0">
      <selection activeCell="N124" sqref="N124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314" t="s">
        <v>190</v>
      </c>
      <c r="D1" s="314"/>
      <c r="E1" s="31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315" t="s">
        <v>192</v>
      </c>
      <c r="C3" s="316"/>
      <c r="D3" s="316"/>
      <c r="E3" s="316"/>
      <c r="F3" s="317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21" t="s">
        <v>231</v>
      </c>
      <c r="B5" s="321"/>
      <c r="C5" s="26">
        <v>12.73</v>
      </c>
      <c r="D5" s="322" t="s">
        <v>229</v>
      </c>
      <c r="E5" s="323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19" t="s">
        <v>226</v>
      </c>
      <c r="B7" s="319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0.56899999999999995</v>
      </c>
      <c r="D9" s="36">
        <f t="shared" ref="D9:D18" si="0">C9*$C$5</f>
        <v>7.2433699999999996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27</v>
      </c>
      <c r="C10" s="35">
        <v>0.32700000000000001</v>
      </c>
      <c r="D10" s="36">
        <f>C10*$C$5</f>
        <v>4.1627100000000006</v>
      </c>
      <c r="E10" s="37">
        <v>78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8</v>
      </c>
      <c r="C11" s="35">
        <v>7.8E-2</v>
      </c>
      <c r="D11" s="36">
        <f t="shared" si="0"/>
        <v>0.99294000000000004</v>
      </c>
      <c r="E11" s="37">
        <v>55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22</v>
      </c>
      <c r="C12" s="35">
        <v>1.3000000000000067E-2</v>
      </c>
      <c r="D12" s="36">
        <f t="shared" si="0"/>
        <v>0.16549000000000086</v>
      </c>
      <c r="E12" s="37">
        <v>55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50</v>
      </c>
      <c r="C13" s="35">
        <v>1.3000000000000067E-2</v>
      </c>
      <c r="D13" s="36">
        <f t="shared" si="0"/>
        <v>0.16549000000000086</v>
      </c>
      <c r="E13" s="37">
        <v>55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12.73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18" t="s">
        <v>232</v>
      </c>
      <c r="B22" s="318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20" t="s">
        <v>227</v>
      </c>
      <c r="B30" s="320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C32" s="25">
        <v>1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310" t="s">
        <v>186</v>
      </c>
      <c r="D34" s="310"/>
      <c r="E34" s="311" t="s">
        <v>187</v>
      </c>
      <c r="F34" s="312"/>
      <c r="G34" s="312"/>
      <c r="H34" s="313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292">
        <v>15</v>
      </c>
      <c r="B36" s="292">
        <v>162</v>
      </c>
      <c r="C36" s="293">
        <v>0</v>
      </c>
      <c r="D36" s="294">
        <v>0</v>
      </c>
      <c r="E36" s="295">
        <v>0</v>
      </c>
      <c r="F36" s="295">
        <f>0.56</f>
        <v>0.56000000000000005</v>
      </c>
      <c r="G36" s="295">
        <f>0.44</f>
        <v>0.44</v>
      </c>
      <c r="H36" s="295">
        <v>0</v>
      </c>
      <c r="I36" s="52">
        <f>IFERROR(B36/A36,"")</f>
        <v>10.8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292">
        <v>20</v>
      </c>
      <c r="B37" s="292">
        <v>303</v>
      </c>
      <c r="C37" s="296">
        <v>1</v>
      </c>
      <c r="D37" s="292">
        <v>43</v>
      </c>
      <c r="E37" s="295">
        <v>0</v>
      </c>
      <c r="F37" s="295">
        <f>0.56</f>
        <v>0.56000000000000005</v>
      </c>
      <c r="G37" s="295">
        <v>0.44</v>
      </c>
      <c r="H37" s="295">
        <v>0</v>
      </c>
      <c r="I37" s="56">
        <f t="shared" ref="I37:I55" si="1">IF(A37&lt;&gt;0,(B37-(B36-D36))/(A37-A36),"")</f>
        <v>28.2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292">
        <v>25</v>
      </c>
      <c r="B38" s="292">
        <v>419</v>
      </c>
      <c r="C38" s="296">
        <v>2</v>
      </c>
      <c r="D38" s="292">
        <v>60</v>
      </c>
      <c r="E38" s="295">
        <v>0.7</v>
      </c>
      <c r="F38" s="295">
        <f>0.3*0.56</f>
        <v>0.16800000000000001</v>
      </c>
      <c r="G38" s="295">
        <f>0.3*0.44</f>
        <v>0.13200000000000001</v>
      </c>
      <c r="H38" s="295">
        <v>0</v>
      </c>
      <c r="I38" s="56">
        <f t="shared" si="1"/>
        <v>31.8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292">
        <v>30</v>
      </c>
      <c r="B39" s="292">
        <v>524</v>
      </c>
      <c r="C39" s="296">
        <v>3</v>
      </c>
      <c r="D39" s="292">
        <v>90</v>
      </c>
      <c r="E39" s="295">
        <v>0.7</v>
      </c>
      <c r="F39" s="295">
        <f t="shared" ref="F39:F46" si="2">0.3*0.56</f>
        <v>0.16800000000000001</v>
      </c>
      <c r="G39" s="295">
        <f t="shared" ref="G39:G46" si="3">0.3*0.44</f>
        <v>0.13200000000000001</v>
      </c>
      <c r="H39" s="295">
        <v>0</v>
      </c>
      <c r="I39" s="52">
        <f t="shared" si="1"/>
        <v>33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292">
        <v>35</v>
      </c>
      <c r="B40" s="292">
        <v>576</v>
      </c>
      <c r="C40" s="296">
        <v>4</v>
      </c>
      <c r="D40" s="292">
        <v>72</v>
      </c>
      <c r="E40" s="295">
        <v>0.7</v>
      </c>
      <c r="F40" s="295">
        <f t="shared" si="2"/>
        <v>0.16800000000000001</v>
      </c>
      <c r="G40" s="295">
        <f t="shared" si="3"/>
        <v>0.13200000000000001</v>
      </c>
      <c r="H40" s="295">
        <v>0</v>
      </c>
      <c r="I40" s="52">
        <f t="shared" si="1"/>
        <v>28.4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292">
        <v>40</v>
      </c>
      <c r="B41" s="292">
        <v>639</v>
      </c>
      <c r="C41" s="296">
        <v>5</v>
      </c>
      <c r="D41" s="292">
        <v>77</v>
      </c>
      <c r="E41" s="295">
        <v>0.7</v>
      </c>
      <c r="F41" s="295">
        <f t="shared" si="2"/>
        <v>0.16800000000000001</v>
      </c>
      <c r="G41" s="295">
        <f t="shared" si="3"/>
        <v>0.13200000000000001</v>
      </c>
      <c r="H41" s="295">
        <v>0</v>
      </c>
      <c r="I41" s="56">
        <f t="shared" si="1"/>
        <v>27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292">
        <v>45</v>
      </c>
      <c r="B42" s="292">
        <v>686</v>
      </c>
      <c r="C42" s="296">
        <v>6</v>
      </c>
      <c r="D42" s="292">
        <v>64</v>
      </c>
      <c r="E42" s="295">
        <v>0.7</v>
      </c>
      <c r="F42" s="295">
        <f t="shared" si="2"/>
        <v>0.16800000000000001</v>
      </c>
      <c r="G42" s="295">
        <f t="shared" si="3"/>
        <v>0.13200000000000001</v>
      </c>
      <c r="H42" s="295">
        <v>0</v>
      </c>
      <c r="I42" s="56">
        <f t="shared" si="1"/>
        <v>24.8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92">
        <v>50</v>
      </c>
      <c r="B43" s="292">
        <v>724</v>
      </c>
      <c r="C43" s="296">
        <v>7</v>
      </c>
      <c r="D43" s="292">
        <v>62</v>
      </c>
      <c r="E43" s="295">
        <v>0.7</v>
      </c>
      <c r="F43" s="295">
        <f t="shared" si="2"/>
        <v>0.16800000000000001</v>
      </c>
      <c r="G43" s="295">
        <f t="shared" si="3"/>
        <v>0.13200000000000001</v>
      </c>
      <c r="H43" s="295">
        <v>0</v>
      </c>
      <c r="I43" s="52">
        <f t="shared" si="1"/>
        <v>20.399999999999999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92">
        <v>55</v>
      </c>
      <c r="B44" s="292">
        <v>739</v>
      </c>
      <c r="C44" s="296">
        <v>8</v>
      </c>
      <c r="D44" s="292">
        <v>46</v>
      </c>
      <c r="E44" s="295">
        <v>0.7</v>
      </c>
      <c r="F44" s="295">
        <f t="shared" si="2"/>
        <v>0.16800000000000001</v>
      </c>
      <c r="G44" s="295">
        <f t="shared" si="3"/>
        <v>0.13200000000000001</v>
      </c>
      <c r="H44" s="295">
        <v>0</v>
      </c>
      <c r="I44" s="52">
        <f t="shared" si="1"/>
        <v>15.4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92">
        <v>60</v>
      </c>
      <c r="B45" s="292">
        <v>754</v>
      </c>
      <c r="C45" s="307">
        <v>9</v>
      </c>
      <c r="D45" s="292">
        <v>35</v>
      </c>
      <c r="E45" s="295">
        <v>0.7</v>
      </c>
      <c r="F45" s="295">
        <f t="shared" si="2"/>
        <v>0.16800000000000001</v>
      </c>
      <c r="G45" s="295">
        <f t="shared" si="3"/>
        <v>0.13200000000000001</v>
      </c>
      <c r="H45" s="295">
        <v>0</v>
      </c>
      <c r="I45" s="52">
        <f t="shared" si="1"/>
        <v>12.2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92">
        <v>65</v>
      </c>
      <c r="B46" s="292">
        <v>769</v>
      </c>
      <c r="C46" s="296" t="s">
        <v>324</v>
      </c>
      <c r="D46" s="292">
        <f>740+29</f>
        <v>769</v>
      </c>
      <c r="E46" s="295">
        <v>0.7</v>
      </c>
      <c r="F46" s="295">
        <f t="shared" si="2"/>
        <v>0.16800000000000001</v>
      </c>
      <c r="G46" s="295">
        <f t="shared" si="3"/>
        <v>0.13200000000000001</v>
      </c>
      <c r="H46" s="295">
        <v>0</v>
      </c>
      <c r="I46" s="52">
        <f t="shared" si="1"/>
        <v>10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d'Europe</v>
      </c>
      <c r="C58" s="25">
        <v>1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310" t="s">
        <v>186</v>
      </c>
      <c r="D60" s="310"/>
      <c r="E60" s="311" t="s">
        <v>187</v>
      </c>
      <c r="F60" s="312"/>
      <c r="G60" s="312"/>
      <c r="H60" s="313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292">
        <v>12</v>
      </c>
      <c r="B62" s="292">
        <v>103</v>
      </c>
      <c r="C62" s="297">
        <v>0</v>
      </c>
      <c r="D62" s="292">
        <v>0</v>
      </c>
      <c r="E62" s="295">
        <v>0</v>
      </c>
      <c r="F62" s="295">
        <f>0.56</f>
        <v>0.56000000000000005</v>
      </c>
      <c r="G62" s="295">
        <f>0.44</f>
        <v>0.44</v>
      </c>
      <c r="H62" s="295">
        <v>0</v>
      </c>
      <c r="I62" s="56">
        <f>IFERROR(B62/A62,"")</f>
        <v>8.5833333333333339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292">
        <v>18</v>
      </c>
      <c r="B63" s="292">
        <v>262</v>
      </c>
      <c r="C63" s="298">
        <v>0</v>
      </c>
      <c r="D63" s="292">
        <v>0</v>
      </c>
      <c r="E63" s="295">
        <v>0</v>
      </c>
      <c r="F63" s="295">
        <f>0.56</f>
        <v>0.56000000000000005</v>
      </c>
      <c r="G63" s="295">
        <v>0.44</v>
      </c>
      <c r="H63" s="295">
        <v>0</v>
      </c>
      <c r="I63" s="52">
        <f>IF(A63&lt;&gt;0,(B63-(B62-D62))/(A63-A62),"")</f>
        <v>26.5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292">
        <v>24</v>
      </c>
      <c r="B64" s="292">
        <v>423</v>
      </c>
      <c r="C64" s="298">
        <v>0</v>
      </c>
      <c r="D64" s="292">
        <v>0</v>
      </c>
      <c r="E64" s="295">
        <v>0.7</v>
      </c>
      <c r="F64" s="295">
        <f>0.3*0.56</f>
        <v>0.16800000000000001</v>
      </c>
      <c r="G64" s="295">
        <f>0.3*0.44</f>
        <v>0.13200000000000001</v>
      </c>
      <c r="H64" s="295">
        <v>0</v>
      </c>
      <c r="I64" s="52">
        <f>IF(A64&lt;&gt;0,(B64-(B63-D63))/(A64-A63),"")</f>
        <v>26.833333333333332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292">
        <v>30</v>
      </c>
      <c r="B65" s="292">
        <v>583</v>
      </c>
      <c r="C65" s="298">
        <v>1</v>
      </c>
      <c r="D65" s="292">
        <v>107</v>
      </c>
      <c r="E65" s="295">
        <v>0.7</v>
      </c>
      <c r="F65" s="295">
        <f t="shared" ref="F65:F73" si="4">0.3*0.56</f>
        <v>0.16800000000000001</v>
      </c>
      <c r="G65" s="295">
        <f t="shared" ref="G65:G73" si="5">0.3*0.44</f>
        <v>0.13200000000000001</v>
      </c>
      <c r="H65" s="295">
        <v>0</v>
      </c>
      <c r="I65" s="52">
        <f>IF(A65&lt;&gt;0,(B65-(B64-D64))/(A65-A64),"")</f>
        <v>26.666666666666668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292">
        <v>36</v>
      </c>
      <c r="B66" s="292">
        <v>621</v>
      </c>
      <c r="C66" s="298">
        <v>2</v>
      </c>
      <c r="D66" s="292">
        <v>119</v>
      </c>
      <c r="E66" s="295">
        <v>0.7</v>
      </c>
      <c r="F66" s="295">
        <f t="shared" si="4"/>
        <v>0.16800000000000001</v>
      </c>
      <c r="G66" s="295">
        <f t="shared" si="5"/>
        <v>0.13200000000000001</v>
      </c>
      <c r="H66" s="295">
        <v>0</v>
      </c>
      <c r="I66" s="52">
        <f t="shared" ref="I66:I81" si="6">IF(A66&lt;&gt;0,(B66-(B65-D65))/(A66-A65),"")</f>
        <v>24.166666666666668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292">
        <v>42</v>
      </c>
      <c r="B67" s="292">
        <v>615</v>
      </c>
      <c r="C67" s="298">
        <v>3</v>
      </c>
      <c r="D67" s="292">
        <v>121</v>
      </c>
      <c r="E67" s="295">
        <v>0.7</v>
      </c>
      <c r="F67" s="295">
        <f t="shared" si="4"/>
        <v>0.16800000000000001</v>
      </c>
      <c r="G67" s="295">
        <f t="shared" si="5"/>
        <v>0.13200000000000001</v>
      </c>
      <c r="H67" s="295">
        <v>0</v>
      </c>
      <c r="I67" s="52">
        <f t="shared" si="6"/>
        <v>18.833333333333332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292">
        <v>48</v>
      </c>
      <c r="B68" s="292">
        <v>600</v>
      </c>
      <c r="C68" s="298">
        <v>4</v>
      </c>
      <c r="D68" s="292">
        <v>123</v>
      </c>
      <c r="E68" s="295">
        <v>0.7</v>
      </c>
      <c r="F68" s="295">
        <f t="shared" si="4"/>
        <v>0.16800000000000001</v>
      </c>
      <c r="G68" s="295">
        <f t="shared" si="5"/>
        <v>0.13200000000000001</v>
      </c>
      <c r="H68" s="295">
        <v>0</v>
      </c>
      <c r="I68" s="52">
        <f t="shared" si="6"/>
        <v>17.666666666666668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292">
        <v>54</v>
      </c>
      <c r="B69" s="292">
        <v>573</v>
      </c>
      <c r="C69" s="298">
        <v>5</v>
      </c>
      <c r="D69" s="292">
        <v>119</v>
      </c>
      <c r="E69" s="295">
        <v>0.7</v>
      </c>
      <c r="F69" s="295">
        <f t="shared" si="4"/>
        <v>0.16800000000000001</v>
      </c>
      <c r="G69" s="295">
        <f t="shared" si="5"/>
        <v>0.13200000000000001</v>
      </c>
      <c r="H69" s="295">
        <v>0</v>
      </c>
      <c r="I69" s="52">
        <f t="shared" si="6"/>
        <v>16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292">
        <v>60</v>
      </c>
      <c r="B70" s="292">
        <v>534</v>
      </c>
      <c r="C70" s="298">
        <v>6</v>
      </c>
      <c r="D70" s="292">
        <v>112</v>
      </c>
      <c r="E70" s="295">
        <v>0.7</v>
      </c>
      <c r="F70" s="295">
        <f t="shared" si="4"/>
        <v>0.16800000000000001</v>
      </c>
      <c r="G70" s="295">
        <f t="shared" si="5"/>
        <v>0.13200000000000001</v>
      </c>
      <c r="H70" s="295">
        <v>0</v>
      </c>
      <c r="I70" s="52">
        <f t="shared" si="6"/>
        <v>13.333333333333334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292">
        <v>66</v>
      </c>
      <c r="B71" s="292">
        <v>502</v>
      </c>
      <c r="C71" s="298">
        <v>7</v>
      </c>
      <c r="D71" s="292">
        <v>109</v>
      </c>
      <c r="E71" s="295">
        <v>0.7</v>
      </c>
      <c r="F71" s="295">
        <f t="shared" si="4"/>
        <v>0.16800000000000001</v>
      </c>
      <c r="G71" s="295">
        <f t="shared" si="5"/>
        <v>0.13200000000000001</v>
      </c>
      <c r="H71" s="295">
        <v>0</v>
      </c>
      <c r="I71" s="52">
        <f t="shared" si="6"/>
        <v>13.333333333333334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292">
        <v>72</v>
      </c>
      <c r="B72" s="292">
        <v>463</v>
      </c>
      <c r="C72" s="298">
        <v>8</v>
      </c>
      <c r="D72" s="292">
        <v>101</v>
      </c>
      <c r="E72" s="295">
        <v>0.7</v>
      </c>
      <c r="F72" s="295">
        <f t="shared" si="4"/>
        <v>0.16800000000000001</v>
      </c>
      <c r="G72" s="295">
        <f t="shared" si="5"/>
        <v>0.13200000000000001</v>
      </c>
      <c r="H72" s="295">
        <v>0</v>
      </c>
      <c r="I72" s="52">
        <f t="shared" si="6"/>
        <v>11.666666666666666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292">
        <v>78</v>
      </c>
      <c r="B73" s="292">
        <v>426</v>
      </c>
      <c r="C73" s="298" t="s">
        <v>324</v>
      </c>
      <c r="D73" s="292">
        <v>426</v>
      </c>
      <c r="E73" s="295">
        <v>0.7</v>
      </c>
      <c r="F73" s="295">
        <f t="shared" si="4"/>
        <v>0.16800000000000001</v>
      </c>
      <c r="G73" s="295">
        <f t="shared" si="5"/>
        <v>0.13200000000000001</v>
      </c>
      <c r="H73" s="295">
        <v>0</v>
      </c>
      <c r="I73" s="52">
        <f t="shared" si="6"/>
        <v>10.666666666666666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6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6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6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6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6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6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6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6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Châtaignier</v>
      </c>
      <c r="C84" s="25">
        <v>2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310" t="s">
        <v>186</v>
      </c>
      <c r="D86" s="310"/>
      <c r="E86" s="311" t="s">
        <v>187</v>
      </c>
      <c r="F86" s="312"/>
      <c r="G86" s="312"/>
      <c r="H86" s="313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299">
        <v>15</v>
      </c>
      <c r="B88" s="300">
        <v>120</v>
      </c>
      <c r="C88" s="301">
        <v>1</v>
      </c>
      <c r="D88" s="300">
        <v>20</v>
      </c>
      <c r="E88" s="302">
        <v>0</v>
      </c>
      <c r="F88" s="302">
        <v>0</v>
      </c>
      <c r="G88" s="302">
        <v>0</v>
      </c>
      <c r="H88" s="302">
        <v>1</v>
      </c>
      <c r="I88" s="56">
        <f>IFERROR(B88/A88,"")</f>
        <v>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303">
        <v>25</v>
      </c>
      <c r="B89" s="304">
        <v>218</v>
      </c>
      <c r="C89" s="305">
        <v>2</v>
      </c>
      <c r="D89" s="304">
        <v>36</v>
      </c>
      <c r="E89" s="306">
        <v>0.7</v>
      </c>
      <c r="F89" s="306">
        <v>0</v>
      </c>
      <c r="G89" s="306">
        <v>0</v>
      </c>
      <c r="H89" s="306">
        <v>0.3</v>
      </c>
      <c r="I89" s="56">
        <f t="shared" ref="I89:I107" si="7">IF(A89&lt;&gt;0,(B89-(B88-D88))/(A89-A88),"")</f>
        <v>11.8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303">
        <v>35</v>
      </c>
      <c r="B90" s="304">
        <v>331</v>
      </c>
      <c r="C90" s="305">
        <v>3</v>
      </c>
      <c r="D90" s="304">
        <v>55</v>
      </c>
      <c r="E90" s="306">
        <v>0.7</v>
      </c>
      <c r="F90" s="306">
        <v>0</v>
      </c>
      <c r="G90" s="306">
        <v>0</v>
      </c>
      <c r="H90" s="306">
        <v>0.3</v>
      </c>
      <c r="I90" s="56">
        <f t="shared" si="7"/>
        <v>14.9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303">
        <v>45</v>
      </c>
      <c r="B91" s="304">
        <v>456</v>
      </c>
      <c r="C91" s="305">
        <v>4</v>
      </c>
      <c r="D91" s="304">
        <v>76</v>
      </c>
      <c r="E91" s="306">
        <v>0.9</v>
      </c>
      <c r="F91" s="306">
        <v>0</v>
      </c>
      <c r="G91" s="306">
        <v>0</v>
      </c>
      <c r="H91" s="306">
        <v>0.1</v>
      </c>
      <c r="I91" s="56">
        <f t="shared" si="7"/>
        <v>18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303">
        <v>55</v>
      </c>
      <c r="B92" s="304">
        <v>591</v>
      </c>
      <c r="C92" s="305" t="s">
        <v>324</v>
      </c>
      <c r="D92" s="304">
        <v>591</v>
      </c>
      <c r="E92" s="306">
        <v>0.9</v>
      </c>
      <c r="F92" s="306">
        <v>0</v>
      </c>
      <c r="G92" s="306">
        <v>0</v>
      </c>
      <c r="H92" s="306">
        <v>0.1</v>
      </c>
      <c r="I92" s="56">
        <f t="shared" si="7"/>
        <v>21.1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7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7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7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7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7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7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7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7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7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7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7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7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7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7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7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Erable plane</v>
      </c>
      <c r="C110" s="25">
        <v>4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310" t="s">
        <v>186</v>
      </c>
      <c r="D112" s="310"/>
      <c r="E112" s="311" t="s">
        <v>187</v>
      </c>
      <c r="F112" s="312"/>
      <c r="G112" s="312"/>
      <c r="H112" s="313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292">
        <v>15</v>
      </c>
      <c r="B114" s="308">
        <v>81.10499999999999</v>
      </c>
      <c r="C114" s="296">
        <v>1</v>
      </c>
      <c r="D114" s="308">
        <v>13.517499999999998</v>
      </c>
      <c r="E114" s="295">
        <v>0</v>
      </c>
      <c r="F114" s="295">
        <v>0</v>
      </c>
      <c r="G114" s="295">
        <v>0</v>
      </c>
      <c r="H114" s="295">
        <v>1</v>
      </c>
      <c r="I114" s="56">
        <f>IFERROR(B114/A114,"")</f>
        <v>5.4069999999999991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292">
        <v>25</v>
      </c>
      <c r="B115" s="308">
        <v>146.73250000000002</v>
      </c>
      <c r="C115" s="296">
        <v>2</v>
      </c>
      <c r="D115" s="308">
        <v>24.455416666666672</v>
      </c>
      <c r="E115" s="295">
        <v>0.7</v>
      </c>
      <c r="F115" s="295">
        <v>0</v>
      </c>
      <c r="G115" s="295">
        <v>0</v>
      </c>
      <c r="H115" s="295">
        <v>0.3</v>
      </c>
      <c r="I115" s="56">
        <f t="shared" ref="I115:I133" si="8">IF(A115&lt;&gt;0,(B115-(B114-D114))/(A115-A114),"")</f>
        <v>7.9145000000000021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292">
        <v>35</v>
      </c>
      <c r="B116" s="308">
        <v>221.48208333333338</v>
      </c>
      <c r="C116" s="296">
        <v>3</v>
      </c>
      <c r="D116" s="308">
        <v>36.913680555555565</v>
      </c>
      <c r="E116" s="295">
        <v>0.7</v>
      </c>
      <c r="F116" s="295">
        <v>0</v>
      </c>
      <c r="G116" s="295">
        <v>0</v>
      </c>
      <c r="H116" s="295">
        <v>0.3</v>
      </c>
      <c r="I116" s="56">
        <f t="shared" si="8"/>
        <v>9.9205000000000041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292">
        <v>45</v>
      </c>
      <c r="B117" s="308">
        <v>303.83340277777774</v>
      </c>
      <c r="C117" s="296">
        <v>4</v>
      </c>
      <c r="D117" s="308">
        <v>50.638900462962958</v>
      </c>
      <c r="E117" s="295">
        <v>0.7</v>
      </c>
      <c r="F117" s="295">
        <v>0</v>
      </c>
      <c r="G117" s="295">
        <v>0</v>
      </c>
      <c r="H117" s="295">
        <v>0.3</v>
      </c>
      <c r="I117" s="56">
        <f t="shared" si="8"/>
        <v>11.926499999999994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292">
        <v>55</v>
      </c>
      <c r="B118" s="308">
        <v>392.51950231481487</v>
      </c>
      <c r="C118" s="296" t="s">
        <v>324</v>
      </c>
      <c r="D118" s="308">
        <v>392.51950231481487</v>
      </c>
      <c r="E118" s="295">
        <v>0.7</v>
      </c>
      <c r="F118" s="295">
        <v>0</v>
      </c>
      <c r="G118" s="295">
        <v>0</v>
      </c>
      <c r="H118" s="295">
        <v>0.3</v>
      </c>
      <c r="I118" s="56">
        <f t="shared" si="8"/>
        <v>13.93250000000001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8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8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8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8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8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8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8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8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8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8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8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8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8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8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8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Tilleul</v>
      </c>
      <c r="C136" s="25">
        <v>4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310" t="s">
        <v>186</v>
      </c>
      <c r="D138" s="310"/>
      <c r="E138" s="311" t="s">
        <v>187</v>
      </c>
      <c r="F138" s="312"/>
      <c r="G138" s="312"/>
      <c r="H138" s="313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292">
        <v>15</v>
      </c>
      <c r="B140" s="308">
        <v>81.10499999999999</v>
      </c>
      <c r="C140" s="296">
        <v>1</v>
      </c>
      <c r="D140" s="308">
        <v>13.517499999999998</v>
      </c>
      <c r="E140" s="295">
        <v>0</v>
      </c>
      <c r="F140" s="295">
        <v>0</v>
      </c>
      <c r="G140" s="295">
        <v>0</v>
      </c>
      <c r="H140" s="295">
        <v>1</v>
      </c>
      <c r="I140" s="60">
        <f>IFERROR(B140/A140,"")</f>
        <v>5.4069999999999991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292">
        <v>25</v>
      </c>
      <c r="B141" s="308">
        <v>146.73250000000002</v>
      </c>
      <c r="C141" s="296">
        <v>2</v>
      </c>
      <c r="D141" s="308">
        <v>24.455416666666672</v>
      </c>
      <c r="E141" s="295">
        <v>0.7</v>
      </c>
      <c r="F141" s="295">
        <v>0</v>
      </c>
      <c r="G141" s="295">
        <v>0</v>
      </c>
      <c r="H141" s="295">
        <v>0.3</v>
      </c>
      <c r="I141" s="60">
        <f t="shared" ref="I141:I159" si="9">IF(A141&lt;&gt;0,(B141-(B140-D140))/(A141-A140),"")</f>
        <v>7.9145000000000021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292">
        <v>35</v>
      </c>
      <c r="B142" s="308">
        <v>221.48208333333338</v>
      </c>
      <c r="C142" s="296">
        <v>3</v>
      </c>
      <c r="D142" s="308">
        <v>36.913680555555565</v>
      </c>
      <c r="E142" s="295">
        <v>0.7</v>
      </c>
      <c r="F142" s="295">
        <v>0</v>
      </c>
      <c r="G142" s="295">
        <v>0</v>
      </c>
      <c r="H142" s="295">
        <v>0.3</v>
      </c>
      <c r="I142" s="60">
        <f t="shared" si="9"/>
        <v>9.9205000000000041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292">
        <v>45</v>
      </c>
      <c r="B143" s="308">
        <v>303.83340277777774</v>
      </c>
      <c r="C143" s="296">
        <v>4</v>
      </c>
      <c r="D143" s="308">
        <v>50.638900462962958</v>
      </c>
      <c r="E143" s="295">
        <v>0.7</v>
      </c>
      <c r="F143" s="295">
        <v>0</v>
      </c>
      <c r="G143" s="295">
        <v>0</v>
      </c>
      <c r="H143" s="295">
        <v>0.3</v>
      </c>
      <c r="I143" s="60">
        <f t="shared" si="9"/>
        <v>11.926499999999994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292">
        <v>55</v>
      </c>
      <c r="B144" s="308">
        <v>392.51950231481487</v>
      </c>
      <c r="C144" s="296" t="s">
        <v>324</v>
      </c>
      <c r="D144" s="308">
        <v>392.51950231481487</v>
      </c>
      <c r="E144" s="295">
        <v>0.7</v>
      </c>
      <c r="F144" s="295">
        <v>0</v>
      </c>
      <c r="G144" s="295">
        <v>0</v>
      </c>
      <c r="H144" s="295">
        <v>0.3</v>
      </c>
      <c r="I144" s="60">
        <f t="shared" si="9"/>
        <v>13.93250000000001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9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9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9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9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9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9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9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9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9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9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9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9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9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9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310" t="s">
        <v>186</v>
      </c>
      <c r="D164" s="310"/>
      <c r="E164" s="311" t="s">
        <v>187</v>
      </c>
      <c r="F164" s="312"/>
      <c r="G164" s="312"/>
      <c r="H164" s="313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10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10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10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10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10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10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10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10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10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10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10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10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10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10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10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10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10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10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10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310" t="s">
        <v>186</v>
      </c>
      <c r="D190" s="310"/>
      <c r="E190" s="311" t="s">
        <v>187</v>
      </c>
      <c r="F190" s="312"/>
      <c r="G190" s="312"/>
      <c r="H190" s="313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11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11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11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11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11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11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11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11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11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11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11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11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11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11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11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11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11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11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11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310" t="s">
        <v>186</v>
      </c>
      <c r="D216" s="310"/>
      <c r="E216" s="311" t="s">
        <v>187</v>
      </c>
      <c r="F216" s="312"/>
      <c r="G216" s="312"/>
      <c r="H216" s="313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2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2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2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2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2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2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2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2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2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2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2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2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12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2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2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2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2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2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2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310" t="s">
        <v>186</v>
      </c>
      <c r="D242" s="310"/>
      <c r="E242" s="311" t="s">
        <v>187</v>
      </c>
      <c r="F242" s="312"/>
      <c r="G242" s="312"/>
      <c r="H242" s="313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3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3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3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3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3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3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3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3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3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3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3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3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3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3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3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3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3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310" t="s">
        <v>186</v>
      </c>
      <c r="D268" s="310"/>
      <c r="E268" s="311" t="s">
        <v>187</v>
      </c>
      <c r="F268" s="312"/>
      <c r="G268" s="312"/>
      <c r="H268" s="313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4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4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4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4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4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4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4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4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4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4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4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4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4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4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4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4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4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4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25" t="s">
        <v>191</v>
      </c>
      <c r="C2" s="326"/>
      <c r="D2" s="326"/>
      <c r="E2" s="326"/>
      <c r="F2" s="326"/>
      <c r="G2" s="32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24"/>
      <c r="C4" s="324"/>
      <c r="D4" s="324"/>
      <c r="E4" s="324"/>
      <c r="F4" s="324"/>
      <c r="G4" s="32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31" t="s">
        <v>176</v>
      </c>
      <c r="C1" s="332"/>
      <c r="D1" s="332"/>
      <c r="E1" s="332"/>
      <c r="F1" s="332"/>
      <c r="G1" s="332"/>
      <c r="H1" s="333"/>
      <c r="I1" s="328" t="str">
        <f>IF('Données projet'!$B$9="","",'Données projet'!$B$9)</f>
        <v>Douglas</v>
      </c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30"/>
      <c r="AD1" s="329" t="str">
        <f>IF('Données projet'!$B$10="","",'Données projet'!$B$10)</f>
        <v>Mélèze d'Europe</v>
      </c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30"/>
      <c r="AY1" s="328" t="str">
        <f>IF('Données projet'!$B$11="","",'Données projet'!$B$11)</f>
        <v>Châtaignier</v>
      </c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30"/>
      <c r="BT1" s="328" t="str">
        <f>IF('Données projet'!$B$12="","",'Données projet'!$B$12)</f>
        <v>Erable plane</v>
      </c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329"/>
      <c r="CL1" s="329"/>
      <c r="CM1" s="329"/>
      <c r="CN1" s="330"/>
      <c r="CO1" s="328" t="str">
        <f>IF('Données projet'!$B$13="","",'Données projet'!$B$13)</f>
        <v>Tilleul</v>
      </c>
      <c r="CP1" s="329"/>
      <c r="CQ1" s="329"/>
      <c r="CR1" s="329"/>
      <c r="CS1" s="329"/>
      <c r="CT1" s="329"/>
      <c r="CU1" s="329"/>
      <c r="CV1" s="329"/>
      <c r="CW1" s="329"/>
      <c r="CX1" s="329"/>
      <c r="CY1" s="329"/>
      <c r="CZ1" s="329"/>
      <c r="DA1" s="329"/>
      <c r="DB1" s="329"/>
      <c r="DC1" s="329"/>
      <c r="DD1" s="329"/>
      <c r="DE1" s="329"/>
      <c r="DF1" s="329"/>
      <c r="DG1" s="329"/>
      <c r="DH1" s="329"/>
      <c r="DI1" s="330"/>
      <c r="DJ1" s="328" t="str">
        <f>IF('Données projet'!$B$14="","",'Données projet'!$B$14)</f>
        <v/>
      </c>
      <c r="DK1" s="329"/>
      <c r="DL1" s="329"/>
      <c r="DM1" s="329"/>
      <c r="DN1" s="329"/>
      <c r="DO1" s="329"/>
      <c r="DP1" s="329"/>
      <c r="DQ1" s="329"/>
      <c r="DR1" s="329"/>
      <c r="DS1" s="329"/>
      <c r="DT1" s="329"/>
      <c r="DU1" s="329"/>
      <c r="DV1" s="329"/>
      <c r="DW1" s="329"/>
      <c r="DX1" s="329"/>
      <c r="DY1" s="329"/>
      <c r="DZ1" s="329"/>
      <c r="EA1" s="329"/>
      <c r="EB1" s="329"/>
      <c r="EC1" s="329"/>
      <c r="ED1" s="330"/>
      <c r="EE1" s="328" t="str">
        <f>IF('Données projet'!$B$15="","",'Données projet'!$B$15)</f>
        <v/>
      </c>
      <c r="EF1" s="329"/>
      <c r="EG1" s="329"/>
      <c r="EH1" s="329"/>
      <c r="EI1" s="329"/>
      <c r="EJ1" s="329"/>
      <c r="EK1" s="329"/>
      <c r="EL1" s="329"/>
      <c r="EM1" s="329"/>
      <c r="EN1" s="329"/>
      <c r="EO1" s="329"/>
      <c r="EP1" s="329"/>
      <c r="EQ1" s="329"/>
      <c r="ER1" s="329"/>
      <c r="ES1" s="329"/>
      <c r="ET1" s="329"/>
      <c r="EU1" s="329"/>
      <c r="EV1" s="329"/>
      <c r="EW1" s="329"/>
      <c r="EX1" s="329"/>
      <c r="EY1" s="330"/>
      <c r="EZ1" s="328" t="str">
        <f>IF('Données projet'!$B$16="","",'Données projet'!$B$16)</f>
        <v/>
      </c>
      <c r="FA1" s="329"/>
      <c r="FB1" s="329"/>
      <c r="FC1" s="329"/>
      <c r="FD1" s="329"/>
      <c r="FE1" s="329"/>
      <c r="FF1" s="329"/>
      <c r="FG1" s="329"/>
      <c r="FH1" s="329"/>
      <c r="FI1" s="329"/>
      <c r="FJ1" s="329"/>
      <c r="FK1" s="329"/>
      <c r="FL1" s="329"/>
      <c r="FM1" s="329"/>
      <c r="FN1" s="329"/>
      <c r="FO1" s="329"/>
      <c r="FP1" s="329"/>
      <c r="FQ1" s="329"/>
      <c r="FR1" s="329"/>
      <c r="FS1" s="329"/>
      <c r="FT1" s="330"/>
      <c r="FU1" s="328" t="str">
        <f>IF('Données projet'!$B$17="","",'Données projet'!$B$17)</f>
        <v/>
      </c>
      <c r="FV1" s="329"/>
      <c r="FW1" s="329"/>
      <c r="FX1" s="329"/>
      <c r="FY1" s="329"/>
      <c r="FZ1" s="329"/>
      <c r="GA1" s="329"/>
      <c r="GB1" s="329"/>
      <c r="GC1" s="329"/>
      <c r="GD1" s="329"/>
      <c r="GE1" s="329"/>
      <c r="GF1" s="329"/>
      <c r="GG1" s="329"/>
      <c r="GH1" s="329"/>
      <c r="GI1" s="329"/>
      <c r="GJ1" s="329"/>
      <c r="GK1" s="329"/>
      <c r="GL1" s="329"/>
      <c r="GM1" s="329"/>
      <c r="GN1" s="329"/>
      <c r="GO1" s="330"/>
      <c r="GP1" s="328" t="str">
        <f>IF('Données projet'!$B$18="","",'Données projet'!$B$18)</f>
        <v/>
      </c>
      <c r="GQ1" s="329"/>
      <c r="GR1" s="329"/>
      <c r="GS1" s="329"/>
      <c r="GT1" s="329"/>
      <c r="GU1" s="329"/>
      <c r="GV1" s="329"/>
      <c r="GW1" s="329"/>
      <c r="GX1" s="329"/>
      <c r="GY1" s="329"/>
      <c r="GZ1" s="329"/>
      <c r="HA1" s="329"/>
      <c r="HB1" s="329"/>
      <c r="HC1" s="329"/>
      <c r="HD1" s="329"/>
      <c r="HE1" s="329"/>
      <c r="HF1" s="329"/>
      <c r="HG1" s="329"/>
      <c r="HH1" s="329"/>
      <c r="HI1" s="329"/>
      <c r="HJ1" s="330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490.96084572840579</v>
      </c>
      <c r="T3" s="62">
        <f>IF('Données projet'!E9&gt;30,$R$33-$H$33,LOOKUP('Données projet'!$E$9,$A$3:$A$203,R3:R203)-LOOKUP('Données projet'!$E$9,$A$3:$A$203,$H$3:$H$203))</f>
        <v>597.91658789908263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482.28841373508675</v>
      </c>
      <c r="AO3" s="62">
        <f>IF('Données projet'!E10&gt;30,$AM$33-$H$33,LOOKUP('Données projet'!$E$10,$A$3:$A$203,AM3:AM203)-LOOKUP('Données projet'!$E$10,$A$3:$A$203,$H$3:$H$203))</f>
        <v>746.97309214631684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350.22629663422435</v>
      </c>
      <c r="BJ3" s="62">
        <f>IF('Données projet'!E11&gt;30,$BH$33-$H$33,LOOKUP('Données projet'!$E$11,$A$3:$A$203,BH3:BH203)-LOOKUP('Données projet'!$E$11,$A$3:$A$203,$H$3:$H$203))</f>
        <v>375.98044319336645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248.15263300983543</v>
      </c>
      <c r="CE3" s="62">
        <f>IF('Données projet'!E12&gt;30,$CC$33-$H$33,LOOKUP('Données projet'!$E$12,$A$3:$A$203,CC3:CC203)-LOOKUP('Données projet'!$E$12,$A$3:$A$203,$H$3:$H$203))</f>
        <v>266.46511459244618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205.35893113421139</v>
      </c>
      <c r="CZ3" s="62">
        <f>IF('Données projet'!E13&gt;30,$CX$33-$H$33,LOOKUP('Données projet'!$E$13,$A$3:$A$203,CX3:CX203)-LOOKUP('Données projet'!$E$13,$A$3:$A$203,$H$3:$H$203))</f>
        <v>220.4399811285175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10.8</v>
      </c>
      <c r="N4" s="14">
        <f>IF('Données projet'!$A$36&gt;35,N3+M4-V3,IF(A4&lt;'Données projet'!$A$36,$K$205^A4,IF(A4='Données projet'!$A$36,'Données projet'!$B$36,N3+M4-V3)))</f>
        <v>1.4037863041747067</v>
      </c>
      <c r="O4" s="14">
        <f>N4*VLOOKUP('Données projet'!$B$9,Paramètres!$A$1:$I$89,3,0)*VLOOKUP('Données projet'!$B$9,Paramètres!$A$1:$I$89,5,0)</f>
        <v>0.78471654403366109</v>
      </c>
      <c r="P4" s="14">
        <f>EXP(-1.0587+0.8836*LN(O4)+0.284)</f>
        <v>0.37198061042729702</v>
      </c>
      <c r="Q4" s="22">
        <f t="shared" ref="Q4:Q34" si="2">(O4+P4)*0.475*44/12</f>
        <v>2.0145808773528358</v>
      </c>
      <c r="R4" s="62">
        <f t="shared" si="0"/>
        <v>295.34791421068616</v>
      </c>
      <c r="S4" s="62">
        <f ca="1">AVERAGE(OFFSET($R$3,0,0,'Données projet'!$E$9+1,1))-AVERAGE(OFFSET($H$3,0,0,'Données projet'!$E$9+1,1))</f>
        <v>490.96084572840579</v>
      </c>
      <c r="T4" s="62">
        <f>$T$3</f>
        <v>597.91658789908263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8.5833333333333339</v>
      </c>
      <c r="AI4" s="14">
        <f>IF('Données projet'!$A$62&gt;35,AI3+AH4-AQ3,IF(A4&lt;'Données projet'!$A$62,$AF$205^A4,IF(A4='Données projet'!$A$62,'Données projet'!$B$62,AI3+AH4-AQ3)))</f>
        <v>1.4714192565876152</v>
      </c>
      <c r="AJ4" s="14">
        <f>AI4*VLOOKUP('Données projet'!$B$10,Paramètres!$A$1:$I$89,3,0)*VLOOKUP('Données projet'!$B$10,Paramètres!$A$1:$I$89,5,0)</f>
        <v>0.91816561611067193</v>
      </c>
      <c r="AK4" s="14">
        <f>EXP(-1.0587+0.8836*LN(AJ4)+0.284)</f>
        <v>0.42735528842602116</v>
      </c>
      <c r="AL4" s="22">
        <f t="shared" ref="AL4:AL67" si="4">(AJ4+AK4)*0.475*44/12</f>
        <v>2.3434489087347408</v>
      </c>
      <c r="AM4" s="62">
        <f t="shared" ref="AM4:AM67" si="5">AL4+(AD4+AE4)*44/12</f>
        <v>295.67678224206804</v>
      </c>
      <c r="AN4" s="62">
        <f ca="1">AVERAGE(OFFSET($AM$3,0,0,'Données projet'!$E$10+1,1))-AVERAGE(OFFSET($H$3,0,0,'Données projet'!$E$10+1,1))</f>
        <v>482.28841373508675</v>
      </c>
      <c r="AO4" s="62">
        <f>$AO$3</f>
        <v>746.97309214631684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</v>
      </c>
      <c r="BD4" s="13">
        <f>IF('Données projet'!$A$88&gt;35,BD3+BC4-BL3,IF(A4&lt;'Données projet'!$A$88,$BA$205^A4,IF(A4='Données projet'!$A$88,'Données projet'!$B$88,BD3+BC4-BL3)))</f>
        <v>1.3759798784509836</v>
      </c>
      <c r="BE4" s="14">
        <f>BD4*VLOOKUP('Données projet'!$B$11,Paramètres!$A$1:$I$89,3,0)*VLOOKUP('Données projet'!$B$11,Paramètres!$A$1:$I$89,5,0)</f>
        <v>1.0088684468802611</v>
      </c>
      <c r="BF4" s="14">
        <f>EXP(-1.0587+0.8836*LN(BE4)+0.284)</f>
        <v>0.46445138666799907</v>
      </c>
      <c r="BG4" s="22">
        <f t="shared" ref="BG4:BG67" si="7">(BE4+BF4)*0.475*44/12</f>
        <v>2.5660320434298862</v>
      </c>
      <c r="BH4" s="62">
        <f t="shared" ref="BH4:BH67" si="8">BG4+(AY4+AZ4)*44/12</f>
        <v>295.89936537676323</v>
      </c>
      <c r="BI4" s="62">
        <f ca="1">AVERAGE(OFFSET($BH$3,0,0,'Données projet'!$E$11+1,1))-AVERAGE(OFFSET($H$3,0,0,'Données projet'!$E$11+1,1))</f>
        <v>350.22629663422435</v>
      </c>
      <c r="BJ4" s="62">
        <f>$BJ$3</f>
        <v>375.98044319336645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5.4069999999999991</v>
      </c>
      <c r="BY4" s="13">
        <f>IF('Données projet'!$A$114&gt;35,BY3+BX4-CG3,IF(A4&lt;'Données projet'!$A$114,$BV$205^A4,IF(A4='Données projet'!$A$114,'Données projet'!$B$114,BY3+BX4-CG3)))</f>
        <v>1.3405093326912476</v>
      </c>
      <c r="BZ4" s="14">
        <f>BY4*VLOOKUP('Données projet'!$B$12,Paramètres!$A$1:$I$89,3,0)*VLOOKUP('Données projet'!$B$12,Paramètres!$A$1:$I$89,5,0)</f>
        <v>1.0665092250891568</v>
      </c>
      <c r="CA4" s="14">
        <f>EXP(-1.0587+0.8836*LN(BZ4)+0.284)</f>
        <v>0.48782224427722365</v>
      </c>
      <c r="CB4" s="22">
        <f t="shared" ref="CB4:CB67" si="10">(BZ4+CA4)*0.475*44/12</f>
        <v>2.7071273091464456</v>
      </c>
      <c r="CC4" s="62">
        <f t="shared" ref="CC4:CC67" si="11">CB4+(BT4+BU4)*44/12</f>
        <v>296.04046064247979</v>
      </c>
      <c r="CD4" s="62">
        <f ca="1">AVERAGE(OFFSET($CC$3,0,0,'Données projet'!$E$12+1,1))-AVERAGE(OFFSET($H$3,0,0,'Données projet'!$E$12+1,1))</f>
        <v>248.15263300983543</v>
      </c>
      <c r="CE4" s="62">
        <f>$CE$3</f>
        <v>266.46511459244618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5.4069999999999991</v>
      </c>
      <c r="CT4" s="13">
        <f>IF('Données projet'!$A$140&gt;35,CT3+CS4-DB3,IF(A4&lt;'Données projet'!$A$140,$CQ$205^A4,IF(A4='Données projet'!$A$140,'Données projet'!$B$140,CT3+CS4-DB3)))</f>
        <v>1.3405093326912476</v>
      </c>
      <c r="CU4" s="18">
        <f>CT4*VLOOKUP('Données projet'!$B$13,Paramètres!$A$1:$I$89,3,0)*VLOOKUP('Données projet'!$B$13,Paramètres!$A$1:$I$89,5,0)</f>
        <v>0.89921366036928885</v>
      </c>
      <c r="CV4" s="14">
        <f>EXP(-1.0587+0.8836*LN(CU4)+0.284)</f>
        <v>0.41955154008779533</v>
      </c>
      <c r="CW4" s="22">
        <f t="shared" ref="CW4:CW67" si="13">(CU4+CV4)*0.475*44/12</f>
        <v>2.2968493907960883</v>
      </c>
      <c r="CX4" s="62">
        <f t="shared" ref="CX4:CX67" si="14">CW4+(CO4+CP4)*44/12</f>
        <v>295.63018272412938</v>
      </c>
      <c r="CY4" s="62">
        <f ca="1">AVERAGE(OFFSET($CX$3,0,0,'Données projet'!$E$13+1,1))-AVERAGE(OFFSET($H$3,0,0,'Données projet'!$E$13+1,1))</f>
        <v>205.35893113421139</v>
      </c>
      <c r="CZ4" s="62">
        <f>$CZ$3</f>
        <v>220.4399811285175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10.8</v>
      </c>
      <c r="N5" s="14">
        <f>IF('Données projet'!$A$36&gt;35,N4+M5-V4,IF(A5&lt;'Données projet'!$A$36,$K$205^A5,IF(A5='Données projet'!$A$36,'Données projet'!$B$36,N4+M5-V4)))</f>
        <v>1.9706159877884823</v>
      </c>
      <c r="O5" s="14">
        <f>N5*VLOOKUP('Données projet'!$B$9,Paramètres!$A$1:$I$89,3,0)*VLOOKUP('Données projet'!$B$9,Paramètres!$A$1:$I$89,5,0)</f>
        <v>1.1015743371737616</v>
      </c>
      <c r="P5" s="14">
        <f t="shared" ref="P5:P68" si="33">EXP(-1.0587+0.8836*LN(O5)+0.284)</f>
        <v>0.50196734705126034</v>
      </c>
      <c r="Q5" s="22">
        <f t="shared" si="2"/>
        <v>2.7928351000252465</v>
      </c>
      <c r="R5" s="62">
        <f t="shared" si="0"/>
        <v>296.12616843335854</v>
      </c>
      <c r="S5" s="62">
        <f ca="1">AVERAGE(OFFSET($R$3,0,0,'Données projet'!$E$9+1,1))-AVERAGE(OFFSET($H$3,0,0,'Données projet'!$E$9+1,1))</f>
        <v>490.96084572840579</v>
      </c>
      <c r="T5" s="62">
        <f t="shared" ref="T5:T68" si="34">$T$3</f>
        <v>597.91658789908263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8.5833333333333339</v>
      </c>
      <c r="AI5" s="14">
        <f>IF('Données projet'!$A$62&gt;35,AI4+AH5-AQ4,IF(A5&lt;'Données projet'!$A$62,$AF$205^A5,IF(A5='Données projet'!$A$62,'Données projet'!$B$62,AI4+AH5-AQ4)))</f>
        <v>2.1650746286568503</v>
      </c>
      <c r="AJ5" s="14">
        <f>AI5*VLOOKUP('Données projet'!$B$10,Paramètres!$A$1:$I$89,3,0)*VLOOKUP('Données projet'!$B$10,Paramètres!$A$1:$I$89,5,0)</f>
        <v>1.3510065682818746</v>
      </c>
      <c r="AK5" s="14">
        <f t="shared" ref="AK5:AK68" si="35">EXP(-1.0587+0.8836*LN(AJ5)+0.284)</f>
        <v>0.60117511749976371</v>
      </c>
      <c r="AL5" s="22">
        <f t="shared" si="4"/>
        <v>3.4000497694030201</v>
      </c>
      <c r="AM5" s="62">
        <f t="shared" si="5"/>
        <v>296.73338310273635</v>
      </c>
      <c r="AN5" s="62">
        <f ca="1">AVERAGE(OFFSET($AM$3,0,0,'Données projet'!$E$10+1,1))-AVERAGE(OFFSET($H$3,0,0,'Données projet'!$E$10+1,1))</f>
        <v>482.28841373508675</v>
      </c>
      <c r="AO5" s="62">
        <f t="shared" ref="AO5:AO68" si="36">$AO$3</f>
        <v>746.97309214631684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</v>
      </c>
      <c r="BD5" s="13">
        <f>IF('Données projet'!$A$88&gt;35,BD4+BC5-BL4,IF(A5&lt;'Données projet'!$A$88,$BA$205^A5,IF(A5='Données projet'!$A$88,'Données projet'!$B$88,BD4+BC5-BL4)))</f>
        <v>1.8933206259019835</v>
      </c>
      <c r="BE5" s="14">
        <f>BD5*VLOOKUP('Données projet'!$B$11,Paramètres!$A$1:$I$89,3,0)*VLOOKUP('Données projet'!$B$11,Paramètres!$A$1:$I$89,5,0)</f>
        <v>1.3881826829113344</v>
      </c>
      <c r="BF5" s="14">
        <f t="shared" ref="BF5:BF68" si="37">EXP(-1.0587+0.8836*LN(BE5)+0.284)</f>
        <v>0.6157691123779796</v>
      </c>
      <c r="BG5" s="22">
        <f t="shared" si="7"/>
        <v>3.490216043462222</v>
      </c>
      <c r="BH5" s="62">
        <f t="shared" si="8"/>
        <v>296.82354937679554</v>
      </c>
      <c r="BI5" s="62">
        <f ca="1">AVERAGE(OFFSET($BH$3,0,0,'Données projet'!$E$11+1,1))-AVERAGE(OFFSET($H$3,0,0,'Données projet'!$E$11+1,1))</f>
        <v>350.22629663422435</v>
      </c>
      <c r="BJ5" s="62">
        <f t="shared" ref="BJ5:BJ68" si="38">$BJ$3</f>
        <v>375.98044319336645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5.4069999999999991</v>
      </c>
      <c r="BY5" s="13">
        <f>IF('Données projet'!$A$114&gt;35,BY4+BX5-CG4,IF(A5&lt;'Données projet'!$A$114,$BV$205^A5,IF(A5='Données projet'!$A$114,'Données projet'!$B$114,BY4+BX5-CG4)))</f>
        <v>1.7969652710323341</v>
      </c>
      <c r="BZ5" s="14">
        <f>BY5*VLOOKUP('Données projet'!$B$12,Paramètres!$A$1:$I$89,3,0)*VLOOKUP('Données projet'!$B$12,Paramètres!$A$1:$I$89,5,0)</f>
        <v>1.4296655696333251</v>
      </c>
      <c r="CA5" s="14">
        <f t="shared" ref="CA5:CA68" si="39">EXP(-1.0587+0.8836*LN(BZ5)+0.284)</f>
        <v>0.63200022398155253</v>
      </c>
      <c r="CB5" s="22">
        <f t="shared" si="10"/>
        <v>3.5907345905459116</v>
      </c>
      <c r="CC5" s="62">
        <f t="shared" si="11"/>
        <v>296.92406792387925</v>
      </c>
      <c r="CD5" s="62">
        <f ca="1">AVERAGE(OFFSET($CC$3,0,0,'Données projet'!$E$12+1,1))-AVERAGE(OFFSET($H$3,0,0,'Données projet'!$E$12+1,1))</f>
        <v>248.15263300983543</v>
      </c>
      <c r="CE5" s="62">
        <f t="shared" ref="CE5:CE68" si="40">$CE$3</f>
        <v>266.46511459244618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5.4069999999999991</v>
      </c>
      <c r="CT5" s="13">
        <f>IF('Données projet'!$A$140&gt;35,CT4+CS5-DB4,IF(A5&lt;'Données projet'!$A$140,$CQ$205^A5,IF(A5='Données projet'!$A$140,'Données projet'!$B$140,CT4+CS5-DB4)))</f>
        <v>1.7969652710323341</v>
      </c>
      <c r="CU5" s="18">
        <f>CT5*VLOOKUP('Données projet'!$B$13,Paramètres!$A$1:$I$89,3,0)*VLOOKUP('Données projet'!$B$13,Paramètres!$A$1:$I$89,5,0)</f>
        <v>1.2054043038084896</v>
      </c>
      <c r="CV5" s="14">
        <f t="shared" ref="CV5:CV68" si="41">EXP(-1.0587+0.8836*LN(CU5)+0.284)</f>
        <v>0.54355181711764378</v>
      </c>
      <c r="CW5" s="22">
        <f t="shared" si="13"/>
        <v>3.0460985772796825</v>
      </c>
      <c r="CX5" s="62">
        <f t="shared" si="14"/>
        <v>296.37943191061299</v>
      </c>
      <c r="CY5" s="62">
        <f ca="1">AVERAGE(OFFSET($CX$3,0,0,'Données projet'!$E$13+1,1))-AVERAGE(OFFSET($H$3,0,0,'Données projet'!$E$13+1,1))</f>
        <v>205.35893113421139</v>
      </c>
      <c r="CZ5" s="62">
        <f t="shared" ref="CZ5:CZ68" si="42">$CZ$3</f>
        <v>220.4399811285175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10.8</v>
      </c>
      <c r="N6" s="14">
        <f>IF('Données projet'!$A$36&gt;35,N5+M6-V5,IF(A6&lt;'Données projet'!$A$36,$K$205^A6,IF(A6='Données projet'!$A$36,'Données projet'!$B$36,N5+M6-V5)))</f>
        <v>2.7663237344451828</v>
      </c>
      <c r="O6" s="14">
        <f>N6*VLOOKUP('Données projet'!$B$9,Paramètres!$A$1:$I$89,3,0)*VLOOKUP('Données projet'!$B$9,Paramètres!$A$1:$I$89,5,0)</f>
        <v>1.5463749675548573</v>
      </c>
      <c r="P6" s="14">
        <f t="shared" si="33"/>
        <v>0.6773772891448272</v>
      </c>
      <c r="Q6" s="22">
        <f t="shared" si="2"/>
        <v>3.8730351804186167</v>
      </c>
      <c r="R6" s="62">
        <f t="shared" si="0"/>
        <v>297.20636851375195</v>
      </c>
      <c r="S6" s="62">
        <f ca="1">AVERAGE(OFFSET($R$3,0,0,'Données projet'!$E$9+1,1))-AVERAGE(OFFSET($H$3,0,0,'Données projet'!$E$9+1,1))</f>
        <v>490.96084572840579</v>
      </c>
      <c r="T6" s="62">
        <f t="shared" si="34"/>
        <v>597.91658789908263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8.5833333333333339</v>
      </c>
      <c r="AI6" s="14">
        <f>IF('Données projet'!$A$62&gt;35,AI5+AH6-AQ5,IF(A6&lt;'Données projet'!$A$62,$AF$205^A6,IF(A6='Données projet'!$A$62,'Données projet'!$B$62,AI5+AH6-AQ5)))</f>
        <v>3.1857325005549697</v>
      </c>
      <c r="AJ6" s="14">
        <f>AI6*VLOOKUP('Données projet'!$B$10,Paramètres!$A$1:$I$89,3,0)*VLOOKUP('Données projet'!$B$10,Paramètres!$A$1:$I$89,5,0)</f>
        <v>1.9878970803463012</v>
      </c>
      <c r="AK6" s="14">
        <f t="shared" si="35"/>
        <v>0.84569334155652565</v>
      </c>
      <c r="AL6" s="22">
        <f t="shared" si="4"/>
        <v>4.93516998481409</v>
      </c>
      <c r="AM6" s="62">
        <f t="shared" si="5"/>
        <v>298.2685033181474</v>
      </c>
      <c r="AN6" s="62">
        <f ca="1">AVERAGE(OFFSET($AM$3,0,0,'Données projet'!$E$10+1,1))-AVERAGE(OFFSET($H$3,0,0,'Données projet'!$E$10+1,1))</f>
        <v>482.28841373508675</v>
      </c>
      <c r="AO6" s="62">
        <f t="shared" si="36"/>
        <v>746.97309214631684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</v>
      </c>
      <c r="BD6" s="13">
        <f>IF('Données projet'!$A$88&gt;35,BD5+BC6-BL5,IF(A6&lt;'Données projet'!$A$88,$BA$205^A6,IF(A6='Données projet'!$A$88,'Données projet'!$B$88,BD5+BC6-BL5)))</f>
        <v>2.6051710846973513</v>
      </c>
      <c r="BE6" s="14">
        <f>BD6*VLOOKUP('Données projet'!$B$11,Paramètres!$A$1:$I$89,3,0)*VLOOKUP('Données projet'!$B$11,Paramètres!$A$1:$I$89,5,0)</f>
        <v>1.9101114393000977</v>
      </c>
      <c r="BF6" s="14">
        <f t="shared" si="37"/>
        <v>0.81638597847443972</v>
      </c>
      <c r="BG6" s="22">
        <f t="shared" si="7"/>
        <v>4.7486496692906526</v>
      </c>
      <c r="BH6" s="62">
        <f t="shared" si="8"/>
        <v>298.08198300262399</v>
      </c>
      <c r="BI6" s="62">
        <f ca="1">AVERAGE(OFFSET($BH$3,0,0,'Données projet'!$E$11+1,1))-AVERAGE(OFFSET($H$3,0,0,'Données projet'!$E$11+1,1))</f>
        <v>350.22629663422435</v>
      </c>
      <c r="BJ6" s="62">
        <f t="shared" si="38"/>
        <v>375.98044319336645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5.4069999999999991</v>
      </c>
      <c r="BY6" s="13">
        <f>IF('Données projet'!$A$114&gt;35,BY5+BX6-CG5,IF(A6&lt;'Données projet'!$A$114,$BV$205^A6,IF(A6='Données projet'!$A$114,'Données projet'!$B$114,BY5+BX6-CG5)))</f>
        <v>2.4088487163409011</v>
      </c>
      <c r="BZ6" s="14">
        <f>BY6*VLOOKUP('Données projet'!$B$12,Paramètres!$A$1:$I$89,3,0)*VLOOKUP('Données projet'!$B$12,Paramètres!$A$1:$I$89,5,0)</f>
        <v>1.9164800387208212</v>
      </c>
      <c r="CA6" s="14">
        <f t="shared" si="39"/>
        <v>0.81879063080556136</v>
      </c>
      <c r="CB6" s="22">
        <f t="shared" si="10"/>
        <v>4.7639297494251158</v>
      </c>
      <c r="CC6" s="62">
        <f t="shared" si="11"/>
        <v>298.09726308275845</v>
      </c>
      <c r="CD6" s="62">
        <f ca="1">AVERAGE(OFFSET($CC$3,0,0,'Données projet'!$E$12+1,1))-AVERAGE(OFFSET($H$3,0,0,'Données projet'!$E$12+1,1))</f>
        <v>248.15263300983543</v>
      </c>
      <c r="CE6" s="62">
        <f t="shared" si="40"/>
        <v>266.46511459244618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5.4069999999999991</v>
      </c>
      <c r="CT6" s="13">
        <f>IF('Données projet'!$A$140&gt;35,CT5+CS6-DB5,IF(A6&lt;'Données projet'!$A$140,$CQ$205^A6,IF(A6='Données projet'!$A$140,'Données projet'!$B$140,CT5+CS6-DB5)))</f>
        <v>2.4088487163409011</v>
      </c>
      <c r="CU6" s="18">
        <f>CT6*VLOOKUP('Données projet'!$B$13,Paramètres!$A$1:$I$89,3,0)*VLOOKUP('Données projet'!$B$13,Paramètres!$A$1:$I$89,5,0)</f>
        <v>1.6158557189214764</v>
      </c>
      <c r="CV6" s="14">
        <f t="shared" si="41"/>
        <v>0.70420091374248528</v>
      </c>
      <c r="CW6" s="22">
        <f t="shared" si="13"/>
        <v>4.0407653018897332</v>
      </c>
      <c r="CX6" s="62">
        <f t="shared" si="14"/>
        <v>297.37409863522305</v>
      </c>
      <c r="CY6" s="62">
        <f ca="1">AVERAGE(OFFSET($CX$3,0,0,'Données projet'!$E$13+1,1))-AVERAGE(OFFSET($H$3,0,0,'Données projet'!$E$13+1,1))</f>
        <v>205.35893113421139</v>
      </c>
      <c r="CZ6" s="62">
        <f t="shared" si="42"/>
        <v>220.4399811285175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10.8</v>
      </c>
      <c r="N7" s="14">
        <f>IF('Données projet'!$A$36&gt;35,N6+M7-V6,IF(A7&lt;'Données projet'!$A$36,$K$205^A7,IF(A7='Données projet'!$A$36,'Données projet'!$B$36,N6+M7-V6)))</f>
        <v>3.8833273713275762</v>
      </c>
      <c r="O7" s="14">
        <f>N7*VLOOKUP('Données projet'!$B$9,Paramètres!$A$1:$I$89,3,0)*VLOOKUP('Données projet'!$B$9,Paramètres!$A$1:$I$89,5,0)</f>
        <v>2.170780000572115</v>
      </c>
      <c r="P7" s="14">
        <f t="shared" si="33"/>
        <v>0.91408334535022773</v>
      </c>
      <c r="Q7" s="22">
        <f t="shared" si="2"/>
        <v>5.3728036608147471</v>
      </c>
      <c r="R7" s="62">
        <f t="shared" si="0"/>
        <v>298.70613699414804</v>
      </c>
      <c r="S7" s="62">
        <f ca="1">AVERAGE(OFFSET($R$3,0,0,'Données projet'!$E$9+1,1))-AVERAGE(OFFSET($H$3,0,0,'Données projet'!$E$9+1,1))</f>
        <v>490.96084572840579</v>
      </c>
      <c r="T7" s="62">
        <f t="shared" si="34"/>
        <v>597.91658789908263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8.5833333333333339</v>
      </c>
      <c r="AI7" s="14">
        <f>IF('Données projet'!$A$62&gt;35,AI6+AH7-AQ6,IF(A7&lt;'Données projet'!$A$62,$AF$205^A7,IF(A7='Données projet'!$A$62,'Données projet'!$B$62,AI6+AH7-AQ6)))</f>
        <v>4.6875481476535983</v>
      </c>
      <c r="AJ7" s="14">
        <f>AI7*VLOOKUP('Données projet'!$B$10,Paramètres!$A$1:$I$89,3,0)*VLOOKUP('Données projet'!$B$10,Paramètres!$A$1:$I$89,5,0)</f>
        <v>2.9250300441358457</v>
      </c>
      <c r="AK7" s="14">
        <f t="shared" si="35"/>
        <v>1.1896653855660013</v>
      </c>
      <c r="AL7" s="22">
        <f t="shared" si="4"/>
        <v>7.1664278733973825</v>
      </c>
      <c r="AM7" s="62">
        <f t="shared" si="5"/>
        <v>300.49976120673068</v>
      </c>
      <c r="AN7" s="62">
        <f ca="1">AVERAGE(OFFSET($AM$3,0,0,'Données projet'!$E$10+1,1))-AVERAGE(OFFSET($H$3,0,0,'Données projet'!$E$10+1,1))</f>
        <v>482.28841373508675</v>
      </c>
      <c r="AO7" s="62">
        <f t="shared" si="36"/>
        <v>746.97309214631684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</v>
      </c>
      <c r="BD7" s="13">
        <f>IF('Données projet'!$A$88&gt;35,BD6+BC7-BL6,IF(A7&lt;'Données projet'!$A$88,$BA$205^A7,IF(A7='Données projet'!$A$88,'Données projet'!$B$88,BD6+BC7-BL6)))</f>
        <v>3.5846629924658786</v>
      </c>
      <c r="BE7" s="14">
        <f>BD7*VLOOKUP('Données projet'!$B$11,Paramètres!$A$1:$I$89,3,0)*VLOOKUP('Données projet'!$B$11,Paramètres!$A$1:$I$89,5,0)</f>
        <v>2.628274906075982</v>
      </c>
      <c r="BF7" s="14">
        <f t="shared" si="37"/>
        <v>1.0823635879945814</v>
      </c>
      <c r="BG7" s="22">
        <f t="shared" si="7"/>
        <v>6.4626953771728965</v>
      </c>
      <c r="BH7" s="62">
        <f t="shared" si="8"/>
        <v>299.79602871050622</v>
      </c>
      <c r="BI7" s="62">
        <f ca="1">AVERAGE(OFFSET($BH$3,0,0,'Données projet'!$E$11+1,1))-AVERAGE(OFFSET($H$3,0,0,'Données projet'!$E$11+1,1))</f>
        <v>350.22629663422435</v>
      </c>
      <c r="BJ7" s="62">
        <f t="shared" si="38"/>
        <v>375.98044319336645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5.4069999999999991</v>
      </c>
      <c r="BY7" s="13">
        <f>IF('Données projet'!$A$114&gt;35,BY6+BX7-CG6,IF(A7&lt;'Données projet'!$A$114,$BV$205^A7,IF(A7='Données projet'!$A$114,'Données projet'!$B$114,BY6+BX7-CG6)))</f>
        <v>3.2290841852963097</v>
      </c>
      <c r="BZ7" s="14">
        <f>BY7*VLOOKUP('Données projet'!$B$12,Paramètres!$A$1:$I$89,3,0)*VLOOKUP('Données projet'!$B$12,Paramètres!$A$1:$I$89,5,0)</f>
        <v>2.5690593778217439</v>
      </c>
      <c r="CA7" s="14">
        <f t="shared" si="39"/>
        <v>1.0607877523703817</v>
      </c>
      <c r="CB7" s="22">
        <f t="shared" si="10"/>
        <v>6.3219837517512856</v>
      </c>
      <c r="CC7" s="62">
        <f t="shared" si="11"/>
        <v>299.65531708508462</v>
      </c>
      <c r="CD7" s="62">
        <f ca="1">AVERAGE(OFFSET($CC$3,0,0,'Données projet'!$E$12+1,1))-AVERAGE(OFFSET($H$3,0,0,'Données projet'!$E$12+1,1))</f>
        <v>248.15263300983543</v>
      </c>
      <c r="CE7" s="62">
        <f t="shared" si="40"/>
        <v>266.46511459244618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5.4069999999999991</v>
      </c>
      <c r="CT7" s="13">
        <f>IF('Données projet'!$A$140&gt;35,CT6+CS7-DB6,IF(A7&lt;'Données projet'!$A$140,$CQ$205^A7,IF(A7='Données projet'!$A$140,'Données projet'!$B$140,CT6+CS7-DB6)))</f>
        <v>3.2290841852963097</v>
      </c>
      <c r="CU7" s="18">
        <f>CT7*VLOOKUP('Données projet'!$B$13,Paramètres!$A$1:$I$89,3,0)*VLOOKUP('Données projet'!$B$13,Paramètres!$A$1:$I$89,5,0)</f>
        <v>2.1660696714967647</v>
      </c>
      <c r="CV7" s="14">
        <f t="shared" si="41"/>
        <v>0.91233054751874976</v>
      </c>
      <c r="CW7" s="22">
        <f t="shared" si="13"/>
        <v>5.3615470481186875</v>
      </c>
      <c r="CX7" s="62">
        <f t="shared" si="14"/>
        <v>298.69488038145198</v>
      </c>
      <c r="CY7" s="62">
        <f ca="1">AVERAGE(OFFSET($CX$3,0,0,'Données projet'!$E$13+1,1))-AVERAGE(OFFSET($H$3,0,0,'Données projet'!$E$13+1,1))</f>
        <v>205.35893113421139</v>
      </c>
      <c r="CZ7" s="62">
        <f t="shared" si="42"/>
        <v>220.4399811285175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10.8</v>
      </c>
      <c r="N8" s="14">
        <f>IF('Données projet'!$A$36&gt;35,N7+M8-V7,IF(A8&lt;'Données projet'!$A$36,$K$205^A8,IF(A8='Données projet'!$A$36,'Données projet'!$B$36,N7+M8-V7)))</f>
        <v>5.451361778496417</v>
      </c>
      <c r="O8" s="14">
        <f>N8*VLOOKUP('Données projet'!$B$9,Paramètres!$A$1:$I$89,3,0)*VLOOKUP('Données projet'!$B$9,Paramètres!$A$1:$I$89,5,0)</f>
        <v>3.0473112341794972</v>
      </c>
      <c r="P8" s="14">
        <f t="shared" si="33"/>
        <v>1.2335051316844765</v>
      </c>
      <c r="Q8" s="22">
        <f t="shared" si="2"/>
        <v>7.4557551705464205</v>
      </c>
      <c r="R8" s="62">
        <f t="shared" si="0"/>
        <v>300.78908850387973</v>
      </c>
      <c r="S8" s="62">
        <f ca="1">AVERAGE(OFFSET($R$3,0,0,'Données projet'!$E$9+1,1))-AVERAGE(OFFSET($H$3,0,0,'Données projet'!$E$9+1,1))</f>
        <v>490.96084572840579</v>
      </c>
      <c r="T8" s="62">
        <f t="shared" si="34"/>
        <v>597.91658789908263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8.5833333333333339</v>
      </c>
      <c r="AI8" s="14">
        <f>IF('Données projet'!$A$62&gt;35,AI7+AH8-AQ7,IF(A8&lt;'Données projet'!$A$62,$AF$205^A8,IF(A8='Données projet'!$A$62,'Données projet'!$B$62,AI7+AH8-AQ7)))</f>
        <v>6.89734861063911</v>
      </c>
      <c r="AJ8" s="14">
        <f>AI8*VLOOKUP('Données projet'!$B$10,Paramètres!$A$1:$I$89,3,0)*VLOOKUP('Données projet'!$B$10,Paramètres!$A$1:$I$89,5,0)</f>
        <v>4.3039455330388048</v>
      </c>
      <c r="AK8" s="14">
        <f t="shared" si="35"/>
        <v>1.6735424770035323</v>
      </c>
      <c r="AL8" s="22">
        <f t="shared" si="4"/>
        <v>10.410791617490402</v>
      </c>
      <c r="AM8" s="62">
        <f t="shared" si="5"/>
        <v>303.74412495082373</v>
      </c>
      <c r="AN8" s="62">
        <f ca="1">AVERAGE(OFFSET($AM$3,0,0,'Données projet'!$E$10+1,1))-AVERAGE(OFFSET($H$3,0,0,'Données projet'!$E$10+1,1))</f>
        <v>482.28841373508675</v>
      </c>
      <c r="AO8" s="62">
        <f t="shared" si="36"/>
        <v>746.97309214631684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</v>
      </c>
      <c r="BD8" s="13">
        <f>IF('Données projet'!$A$88&gt;35,BD7+BC8-BL7,IF(A8&lt;'Données projet'!$A$88,$BA$205^A8,IF(A8='Données projet'!$A$88,'Données projet'!$B$88,BD7+BC8-BL7)))</f>
        <v>4.9324241486609388</v>
      </c>
      <c r="BE8" s="14">
        <f>BD8*VLOOKUP('Données projet'!$B$11,Paramètres!$A$1:$I$89,3,0)*VLOOKUP('Données projet'!$B$11,Paramètres!$A$1:$I$89,5,0)</f>
        <v>3.6164533857982</v>
      </c>
      <c r="BF8" s="14">
        <f t="shared" si="37"/>
        <v>1.4349963957069392</v>
      </c>
      <c r="BG8" s="22">
        <f t="shared" si="7"/>
        <v>8.7979417027881173</v>
      </c>
      <c r="BH8" s="62">
        <f t="shared" si="8"/>
        <v>302.13127503612145</v>
      </c>
      <c r="BI8" s="62">
        <f ca="1">AVERAGE(OFFSET($BH$3,0,0,'Données projet'!$E$11+1,1))-AVERAGE(OFFSET($H$3,0,0,'Données projet'!$E$11+1,1))</f>
        <v>350.22629663422435</v>
      </c>
      <c r="BJ8" s="62">
        <f t="shared" si="38"/>
        <v>375.98044319336645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5.4069999999999991</v>
      </c>
      <c r="BY8" s="13">
        <f>IF('Données projet'!$A$114&gt;35,BY7+BX8-CG7,IF(A8&lt;'Données projet'!$A$114,$BV$205^A8,IF(A8='Données projet'!$A$114,'Données projet'!$B$114,BY7+BX8-CG7)))</f>
        <v>4.3286174864354168</v>
      </c>
      <c r="BZ8" s="14">
        <f>BY8*VLOOKUP('Données projet'!$B$12,Paramètres!$A$1:$I$89,3,0)*VLOOKUP('Données projet'!$B$12,Paramètres!$A$1:$I$89,5,0)</f>
        <v>3.4438480722080178</v>
      </c>
      <c r="CA8" s="14">
        <f t="shared" si="39"/>
        <v>1.3743081726178488</v>
      </c>
      <c r="CB8" s="22">
        <f t="shared" si="10"/>
        <v>8.3916221264050499</v>
      </c>
      <c r="CC8" s="62">
        <f t="shared" si="11"/>
        <v>301.72495545973834</v>
      </c>
      <c r="CD8" s="62">
        <f ca="1">AVERAGE(OFFSET($CC$3,0,0,'Données projet'!$E$12+1,1))-AVERAGE(OFFSET($H$3,0,0,'Données projet'!$E$12+1,1))</f>
        <v>248.15263300983543</v>
      </c>
      <c r="CE8" s="62">
        <f t="shared" si="40"/>
        <v>266.46511459244618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5.4069999999999991</v>
      </c>
      <c r="CT8" s="13">
        <f>IF('Données projet'!$A$140&gt;35,CT7+CS8-DB7,IF(A8&lt;'Données projet'!$A$140,$CQ$205^A8,IF(A8='Données projet'!$A$140,'Données projet'!$B$140,CT7+CS8-DB7)))</f>
        <v>4.3286174864354168</v>
      </c>
      <c r="CU8" s="18">
        <f>CT8*VLOOKUP('Données projet'!$B$13,Paramètres!$A$1:$I$89,3,0)*VLOOKUP('Données projet'!$B$13,Paramètres!$A$1:$I$89,5,0)</f>
        <v>2.9036366099008775</v>
      </c>
      <c r="CV8" s="14">
        <f t="shared" si="41"/>
        <v>1.1819737970976807</v>
      </c>
      <c r="CW8" s="22">
        <f t="shared" si="13"/>
        <v>7.1157714588558214</v>
      </c>
      <c r="CX8" s="62">
        <f t="shared" si="14"/>
        <v>300.44910479218913</v>
      </c>
      <c r="CY8" s="62">
        <f ca="1">AVERAGE(OFFSET($CX$3,0,0,'Données projet'!$E$13+1,1))-AVERAGE(OFFSET($H$3,0,0,'Données projet'!$E$13+1,1))</f>
        <v>205.35893113421139</v>
      </c>
      <c r="CZ8" s="62">
        <f t="shared" si="42"/>
        <v>220.4399811285175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10.8</v>
      </c>
      <c r="N9" s="14">
        <f>IF('Données projet'!$A$36&gt;35,N8+M9-V8,IF(A9&lt;'Données projet'!$A$36,$K$205^A9,IF(A9='Données projet'!$A$36,'Données projet'!$B$36,N8+M9-V8)))</f>
        <v>7.6525470037547425</v>
      </c>
      <c r="O9" s="14">
        <f>N9*VLOOKUP('Données projet'!$B$9,Paramètres!$A$1:$I$89,3,0)*VLOOKUP('Données projet'!$B$9,Paramètres!$A$1:$I$89,5,0)</f>
        <v>4.2777737750989013</v>
      </c>
      <c r="P9" s="14">
        <f t="shared" si="33"/>
        <v>1.6645472402836166</v>
      </c>
      <c r="Q9" s="22">
        <f t="shared" si="2"/>
        <v>10.349542435124553</v>
      </c>
      <c r="R9" s="62">
        <f t="shared" si="0"/>
        <v>303.68287576845785</v>
      </c>
      <c r="S9" s="62">
        <f ca="1">AVERAGE(OFFSET($R$3,0,0,'Données projet'!$E$9+1,1))-AVERAGE(OFFSET($H$3,0,0,'Données projet'!$E$9+1,1))</f>
        <v>490.96084572840579</v>
      </c>
      <c r="T9" s="62">
        <f t="shared" si="34"/>
        <v>597.91658789908263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8.5833333333333339</v>
      </c>
      <c r="AI9" s="14">
        <f>IF('Données projet'!$A$62&gt;35,AI8+AH9-AQ8,IF(A9&lt;'Données projet'!$A$62,$AF$205^A9,IF(A9='Données projet'!$A$62,'Données projet'!$B$62,AI8+AH9-AQ8)))</f>
        <v>10.148891565092221</v>
      </c>
      <c r="AJ9" s="14">
        <f>AI9*VLOOKUP('Données projet'!$B$10,Paramètres!$A$1:$I$89,3,0)*VLOOKUP('Données projet'!$B$10,Paramètres!$A$1:$I$89,5,0)</f>
        <v>6.3329083366175452</v>
      </c>
      <c r="AK9" s="14">
        <f t="shared" si="35"/>
        <v>2.3542287237369877</v>
      </c>
      <c r="AL9" s="22">
        <f t="shared" si="4"/>
        <v>15.130097046784146</v>
      </c>
      <c r="AM9" s="62">
        <f t="shared" si="5"/>
        <v>308.46343038011747</v>
      </c>
      <c r="AN9" s="62">
        <f ca="1">AVERAGE(OFFSET($AM$3,0,0,'Données projet'!$E$10+1,1))-AVERAGE(OFFSET($H$3,0,0,'Données projet'!$E$10+1,1))</f>
        <v>482.28841373508675</v>
      </c>
      <c r="AO9" s="62">
        <f t="shared" si="36"/>
        <v>746.97309214631684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</v>
      </c>
      <c r="BD9" s="13">
        <f>IF('Données projet'!$A$88&gt;35,BD8+BC9-BL8,IF(A9&lt;'Données projet'!$A$88,$BA$205^A9,IF(A9='Données projet'!$A$88,'Données projet'!$B$88,BD8+BC9-BL8)))</f>
        <v>6.7869163805431745</v>
      </c>
      <c r="BE9" s="14">
        <f>BD9*VLOOKUP('Données projet'!$B$11,Paramètres!$A$1:$I$89,3,0)*VLOOKUP('Données projet'!$B$11,Paramètres!$A$1:$I$89,5,0)</f>
        <v>4.976167090214255</v>
      </c>
      <c r="BF9" s="14">
        <f t="shared" si="37"/>
        <v>1.9025165651657299</v>
      </c>
      <c r="BG9" s="22">
        <f t="shared" si="7"/>
        <v>11.980374033120137</v>
      </c>
      <c r="BH9" s="62">
        <f t="shared" si="8"/>
        <v>305.31370736645346</v>
      </c>
      <c r="BI9" s="62">
        <f ca="1">AVERAGE(OFFSET($BH$3,0,0,'Données projet'!$E$11+1,1))-AVERAGE(OFFSET($H$3,0,0,'Données projet'!$E$11+1,1))</f>
        <v>350.22629663422435</v>
      </c>
      <c r="BJ9" s="62">
        <f t="shared" si="38"/>
        <v>375.98044319336645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5.4069999999999991</v>
      </c>
      <c r="BY9" s="13">
        <f>IF('Données projet'!$A$114&gt;35,BY8+BX9-CG8,IF(A9&lt;'Données projet'!$A$114,$BV$205^A9,IF(A9='Données projet'!$A$114,'Données projet'!$B$114,BY8+BX9-CG8)))</f>
        <v>5.8025521382172069</v>
      </c>
      <c r="BZ9" s="14">
        <f>BY9*VLOOKUP('Données projet'!$B$12,Paramètres!$A$1:$I$89,3,0)*VLOOKUP('Données projet'!$B$12,Paramètres!$A$1:$I$89,5,0)</f>
        <v>4.6165104811656104</v>
      </c>
      <c r="CA9" s="14">
        <f t="shared" si="39"/>
        <v>1.7804909126295698</v>
      </c>
      <c r="CB9" s="22">
        <f t="shared" si="10"/>
        <v>11.14144409419327</v>
      </c>
      <c r="CC9" s="62">
        <f t="shared" si="11"/>
        <v>304.47477742752659</v>
      </c>
      <c r="CD9" s="62">
        <f ca="1">AVERAGE(OFFSET($CC$3,0,0,'Données projet'!$E$12+1,1))-AVERAGE(OFFSET($H$3,0,0,'Données projet'!$E$12+1,1))</f>
        <v>248.15263300983543</v>
      </c>
      <c r="CE9" s="62">
        <f t="shared" si="40"/>
        <v>266.46511459244618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5.4069999999999991</v>
      </c>
      <c r="CT9" s="13">
        <f>IF('Données projet'!$A$140&gt;35,CT8+CS9-DB8,IF(A9&lt;'Données projet'!$A$140,$CQ$205^A9,IF(A9='Données projet'!$A$140,'Données projet'!$B$140,CT8+CS9-DB8)))</f>
        <v>5.8025521382172069</v>
      </c>
      <c r="CU9" s="18">
        <f>CT9*VLOOKUP('Données projet'!$B$13,Paramètres!$A$1:$I$89,3,0)*VLOOKUP('Données projet'!$B$13,Paramètres!$A$1:$I$89,5,0)</f>
        <v>3.8923519743161026</v>
      </c>
      <c r="CV9" s="14">
        <f t="shared" si="41"/>
        <v>1.5313112783793943</v>
      </c>
      <c r="CW9" s="22">
        <f t="shared" si="13"/>
        <v>9.4462134984446582</v>
      </c>
      <c r="CX9" s="62">
        <f t="shared" si="14"/>
        <v>302.77954683177796</v>
      </c>
      <c r="CY9" s="62">
        <f ca="1">AVERAGE(OFFSET($CX$3,0,0,'Données projet'!$E$13+1,1))-AVERAGE(OFFSET($H$3,0,0,'Données projet'!$E$13+1,1))</f>
        <v>205.35893113421139</v>
      </c>
      <c r="CZ9" s="62">
        <f t="shared" si="42"/>
        <v>220.4399811285175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10.8</v>
      </c>
      <c r="N10" s="14">
        <f>IF('Données projet'!$A$36&gt;35,N9+M10-V9,IF(A10&lt;'Données projet'!$A$36,$K$205^A10,IF(A10='Données projet'!$A$36,'Données projet'!$B$36,N9+M10-V9)))</f>
        <v>10.742540675924095</v>
      </c>
      <c r="O10" s="14">
        <f>N10*VLOOKUP('Données projet'!$B$9,Paramètres!$A$1:$I$89,3,0)*VLOOKUP('Données projet'!$B$9,Paramètres!$A$1:$I$89,5,0)</f>
        <v>6.0050802378415691</v>
      </c>
      <c r="P10" s="14">
        <f t="shared" si="33"/>
        <v>2.2462148263235089</v>
      </c>
      <c r="Q10" s="22">
        <f t="shared" si="2"/>
        <v>14.37100557008751</v>
      </c>
      <c r="R10" s="62">
        <f t="shared" si="0"/>
        <v>307.70433890342082</v>
      </c>
      <c r="S10" s="62">
        <f ca="1">AVERAGE(OFFSET($R$3,0,0,'Données projet'!$E$9+1,1))-AVERAGE(OFFSET($H$3,0,0,'Données projet'!$E$9+1,1))</f>
        <v>490.96084572840579</v>
      </c>
      <c r="T10" s="62">
        <f t="shared" si="34"/>
        <v>597.91658789908263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8.5833333333333339</v>
      </c>
      <c r="AI10" s="14">
        <f>IF('Données projet'!$A$62&gt;35,AI9+AH10-AQ9,IF(A10&lt;'Données projet'!$A$62,$AF$205^A10,IF(A10='Données projet'!$A$62,'Données projet'!$B$62,AI9+AH10-AQ9)))</f>
        <v>14.933274481896314</v>
      </c>
      <c r="AJ10" s="14">
        <f>AI10*VLOOKUP('Données projet'!$B$10,Paramètres!$A$1:$I$89,3,0)*VLOOKUP('Données projet'!$B$10,Paramètres!$A$1:$I$89,5,0)</f>
        <v>9.3183632767033</v>
      </c>
      <c r="AK10" s="14">
        <f t="shared" si="35"/>
        <v>3.3117730561532612</v>
      </c>
      <c r="AL10" s="22">
        <f t="shared" si="4"/>
        <v>21.997487446391844</v>
      </c>
      <c r="AM10" s="62">
        <f t="shared" si="5"/>
        <v>315.33082077972517</v>
      </c>
      <c r="AN10" s="62">
        <f ca="1">AVERAGE(OFFSET($AM$3,0,0,'Données projet'!$E$10+1,1))-AVERAGE(OFFSET($H$3,0,0,'Données projet'!$E$10+1,1))</f>
        <v>482.28841373508675</v>
      </c>
      <c r="AO10" s="62">
        <f t="shared" si="36"/>
        <v>746.97309214631684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</v>
      </c>
      <c r="BD10" s="13">
        <f>IF('Données projet'!$A$88&gt;35,BD9+BC10-BL9,IF(A10&lt;'Données projet'!$A$88,$BA$205^A10,IF(A10='Données projet'!$A$88,'Données projet'!$B$88,BD9+BC10-BL9)))</f>
        <v>9.3386603763567866</v>
      </c>
      <c r="BE10" s="14">
        <f>BD10*VLOOKUP('Données projet'!$B$11,Paramètres!$A$1:$I$89,3,0)*VLOOKUP('Données projet'!$B$11,Paramètres!$A$1:$I$89,5,0)</f>
        <v>6.8471057879447956</v>
      </c>
      <c r="BF10" s="14">
        <f t="shared" si="37"/>
        <v>2.5223542662257743</v>
      </c>
      <c r="BG10" s="22">
        <f t="shared" si="7"/>
        <v>16.318476261013739</v>
      </c>
      <c r="BH10" s="62">
        <f t="shared" si="8"/>
        <v>309.65180959434707</v>
      </c>
      <c r="BI10" s="62">
        <f ca="1">AVERAGE(OFFSET($BH$3,0,0,'Données projet'!$E$11+1,1))-AVERAGE(OFFSET($H$3,0,0,'Données projet'!$E$11+1,1))</f>
        <v>350.22629663422435</v>
      </c>
      <c r="BJ10" s="62">
        <f t="shared" si="38"/>
        <v>375.98044319336645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5.4069999999999991</v>
      </c>
      <c r="BY10" s="13">
        <f>IF('Données projet'!$A$114&gt;35,BY9+BX10-CG9,IF(A10&lt;'Données projet'!$A$114,$BV$205^A10,IF(A10='Données projet'!$A$114,'Données projet'!$B$114,BY9+BX10-CG9)))</f>
        <v>7.77837529470772</v>
      </c>
      <c r="BZ10" s="14">
        <f>BY10*VLOOKUP('Données projet'!$B$12,Paramètres!$A$1:$I$89,3,0)*VLOOKUP('Données projet'!$B$12,Paramètres!$A$1:$I$89,5,0)</f>
        <v>6.188475384469462</v>
      </c>
      <c r="CA10" s="14">
        <f t="shared" si="39"/>
        <v>2.3067227228357567</v>
      </c>
      <c r="CB10" s="22">
        <f t="shared" si="10"/>
        <v>14.795803370223254</v>
      </c>
      <c r="CC10" s="62">
        <f t="shared" si="11"/>
        <v>308.12913670355658</v>
      </c>
      <c r="CD10" s="62">
        <f ca="1">AVERAGE(OFFSET($CC$3,0,0,'Données projet'!$E$12+1,1))-AVERAGE(OFFSET($H$3,0,0,'Données projet'!$E$12+1,1))</f>
        <v>248.15263300983543</v>
      </c>
      <c r="CE10" s="62">
        <f t="shared" si="40"/>
        <v>266.46511459244618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5.4069999999999991</v>
      </c>
      <c r="CT10" s="13">
        <f>IF('Données projet'!$A$140&gt;35,CT9+CS10-DB9,IF(A10&lt;'Données projet'!$A$140,$CQ$205^A10,IF(A10='Données projet'!$A$140,'Données projet'!$B$140,CT9+CS10-DB9)))</f>
        <v>7.77837529470772</v>
      </c>
      <c r="CU10" s="18">
        <f>CT10*VLOOKUP('Données projet'!$B$13,Paramètres!$A$1:$I$89,3,0)*VLOOKUP('Données projet'!$B$13,Paramètres!$A$1:$I$89,5,0)</f>
        <v>5.2177341476899386</v>
      </c>
      <c r="CV10" s="14">
        <f t="shared" si="41"/>
        <v>1.9838969671322977</v>
      </c>
      <c r="CW10" s="22">
        <f t="shared" si="13"/>
        <v>12.542840858315394</v>
      </c>
      <c r="CX10" s="62">
        <f t="shared" si="14"/>
        <v>305.87617419164872</v>
      </c>
      <c r="CY10" s="62">
        <f ca="1">AVERAGE(OFFSET($CX$3,0,0,'Données projet'!$E$13+1,1))-AVERAGE(OFFSET($H$3,0,0,'Données projet'!$E$13+1,1))</f>
        <v>205.35893113421139</v>
      </c>
      <c r="CZ10" s="62">
        <f t="shared" si="42"/>
        <v>220.4399811285175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10.8</v>
      </c>
      <c r="N11" s="14">
        <f>IF('Données projet'!$A$36&gt;35,N10+M11-V10,IF(A11&lt;'Données projet'!$A$36,$K$205^A11,IF(A11='Données projet'!$A$36,'Données projet'!$B$36,N10+M11-V10)))</f>
        <v>15.080231472901943</v>
      </c>
      <c r="O11" s="14">
        <f>N11*VLOOKUP('Données projet'!$B$9,Paramètres!$A$1:$I$89,3,0)*VLOOKUP('Données projet'!$B$9,Paramètres!$A$1:$I$89,5,0)</f>
        <v>8.4298493933521872</v>
      </c>
      <c r="P11" s="14">
        <f t="shared" si="33"/>
        <v>3.0311431985167756</v>
      </c>
      <c r="Q11" s="22">
        <f t="shared" si="2"/>
        <v>19.961228764171775</v>
      </c>
      <c r="R11" s="62">
        <f t="shared" si="0"/>
        <v>313.29456209750509</v>
      </c>
      <c r="S11" s="62">
        <f ca="1">AVERAGE(OFFSET($R$3,0,0,'Données projet'!$E$9+1,1))-AVERAGE(OFFSET($H$3,0,0,'Données projet'!$E$9+1,1))</f>
        <v>490.96084572840579</v>
      </c>
      <c r="T11" s="62">
        <f t="shared" si="34"/>
        <v>597.91658789908263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8.5833333333333339</v>
      </c>
      <c r="AI11" s="14">
        <f>IF('Données projet'!$A$62&gt;35,AI10+AH11-AQ10,IF(A11&lt;'Données projet'!$A$62,$AF$205^A11,IF(A11='Données projet'!$A$62,'Données projet'!$B$62,AI10+AH11-AQ10)))</f>
        <v>21.973107636570681</v>
      </c>
      <c r="AJ11" s="14">
        <f>AI11*VLOOKUP('Données projet'!$B$10,Paramètres!$A$1:$I$89,3,0)*VLOOKUP('Données projet'!$B$10,Paramètres!$A$1:$I$89,5,0)</f>
        <v>13.711219165220106</v>
      </c>
      <c r="AK11" s="14">
        <f t="shared" si="35"/>
        <v>4.6587830081577177</v>
      </c>
      <c r="AL11" s="22">
        <f t="shared" si="4"/>
        <v>31.994420451966377</v>
      </c>
      <c r="AM11" s="62">
        <f t="shared" si="5"/>
        <v>325.32775378529971</v>
      </c>
      <c r="AN11" s="62">
        <f ca="1">AVERAGE(OFFSET($AM$3,0,0,'Données projet'!$E$10+1,1))-AVERAGE(OFFSET($H$3,0,0,'Données projet'!$E$10+1,1))</f>
        <v>482.28841373508675</v>
      </c>
      <c r="AO11" s="62">
        <f t="shared" si="36"/>
        <v>746.97309214631684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</v>
      </c>
      <c r="BD11" s="13">
        <f>IF('Données projet'!$A$88&gt;35,BD10+BC11-BL10,IF(A11&lt;'Données projet'!$A$88,$BA$205^A11,IF(A11='Données projet'!$A$88,'Données projet'!$B$88,BD10+BC11-BL10)))</f>
        <v>12.849808769554429</v>
      </c>
      <c r="BE11" s="14">
        <f>BD11*VLOOKUP('Données projet'!$B$11,Paramètres!$A$1:$I$89,3,0)*VLOOKUP('Données projet'!$B$11,Paramètres!$A$1:$I$89,5,0)</f>
        <v>9.4214797898373064</v>
      </c>
      <c r="BF11" s="14">
        <f t="shared" si="37"/>
        <v>3.3441343748789598</v>
      </c>
      <c r="BG11" s="22">
        <f t="shared" si="7"/>
        <v>22.233444670214165</v>
      </c>
      <c r="BH11" s="62">
        <f t="shared" si="8"/>
        <v>315.56677800354748</v>
      </c>
      <c r="BI11" s="62">
        <f ca="1">AVERAGE(OFFSET($BH$3,0,0,'Données projet'!$E$11+1,1))-AVERAGE(OFFSET($H$3,0,0,'Données projet'!$E$11+1,1))</f>
        <v>350.22629663422435</v>
      </c>
      <c r="BJ11" s="62">
        <f t="shared" si="38"/>
        <v>375.98044319336645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5.4069999999999991</v>
      </c>
      <c r="BY11" s="13">
        <f>IF('Données projet'!$A$114&gt;35,BY10+BX11-CG10,IF(A11&lt;'Données projet'!$A$114,$BV$205^A11,IF(A11='Données projet'!$A$114,'Données projet'!$B$114,BY10+BX11-CG10)))</f>
        <v>10.426984675730733</v>
      </c>
      <c r="BZ11" s="14">
        <f>BY11*VLOOKUP('Données projet'!$B$12,Paramètres!$A$1:$I$89,3,0)*VLOOKUP('Données projet'!$B$12,Paramètres!$A$1:$I$89,5,0)</f>
        <v>8.2957090080113716</v>
      </c>
      <c r="CA11" s="14">
        <f t="shared" si="39"/>
        <v>2.988484626517065</v>
      </c>
      <c r="CB11" s="22">
        <f t="shared" si="10"/>
        <v>19.65330391347036</v>
      </c>
      <c r="CC11" s="62">
        <f t="shared" si="11"/>
        <v>312.9866372468037</v>
      </c>
      <c r="CD11" s="62">
        <f ca="1">AVERAGE(OFFSET($CC$3,0,0,'Données projet'!$E$12+1,1))-AVERAGE(OFFSET($H$3,0,0,'Données projet'!$E$12+1,1))</f>
        <v>248.15263300983543</v>
      </c>
      <c r="CE11" s="62">
        <f t="shared" si="40"/>
        <v>266.46511459244618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5.4069999999999991</v>
      </c>
      <c r="CT11" s="13">
        <f>IF('Données projet'!$A$140&gt;35,CT10+CS11-DB10,IF(A11&lt;'Données projet'!$A$140,$CQ$205^A11,IF(A11='Données projet'!$A$140,'Données projet'!$B$140,CT10+CS11-DB10)))</f>
        <v>10.426984675730733</v>
      </c>
      <c r="CU11" s="18">
        <f>CT11*VLOOKUP('Données projet'!$B$13,Paramètres!$A$1:$I$89,3,0)*VLOOKUP('Données projet'!$B$13,Paramètres!$A$1:$I$89,5,0)</f>
        <v>6.9944213204801757</v>
      </c>
      <c r="CV11" s="14">
        <f t="shared" si="41"/>
        <v>2.5702463188033748</v>
      </c>
      <c r="CW11" s="22">
        <f t="shared" si="13"/>
        <v>16.658462805085517</v>
      </c>
      <c r="CX11" s="62">
        <f t="shared" si="14"/>
        <v>309.99179613841881</v>
      </c>
      <c r="CY11" s="62">
        <f ca="1">AVERAGE(OFFSET($CX$3,0,0,'Données projet'!$E$13+1,1))-AVERAGE(OFFSET($H$3,0,0,'Données projet'!$E$13+1,1))</f>
        <v>205.35893113421139</v>
      </c>
      <c r="CZ11" s="62">
        <f t="shared" si="42"/>
        <v>220.4399811285175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10.8</v>
      </c>
      <c r="N12" s="14">
        <f>IF('Données projet'!$A$36&gt;35,N11+M12-V11,IF(A12&lt;'Données projet'!$A$36,$K$205^A12,IF(A12='Données projet'!$A$36,'Données projet'!$B$36,N11+M12-V11)))</f>
        <v>21.169422405444113</v>
      </c>
      <c r="O12" s="14">
        <f>N12*VLOOKUP('Données projet'!$B$9,Paramètres!$A$1:$I$89,3,0)*VLOOKUP('Données projet'!$B$9,Paramètres!$A$1:$I$89,5,0)</f>
        <v>11.83370712464326</v>
      </c>
      <c r="P12" s="14">
        <f t="shared" si="33"/>
        <v>4.0903608070972819</v>
      </c>
      <c r="Q12" s="22">
        <f t="shared" si="2"/>
        <v>27.734418314448106</v>
      </c>
      <c r="R12" s="62">
        <f t="shared" si="0"/>
        <v>321.06775164778139</v>
      </c>
      <c r="S12" s="62">
        <f ca="1">AVERAGE(OFFSET($R$3,0,0,'Données projet'!$E$9+1,1))-AVERAGE(OFFSET($H$3,0,0,'Données projet'!$E$9+1,1))</f>
        <v>490.96084572840579</v>
      </c>
      <c r="T12" s="62">
        <f t="shared" si="34"/>
        <v>597.91658789908263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8.5833333333333339</v>
      </c>
      <c r="AI12" s="14">
        <f>IF('Données projet'!$A$62&gt;35,AI11+AH12-AQ11,IF(A12&lt;'Données projet'!$A$62,$AF$205^A12,IF(A12='Données projet'!$A$62,'Données projet'!$B$62,AI11+AH12-AQ11)))</f>
        <v>32.331653703522484</v>
      </c>
      <c r="AJ12" s="14">
        <f>AI12*VLOOKUP('Données projet'!$B$10,Paramètres!$A$1:$I$89,3,0)*VLOOKUP('Données projet'!$B$10,Paramètres!$A$1:$I$89,5,0)</f>
        <v>20.174951910998029</v>
      </c>
      <c r="AK12" s="14">
        <f t="shared" si="35"/>
        <v>6.55366740084217</v>
      </c>
      <c r="AL12" s="22">
        <f t="shared" si="4"/>
        <v>46.552345301455006</v>
      </c>
      <c r="AM12" s="62">
        <f t="shared" si="5"/>
        <v>339.88567863478829</v>
      </c>
      <c r="AN12" s="62">
        <f ca="1">AVERAGE(OFFSET($AM$3,0,0,'Données projet'!$E$10+1,1))-AVERAGE(OFFSET($H$3,0,0,'Données projet'!$E$10+1,1))</f>
        <v>482.28841373508675</v>
      </c>
      <c r="AO12" s="62">
        <f t="shared" si="36"/>
        <v>746.97309214631684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</v>
      </c>
      <c r="BD12" s="13">
        <f>IF('Données projet'!$A$88&gt;35,BD11+BC12-BL11,IF(A12&lt;'Données projet'!$A$88,$BA$205^A12,IF(A12='Données projet'!$A$88,'Données projet'!$B$88,BD11+BC12-BL11)))</f>
        <v>17.681078308849884</v>
      </c>
      <c r="BE12" s="14">
        <f>BD12*VLOOKUP('Données projet'!$B$11,Paramètres!$A$1:$I$89,3,0)*VLOOKUP('Données projet'!$B$11,Paramètres!$A$1:$I$89,5,0)</f>
        <v>12.963766616048733</v>
      </c>
      <c r="BF12" s="14">
        <f t="shared" si="37"/>
        <v>4.4336494944386535</v>
      </c>
      <c r="BG12" s="22">
        <f t="shared" si="7"/>
        <v>30.30049972576553</v>
      </c>
      <c r="BH12" s="62">
        <f t="shared" si="8"/>
        <v>323.63383305909883</v>
      </c>
      <c r="BI12" s="62">
        <f ca="1">AVERAGE(OFFSET($BH$3,0,0,'Données projet'!$E$11+1,1))-AVERAGE(OFFSET($H$3,0,0,'Données projet'!$E$11+1,1))</f>
        <v>350.22629663422435</v>
      </c>
      <c r="BJ12" s="62">
        <f t="shared" si="38"/>
        <v>375.98044319336645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5.4069999999999991</v>
      </c>
      <c r="BY12" s="13">
        <f>IF('Données projet'!$A$114&gt;35,BY11+BX12-CG11,IF(A12&lt;'Données projet'!$A$114,$BV$205^A12,IF(A12='Données projet'!$A$114,'Données projet'!$B$114,BY11+BX12-CG11)))</f>
        <v>13.97747026964567</v>
      </c>
      <c r="BZ12" s="14">
        <f>BY12*VLOOKUP('Données projet'!$B$12,Paramètres!$A$1:$I$89,3,0)*VLOOKUP('Données projet'!$B$12,Paramètres!$A$1:$I$89,5,0)</f>
        <v>11.120475346530094</v>
      </c>
      <c r="CA12" s="14">
        <f t="shared" si="39"/>
        <v>3.8717442172458063</v>
      </c>
      <c r="CB12" s="22">
        <f t="shared" si="10"/>
        <v>26.111449073576356</v>
      </c>
      <c r="CC12" s="62">
        <f t="shared" si="11"/>
        <v>319.44478240690967</v>
      </c>
      <c r="CD12" s="62">
        <f ca="1">AVERAGE(OFFSET($CC$3,0,0,'Données projet'!$E$12+1,1))-AVERAGE(OFFSET($H$3,0,0,'Données projet'!$E$12+1,1))</f>
        <v>248.15263300983543</v>
      </c>
      <c r="CE12" s="62">
        <f t="shared" si="40"/>
        <v>266.46511459244618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5.4069999999999991</v>
      </c>
      <c r="CT12" s="13">
        <f>IF('Données projet'!$A$140&gt;35,CT11+CS12-DB11,IF(A12&lt;'Données projet'!$A$140,$CQ$205^A12,IF(A12='Données projet'!$A$140,'Données projet'!$B$140,CT11+CS12-DB11)))</f>
        <v>13.97747026964567</v>
      </c>
      <c r="CU12" s="18">
        <f>CT12*VLOOKUP('Données projet'!$B$13,Paramètres!$A$1:$I$89,3,0)*VLOOKUP('Données projet'!$B$13,Paramètres!$A$1:$I$89,5,0)</f>
        <v>9.3760870568783155</v>
      </c>
      <c r="CV12" s="14">
        <f t="shared" si="41"/>
        <v>3.3298937640251784</v>
      </c>
      <c r="CW12" s="22">
        <f t="shared" si="13"/>
        <v>22.129583263073584</v>
      </c>
      <c r="CX12" s="62">
        <f t="shared" si="14"/>
        <v>315.4629165964069</v>
      </c>
      <c r="CY12" s="62">
        <f ca="1">AVERAGE(OFFSET($CX$3,0,0,'Données projet'!$E$13+1,1))-AVERAGE(OFFSET($H$3,0,0,'Données projet'!$E$13+1,1))</f>
        <v>205.35893113421139</v>
      </c>
      <c r="CZ12" s="62">
        <f t="shared" si="42"/>
        <v>220.4399811285175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10.8</v>
      </c>
      <c r="N13" s="14">
        <f>IF('Données projet'!$A$36&gt;35,N12+M13-V12,IF(A13&lt;'Données projet'!$A$36,$K$205^A13,IF(A13='Données projet'!$A$36,'Données projet'!$B$36,N12+M13-V12)))</f>
        <v>29.717345240051621</v>
      </c>
      <c r="O13" s="14">
        <f>N13*VLOOKUP('Données projet'!$B$9,Paramètres!$A$1:$I$89,3,0)*VLOOKUP('Données projet'!$B$9,Paramètres!$A$1:$I$89,5,0)</f>
        <v>16.611995989188856</v>
      </c>
      <c r="P13" s="14">
        <f t="shared" si="33"/>
        <v>5.5197166337850669</v>
      </c>
      <c r="Q13" s="22">
        <f t="shared" si="2"/>
        <v>38.546066151679575</v>
      </c>
      <c r="R13" s="62">
        <f t="shared" si="0"/>
        <v>331.87939948501287</v>
      </c>
      <c r="S13" s="62">
        <f ca="1">AVERAGE(OFFSET($R$3,0,0,'Données projet'!$E$9+1,1))-AVERAGE(OFFSET($H$3,0,0,'Données projet'!$E$9+1,1))</f>
        <v>490.96084572840579</v>
      </c>
      <c r="T13" s="62">
        <f t="shared" si="34"/>
        <v>597.91658789908263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8.5833333333333339</v>
      </c>
      <c r="AI13" s="14">
        <f>IF('Données projet'!$A$62&gt;35,AI12+AH13-AQ12,IF(A13&lt;'Données projet'!$A$62,$AF$205^A13,IF(A13='Données projet'!$A$62,'Données projet'!$B$62,AI12+AH13-AQ12)))</f>
        <v>47.573417856685268</v>
      </c>
      <c r="AJ13" s="14">
        <f>AI13*VLOOKUP('Données projet'!$B$10,Paramètres!$A$1:$I$89,3,0)*VLOOKUP('Données projet'!$B$10,Paramètres!$A$1:$I$89,5,0)</f>
        <v>29.685812742571606</v>
      </c>
      <c r="AK13" s="14">
        <f t="shared" si="35"/>
        <v>9.2192652728519882</v>
      </c>
      <c r="AL13" s="22">
        <f t="shared" si="4"/>
        <v>67.759677543529421</v>
      </c>
      <c r="AM13" s="62">
        <f t="shared" si="5"/>
        <v>361.09301087686276</v>
      </c>
      <c r="AN13" s="62">
        <f ca="1">AVERAGE(OFFSET($AM$3,0,0,'Données projet'!$E$10+1,1))-AVERAGE(OFFSET($H$3,0,0,'Données projet'!$E$10+1,1))</f>
        <v>482.28841373508675</v>
      </c>
      <c r="AO13" s="62">
        <f t="shared" si="36"/>
        <v>746.97309214631684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</v>
      </c>
      <c r="BD13" s="13">
        <f>IF('Données projet'!$A$88&gt;35,BD12+BC13-BL12,IF(A13&lt;'Données projet'!$A$88,$BA$205^A13,IF(A13='Données projet'!$A$88,'Données projet'!$B$88,BD12+BC13-BL12)))</f>
        <v>24.328807982293586</v>
      </c>
      <c r="BE13" s="14">
        <f>BD13*VLOOKUP('Données projet'!$B$11,Paramètres!$A$1:$I$89,3,0)*VLOOKUP('Données projet'!$B$11,Paramètres!$A$1:$I$89,5,0)</f>
        <v>17.837882012617658</v>
      </c>
      <c r="BF13" s="14">
        <f t="shared" si="37"/>
        <v>5.8781273824403781</v>
      </c>
      <c r="BG13" s="22">
        <f t="shared" si="7"/>
        <v>41.30538302972608</v>
      </c>
      <c r="BH13" s="62">
        <f t="shared" si="8"/>
        <v>334.63871636305942</v>
      </c>
      <c r="BI13" s="62">
        <f ca="1">AVERAGE(OFFSET($BH$3,0,0,'Données projet'!$E$11+1,1))-AVERAGE(OFFSET($H$3,0,0,'Données projet'!$E$11+1,1))</f>
        <v>350.22629663422435</v>
      </c>
      <c r="BJ13" s="62">
        <f t="shared" si="38"/>
        <v>375.98044319336645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5.4069999999999991</v>
      </c>
      <c r="BY13" s="13">
        <f>IF('Données projet'!$A$114&gt;35,BY12+BX13-CG12,IF(A13&lt;'Données projet'!$A$114,$BV$205^A13,IF(A13='Données projet'!$A$114,'Données projet'!$B$114,BY12+BX13-CG12)))</f>
        <v>18.736929343874468</v>
      </c>
      <c r="BZ13" s="14">
        <f>BY13*VLOOKUP('Données projet'!$B$12,Paramètres!$A$1:$I$89,3,0)*VLOOKUP('Données projet'!$B$12,Paramètres!$A$1:$I$89,5,0)</f>
        <v>14.90710098598653</v>
      </c>
      <c r="CA13" s="14">
        <f t="shared" si="39"/>
        <v>5.0160550102099526</v>
      </c>
      <c r="CB13" s="22">
        <f t="shared" si="10"/>
        <v>34.699496693375536</v>
      </c>
      <c r="CC13" s="62">
        <f t="shared" si="11"/>
        <v>328.03283002670884</v>
      </c>
      <c r="CD13" s="62">
        <f ca="1">AVERAGE(OFFSET($CC$3,0,0,'Données projet'!$E$12+1,1))-AVERAGE(OFFSET($H$3,0,0,'Données projet'!$E$12+1,1))</f>
        <v>248.15263300983543</v>
      </c>
      <c r="CE13" s="62">
        <f t="shared" si="40"/>
        <v>266.46511459244618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5.4069999999999991</v>
      </c>
      <c r="CT13" s="13">
        <f>IF('Données projet'!$A$140&gt;35,CT12+CS13-DB12,IF(A13&lt;'Données projet'!$A$140,$CQ$205^A13,IF(A13='Données projet'!$A$140,'Données projet'!$B$140,CT12+CS13-DB12)))</f>
        <v>18.736929343874468</v>
      </c>
      <c r="CU13" s="18">
        <f>CT13*VLOOKUP('Données projet'!$B$13,Paramètres!$A$1:$I$89,3,0)*VLOOKUP('Données projet'!$B$13,Paramètres!$A$1:$I$89,5,0)</f>
        <v>12.568732203870994</v>
      </c>
      <c r="CV13" s="14">
        <f t="shared" si="41"/>
        <v>4.3140583058420932</v>
      </c>
      <c r="CW13" s="22">
        <f t="shared" si="13"/>
        <v>29.404193471083619</v>
      </c>
      <c r="CX13" s="62">
        <f t="shared" si="14"/>
        <v>322.73752680441692</v>
      </c>
      <c r="CY13" s="62">
        <f ca="1">AVERAGE(OFFSET($CX$3,0,0,'Données projet'!$E$13+1,1))-AVERAGE(OFFSET($H$3,0,0,'Données projet'!$E$13+1,1))</f>
        <v>205.35893113421139</v>
      </c>
      <c r="CZ13" s="62">
        <f t="shared" si="42"/>
        <v>220.4399811285175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41.716802244415881</v>
      </c>
      <c r="O14" s="14">
        <f>N14*VLOOKUP('Données projet'!$B$9,Paramètres!$A$1:$I$89,3,0)*VLOOKUP('Données projet'!$B$9,Paramètres!$A$1:$I$89,5,0)</f>
        <v>23.319692454628481</v>
      </c>
      <c r="P14" s="14">
        <f t="shared" si="33"/>
        <v>7.4485536005574575</v>
      </c>
      <c r="Q14" s="22">
        <f t="shared" si="2"/>
        <v>53.58802854611551</v>
      </c>
      <c r="R14" s="62">
        <f t="shared" si="0"/>
        <v>346.9213618794488</v>
      </c>
      <c r="S14" s="62">
        <f ca="1">AVERAGE(OFFSET($R$3,0,0,'Données projet'!$E$9+1,1))-AVERAGE(OFFSET($H$3,0,0,'Données projet'!$E$9+1,1))</f>
        <v>490.96084572840579</v>
      </c>
      <c r="T14" s="62">
        <f t="shared" si="34"/>
        <v>597.91658789908263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8.5833333333333339</v>
      </c>
      <c r="AI14" s="14">
        <f>IF('Données projet'!$A$62&gt;35,AI13+AH14-AQ13,IF(A14&lt;'Données projet'!$A$62,$AF$205^A14,IF(A14='Données projet'!$A$62,'Données projet'!$B$62,AI13+AH14-AQ13)))</f>
        <v>70.000443136015818</v>
      </c>
      <c r="AJ14" s="14">
        <f>AI14*VLOOKUP('Données projet'!$B$10,Paramètres!$A$1:$I$89,3,0)*VLOOKUP('Données projet'!$B$10,Paramètres!$A$1:$I$89,5,0)</f>
        <v>43.680276516873867</v>
      </c>
      <c r="AK14" s="14">
        <f t="shared" si="35"/>
        <v>12.969051825897136</v>
      </c>
      <c r="AL14" s="22">
        <f t="shared" si="4"/>
        <v>98.664246863659471</v>
      </c>
      <c r="AM14" s="62">
        <f t="shared" si="5"/>
        <v>391.99758019699277</v>
      </c>
      <c r="AN14" s="62">
        <f ca="1">AVERAGE(OFFSET($AM$3,0,0,'Données projet'!$E$10+1,1))-AVERAGE(OFFSET($H$3,0,0,'Données projet'!$E$10+1,1))</f>
        <v>482.28841373508675</v>
      </c>
      <c r="AO14" s="62">
        <f t="shared" si="36"/>
        <v>746.97309214631684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</v>
      </c>
      <c r="BD14" s="13">
        <f>IF('Données projet'!$A$88&gt;35,BD13+BC14-BL13,IF(A14&lt;'Données projet'!$A$88,$BA$205^A14,IF(A14='Données projet'!$A$88,'Données projet'!$B$88,BD13+BC14-BL13)))</f>
        <v>33.475950250333646</v>
      </c>
      <c r="BE14" s="14">
        <f>BD14*VLOOKUP('Données projet'!$B$11,Paramètres!$A$1:$I$89,3,0)*VLOOKUP('Données projet'!$B$11,Paramètres!$A$1:$I$89,5,0)</f>
        <v>24.54456672354463</v>
      </c>
      <c r="BF14" s="14">
        <f t="shared" si="37"/>
        <v>7.793214499147056</v>
      </c>
      <c r="BG14" s="22">
        <f t="shared" si="7"/>
        <v>56.321635629521353</v>
      </c>
      <c r="BH14" s="62">
        <f t="shared" si="8"/>
        <v>349.6549689628547</v>
      </c>
      <c r="BI14" s="62">
        <f ca="1">AVERAGE(OFFSET($BH$3,0,0,'Données projet'!$E$11+1,1))-AVERAGE(OFFSET($H$3,0,0,'Données projet'!$E$11+1,1))</f>
        <v>350.22629663422435</v>
      </c>
      <c r="BJ14" s="62">
        <f t="shared" si="38"/>
        <v>375.98044319336645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5.4069999999999991</v>
      </c>
      <c r="BY14" s="13">
        <f>IF('Données projet'!$A$114&gt;35,BY13+BX14-CG13,IF(A14&lt;'Données projet'!$A$114,$BV$205^A14,IF(A14='Données projet'!$A$114,'Données projet'!$B$114,BY13+BX14-CG13)))</f>
        <v>25.117028651440222</v>
      </c>
      <c r="BZ14" s="14">
        <f>BY14*VLOOKUP('Données projet'!$B$12,Paramètres!$A$1:$I$89,3,0)*VLOOKUP('Données projet'!$B$12,Paramètres!$A$1:$I$89,5,0)</f>
        <v>19.983107995085842</v>
      </c>
      <c r="CA14" s="14">
        <f t="shared" si="39"/>
        <v>6.4985718202610725</v>
      </c>
      <c r="CB14" s="22">
        <f t="shared" si="10"/>
        <v>46.122259011729206</v>
      </c>
      <c r="CC14" s="62">
        <f t="shared" si="11"/>
        <v>339.45559234506254</v>
      </c>
      <c r="CD14" s="62">
        <f ca="1">AVERAGE(OFFSET($CC$3,0,0,'Données projet'!$E$12+1,1))-AVERAGE(OFFSET($H$3,0,0,'Données projet'!$E$12+1,1))</f>
        <v>248.15263300983543</v>
      </c>
      <c r="CE14" s="62">
        <f t="shared" si="40"/>
        <v>266.46511459244618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5.4069999999999991</v>
      </c>
      <c r="CT14" s="13">
        <f>IF('Données projet'!$A$140&gt;35,CT13+CS14-DB13,IF(A14&lt;'Données projet'!$A$140,$CQ$205^A14,IF(A14='Données projet'!$A$140,'Données projet'!$B$140,CT13+CS14-DB13)))</f>
        <v>25.117028651440222</v>
      </c>
      <c r="CU14" s="18">
        <f>CT14*VLOOKUP('Données projet'!$B$13,Paramètres!$A$1:$I$89,3,0)*VLOOKUP('Données projet'!$B$13,Paramètres!$A$1:$I$89,5,0)</f>
        <v>16.848502819386102</v>
      </c>
      <c r="CV14" s="14">
        <f t="shared" si="41"/>
        <v>5.5890969457560269</v>
      </c>
      <c r="CW14" s="22">
        <f t="shared" si="13"/>
        <v>39.078819590955874</v>
      </c>
      <c r="CX14" s="62">
        <f t="shared" si="14"/>
        <v>332.41215292428922</v>
      </c>
      <c r="CY14" s="62">
        <f ca="1">AVERAGE(OFFSET($CX$3,0,0,'Données projet'!$E$13+1,1))-AVERAGE(OFFSET($H$3,0,0,'Données projet'!$E$13+1,1))</f>
        <v>205.35893113421139</v>
      </c>
      <c r="CZ14" s="62">
        <f t="shared" si="42"/>
        <v>220.4399811285175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58.561475644675681</v>
      </c>
      <c r="O15" s="14">
        <f>N15*VLOOKUP('Données projet'!$B$9,Paramètres!$A$1:$I$89,3,0)*VLOOKUP('Données projet'!$B$9,Paramètres!$A$1:$I$89,5,0)</f>
        <v>32.735864885373708</v>
      </c>
      <c r="P15" s="14">
        <f t="shared" si="33"/>
        <v>10.051412857100269</v>
      </c>
      <c r="Q15" s="22">
        <f t="shared" si="2"/>
        <v>74.521175401475503</v>
      </c>
      <c r="R15" s="62">
        <f t="shared" si="0"/>
        <v>367.8545087348088</v>
      </c>
      <c r="S15" s="62">
        <f ca="1">AVERAGE(OFFSET($R$3,0,0,'Données projet'!$E$9+1,1))-AVERAGE(OFFSET($H$3,0,0,'Données projet'!$E$9+1,1))</f>
        <v>490.96084572840579</v>
      </c>
      <c r="T15" s="62">
        <f t="shared" si="34"/>
        <v>597.91658789908263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103</v>
      </c>
      <c r="AG15" s="13">
        <f>VLOOKUP(A15,'Données projet'!$A$61:$I$81,9,0)</f>
        <v>8.5833333333333339</v>
      </c>
      <c r="AH15" s="13">
        <f t="array" ref="AH15">INDEX(AG:AG,MIN(IF(ISNUMBER(AG15:AG211),ROW(AG15:AG211),"")))</f>
        <v>8.5833333333333339</v>
      </c>
      <c r="AI15" s="14">
        <f>IF('Données projet'!$A$62&gt;35,AI14+AH15-AQ14,IF(A15&lt;'Données projet'!$A$62,$AF$205^A15,IF(A15='Données projet'!$A$62,'Données projet'!$B$62,AI14+AH15-AQ14)))</f>
        <v>103</v>
      </c>
      <c r="AJ15" s="14">
        <f>AI15*VLOOKUP('Données projet'!$B$10,Paramètres!$A$1:$I$89,3,0)*VLOOKUP('Données projet'!$B$10,Paramètres!$A$1:$I$89,5,0)</f>
        <v>64.272000000000006</v>
      </c>
      <c r="AK15" s="14">
        <f t="shared" si="35"/>
        <v>18.244003213368217</v>
      </c>
      <c r="AL15" s="22">
        <f t="shared" si="4"/>
        <v>143.71537226328297</v>
      </c>
      <c r="AM15" s="62">
        <f t="shared" si="5"/>
        <v>437.04870559661629</v>
      </c>
      <c r="AN15" s="62">
        <f ca="1">AVERAGE(OFFSET($AM$3,0,0,'Données projet'!$E$10+1,1))-AVERAGE(OFFSET($H$3,0,0,'Données projet'!$E$10+1,1))</f>
        <v>482.28841373508675</v>
      </c>
      <c r="AO15" s="62">
        <f t="shared" si="36"/>
        <v>746.97309214631684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0.33600000000000002</v>
      </c>
      <c r="AT15" s="17">
        <f>IF(ISNA(VLOOKUP(A15,'Données projet'!$A$61:$I$81,7,0)),0%,VLOOKUP(A15,'Données projet'!$A$61:$I$81,7,0))</f>
        <v>0.44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</v>
      </c>
      <c r="BD15" s="13">
        <f>IF('Données projet'!$A$88&gt;35,BD14+BC15-BL14,IF(A15&lt;'Données projet'!$A$88,$BA$205^A15,IF(A15='Données projet'!$A$88,'Données projet'!$B$88,BD14+BC15-BL14)))</f>
        <v>46.062233956485265</v>
      </c>
      <c r="BE15" s="14">
        <f>BD15*VLOOKUP('Données projet'!$B$11,Paramètres!$A$1:$I$89,3,0)*VLOOKUP('Données projet'!$B$11,Paramètres!$A$1:$I$89,5,0)</f>
        <v>33.772829936894993</v>
      </c>
      <c r="BF15" s="14">
        <f t="shared" si="37"/>
        <v>10.332234788096985</v>
      </c>
      <c r="BG15" s="22">
        <f t="shared" si="7"/>
        <v>76.816321062694342</v>
      </c>
      <c r="BH15" s="62">
        <f t="shared" si="8"/>
        <v>370.14965439602764</v>
      </c>
      <c r="BI15" s="62">
        <f ca="1">AVERAGE(OFFSET($BH$3,0,0,'Données projet'!$E$11+1,1))-AVERAGE(OFFSET($H$3,0,0,'Données projet'!$E$11+1,1))</f>
        <v>350.22629663422435</v>
      </c>
      <c r="BJ15" s="62">
        <f t="shared" si="38"/>
        <v>375.98044319336645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5.4069999999999991</v>
      </c>
      <c r="BY15" s="13">
        <f>IF('Données projet'!$A$114&gt;35,BY14+BX15-CG14,IF(A15&lt;'Données projet'!$A$114,$BV$205^A15,IF(A15='Données projet'!$A$114,'Données projet'!$B$114,BY14+BX15-CG14)))</f>
        <v>33.669611316729082</v>
      </c>
      <c r="BZ15" s="14">
        <f>BY15*VLOOKUP('Données projet'!$B$12,Paramètres!$A$1:$I$89,3,0)*VLOOKUP('Données projet'!$B$12,Paramètres!$A$1:$I$89,5,0)</f>
        <v>26.787542763589659</v>
      </c>
      <c r="CA15" s="14">
        <f t="shared" si="39"/>
        <v>8.4192529023567566</v>
      </c>
      <c r="CB15" s="22">
        <f t="shared" si="10"/>
        <v>61.318502451523329</v>
      </c>
      <c r="CC15" s="62">
        <f t="shared" si="11"/>
        <v>354.65183578485664</v>
      </c>
      <c r="CD15" s="62">
        <f ca="1">AVERAGE(OFFSET($CC$3,0,0,'Données projet'!$E$12+1,1))-AVERAGE(OFFSET($H$3,0,0,'Données projet'!$E$12+1,1))</f>
        <v>248.15263300983543</v>
      </c>
      <c r="CE15" s="62">
        <f t="shared" si="40"/>
        <v>266.46511459244618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5.4069999999999991</v>
      </c>
      <c r="CT15" s="13">
        <f>IF('Données projet'!$A$140&gt;35,CT14+CS15-DB14,IF(A15&lt;'Données projet'!$A$140,$CQ$205^A15,IF(A15='Données projet'!$A$140,'Données projet'!$B$140,CT14+CS15-DB14)))</f>
        <v>33.669611316729082</v>
      </c>
      <c r="CU15" s="18">
        <f>CT15*VLOOKUP('Données projet'!$B$13,Paramètres!$A$1:$I$89,3,0)*VLOOKUP('Données projet'!$B$13,Paramètres!$A$1:$I$89,5,0)</f>
        <v>22.58557527126187</v>
      </c>
      <c r="CV15" s="14">
        <f t="shared" si="41"/>
        <v>7.240978784815419</v>
      </c>
      <c r="CW15" s="22">
        <f t="shared" si="13"/>
        <v>51.947914981001276</v>
      </c>
      <c r="CX15" s="62">
        <f t="shared" si="14"/>
        <v>345.28124831433456</v>
      </c>
      <c r="CY15" s="62">
        <f ca="1">AVERAGE(OFFSET($CX$3,0,0,'Données projet'!$E$13+1,1))-AVERAGE(OFFSET($H$3,0,0,'Données projet'!$E$13+1,1))</f>
        <v>205.35893113421139</v>
      </c>
      <c r="CZ15" s="62">
        <f t="shared" si="42"/>
        <v>220.4399811285175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82.20779746225638</v>
      </c>
      <c r="O16" s="14">
        <f>N16*VLOOKUP('Données projet'!$B$9,Paramètres!$A$1:$I$89,3,0)*VLOOKUP('Données projet'!$B$9,Paramètres!$A$1:$I$89,5,0)</f>
        <v>45.954158781401318</v>
      </c>
      <c r="P16" s="14">
        <f t="shared" si="33"/>
        <v>13.563828072113143</v>
      </c>
      <c r="Q16" s="22">
        <f t="shared" si="2"/>
        <v>103.66049376987102</v>
      </c>
      <c r="R16" s="62">
        <f t="shared" si="0"/>
        <v>396.99382710320435</v>
      </c>
      <c r="S16" s="62">
        <f ca="1">AVERAGE(OFFSET($R$3,0,0,'Données projet'!$E$9+1,1))-AVERAGE(OFFSET($H$3,0,0,'Données projet'!$E$9+1,1))</f>
        <v>490.96084572840579</v>
      </c>
      <c r="T16" s="62">
        <f t="shared" si="34"/>
        <v>597.91658789908263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26.5</v>
      </c>
      <c r="AI16" s="14">
        <f>IF('Données projet'!$A$62&gt;35,AI15+AH16-AQ15,IF(A16&lt;'Données projet'!$A$62,$AF$205^A16,IF(A16='Données projet'!$A$62,'Données projet'!$B$62,AI15+AH16-AQ15)))</f>
        <v>129.5</v>
      </c>
      <c r="AJ16" s="14">
        <f>AI16*VLOOKUP('Données projet'!$B$10,Paramètres!$A$1:$I$89,3,0)*VLOOKUP('Données projet'!$B$10,Paramètres!$A$1:$I$89,5,0)</f>
        <v>80.807999999999993</v>
      </c>
      <c r="AK16" s="14">
        <f t="shared" si="35"/>
        <v>22.334628633536209</v>
      </c>
      <c r="AL16" s="22">
        <f t="shared" si="4"/>
        <v>179.64007820340888</v>
      </c>
      <c r="AM16" s="62">
        <f t="shared" si="5"/>
        <v>472.97341153674222</v>
      </c>
      <c r="AN16" s="62">
        <f ca="1">AVERAGE(OFFSET($AM$3,0,0,'Données projet'!$E$10+1,1))-AVERAGE(OFFSET($H$3,0,0,'Données projet'!$E$10+1,1))</f>
        <v>482.28841373508675</v>
      </c>
      <c r="AO16" s="62">
        <f t="shared" si="36"/>
        <v>746.97309214631684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</v>
      </c>
      <c r="BD16" s="13">
        <f>IF('Données projet'!$A$88&gt;35,BD15+BC16-BL15,IF(A16&lt;'Données projet'!$A$88,$BA$205^A16,IF(A16='Données projet'!$A$88,'Données projet'!$B$88,BD15+BC16-BL15)))</f>
        <v>63.380707080625371</v>
      </c>
      <c r="BE16" s="14">
        <f>BD16*VLOOKUP('Données projet'!$B$11,Paramètres!$A$1:$I$89,3,0)*VLOOKUP('Données projet'!$B$11,Paramètres!$A$1:$I$89,5,0)</f>
        <v>46.470734431514515</v>
      </c>
      <c r="BF16" s="14">
        <f t="shared" si="37"/>
        <v>13.69846495666782</v>
      </c>
      <c r="BG16" s="22">
        <f t="shared" si="7"/>
        <v>104.79468893441758</v>
      </c>
      <c r="BH16" s="62">
        <f t="shared" si="8"/>
        <v>398.12802226775091</v>
      </c>
      <c r="BI16" s="62">
        <f ca="1">AVERAGE(OFFSET($BH$3,0,0,'Données projet'!$E$11+1,1))-AVERAGE(OFFSET($H$3,0,0,'Données projet'!$E$11+1,1))</f>
        <v>350.22629663422435</v>
      </c>
      <c r="BJ16" s="62">
        <f t="shared" si="38"/>
        <v>375.98044319336645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5.4069999999999991</v>
      </c>
      <c r="BY16" s="13">
        <f>IF('Données projet'!$A$114&gt;35,BY15+BX16-CG15,IF(A16&lt;'Données projet'!$A$114,$BV$205^A16,IF(A16='Données projet'!$A$114,'Données projet'!$B$114,BY15+BX16-CG15)))</f>
        <v>45.134428198162176</v>
      </c>
      <c r="BZ16" s="14">
        <f>BY16*VLOOKUP('Données projet'!$B$12,Paramètres!$A$1:$I$89,3,0)*VLOOKUP('Données projet'!$B$12,Paramètres!$A$1:$I$89,5,0)</f>
        <v>35.908951074457832</v>
      </c>
      <c r="CA16" s="14">
        <f t="shared" si="39"/>
        <v>10.907599607169535</v>
      </c>
      <c r="CB16" s="22">
        <f t="shared" si="10"/>
        <v>81.538825770500992</v>
      </c>
      <c r="CC16" s="62">
        <f t="shared" si="11"/>
        <v>374.87215910383429</v>
      </c>
      <c r="CD16" s="62">
        <f ca="1">AVERAGE(OFFSET($CC$3,0,0,'Données projet'!$E$12+1,1))-AVERAGE(OFFSET($H$3,0,0,'Données projet'!$E$12+1,1))</f>
        <v>248.15263300983543</v>
      </c>
      <c r="CE16" s="62">
        <f t="shared" si="40"/>
        <v>266.46511459244618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5.4069999999999991</v>
      </c>
      <c r="CT16" s="13">
        <f>IF('Données projet'!$A$140&gt;35,CT15+CS16-DB15,IF(A16&lt;'Données projet'!$A$140,$CQ$205^A16,IF(A16='Données projet'!$A$140,'Données projet'!$B$140,CT15+CS16-DB15)))</f>
        <v>45.134428198162176</v>
      </c>
      <c r="CU16" s="18">
        <f>CT16*VLOOKUP('Données projet'!$B$13,Paramètres!$A$1:$I$89,3,0)*VLOOKUP('Données projet'!$B$13,Paramètres!$A$1:$I$89,5,0)</f>
        <v>30.276174435327189</v>
      </c>
      <c r="CV16" s="14">
        <f t="shared" si="41"/>
        <v>9.3810814646827669</v>
      </c>
      <c r="CW16" s="22">
        <f t="shared" si="13"/>
        <v>69.069720692517336</v>
      </c>
      <c r="CX16" s="62">
        <f t="shared" si="14"/>
        <v>362.40305402585068</v>
      </c>
      <c r="CY16" s="62">
        <f ca="1">AVERAGE(OFFSET($CX$3,0,0,'Données projet'!$E$13+1,1))-AVERAGE(OFFSET($H$3,0,0,'Données projet'!$E$13+1,1))</f>
        <v>205.35893113421139</v>
      </c>
      <c r="CZ16" s="62">
        <f t="shared" si="42"/>
        <v>220.4399811285175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115.40218017388374</v>
      </c>
      <c r="O17" s="14">
        <f>N17*VLOOKUP('Données projet'!$B$9,Paramètres!$A$1:$I$89,3,0)*VLOOKUP('Données projet'!$B$9,Paramètres!$A$1:$I$89,5,0)</f>
        <v>64.509818717201014</v>
      </c>
      <c r="P17" s="14">
        <f t="shared" si="33"/>
        <v>18.303638959560171</v>
      </c>
      <c r="Q17" s="22">
        <f t="shared" si="2"/>
        <v>144.23343878702573</v>
      </c>
      <c r="R17" s="62">
        <f t="shared" si="0"/>
        <v>437.56677212035902</v>
      </c>
      <c r="S17" s="62">
        <f ca="1">AVERAGE(OFFSET($R$3,0,0,'Données projet'!$E$9+1,1))-AVERAGE(OFFSET($H$3,0,0,'Données projet'!$E$9+1,1))</f>
        <v>490.96084572840579</v>
      </c>
      <c r="T17" s="62">
        <f t="shared" si="34"/>
        <v>597.91658789908263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26.5</v>
      </c>
      <c r="AI17" s="14">
        <f>IF('Données projet'!$A$62&gt;35,AI16+AH17-AQ16,IF(A17&lt;'Données projet'!$A$62,$AF$205^A17,IF(A17='Données projet'!$A$62,'Données projet'!$B$62,AI16+AH17-AQ16)))</f>
        <v>156</v>
      </c>
      <c r="AJ17" s="14">
        <f>AI17*VLOOKUP('Données projet'!$B$10,Paramètres!$A$1:$I$89,3,0)*VLOOKUP('Données projet'!$B$10,Paramètres!$A$1:$I$89,5,0)</f>
        <v>97.343999999999994</v>
      </c>
      <c r="AK17" s="14">
        <f t="shared" si="35"/>
        <v>26.328254259866451</v>
      </c>
      <c r="AL17" s="22">
        <f t="shared" si="4"/>
        <v>215.39584283593408</v>
      </c>
      <c r="AM17" s="62">
        <f t="shared" si="5"/>
        <v>508.72917616926736</v>
      </c>
      <c r="AN17" s="62">
        <f ca="1">AVERAGE(OFFSET($AM$3,0,0,'Données projet'!$E$10+1,1))-AVERAGE(OFFSET($H$3,0,0,'Données projet'!$E$10+1,1))</f>
        <v>482.28841373508675</v>
      </c>
      <c r="AO17" s="62">
        <f t="shared" si="36"/>
        <v>746.97309214631684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</v>
      </c>
      <c r="BD17" s="13">
        <f>IF('Données projet'!$A$88&gt;35,BD16+BC17-BL16,IF(A17&lt;'Données projet'!$A$88,$BA$205^A17,IF(A17='Données projet'!$A$88,'Données projet'!$B$88,BD16+BC17-BL16)))</f>
        <v>87.210577624936278</v>
      </c>
      <c r="BE17" s="14">
        <f>BD17*VLOOKUP('Données projet'!$B$11,Paramètres!$A$1:$I$89,3,0)*VLOOKUP('Données projet'!$B$11,Paramètres!$A$1:$I$89,5,0)</f>
        <v>63.942795514603283</v>
      </c>
      <c r="BF17" s="14">
        <f t="shared" si="37"/>
        <v>18.161409028880364</v>
      </c>
      <c r="BG17" s="22">
        <f t="shared" si="7"/>
        <v>142.99815624656733</v>
      </c>
      <c r="BH17" s="62">
        <f t="shared" si="8"/>
        <v>436.33148957990068</v>
      </c>
      <c r="BI17" s="62">
        <f ca="1">AVERAGE(OFFSET($BH$3,0,0,'Données projet'!$E$11+1,1))-AVERAGE(OFFSET($H$3,0,0,'Données projet'!$E$11+1,1))</f>
        <v>350.22629663422435</v>
      </c>
      <c r="BJ17" s="62">
        <f t="shared" si="38"/>
        <v>375.98044319336645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5.4069999999999991</v>
      </c>
      <c r="BY17" s="13">
        <f>IF('Données projet'!$A$114&gt;35,BY16+BX17-CG16,IF(A17&lt;'Données projet'!$A$114,$BV$205^A17,IF(A17='Données projet'!$A$114,'Données projet'!$B$114,BY16+BX17-CG16)))</f>
        <v>60.503122225319416</v>
      </c>
      <c r="BZ17" s="14">
        <f>BY17*VLOOKUP('Données projet'!$B$12,Paramètres!$A$1:$I$89,3,0)*VLOOKUP('Données projet'!$B$12,Paramètres!$A$1:$I$89,5,0)</f>
        <v>48.136284042464133</v>
      </c>
      <c r="CA17" s="14">
        <f t="shared" si="39"/>
        <v>14.131387971137062</v>
      </c>
      <c r="CB17" s="22">
        <f t="shared" si="10"/>
        <v>108.44952875702209</v>
      </c>
      <c r="CC17" s="62">
        <f t="shared" si="11"/>
        <v>401.78286209035542</v>
      </c>
      <c r="CD17" s="62">
        <f ca="1">AVERAGE(OFFSET($CC$3,0,0,'Données projet'!$E$12+1,1))-AVERAGE(OFFSET($H$3,0,0,'Données projet'!$E$12+1,1))</f>
        <v>248.15263300983543</v>
      </c>
      <c r="CE17" s="62">
        <f t="shared" si="40"/>
        <v>266.46511459244618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5.4069999999999991</v>
      </c>
      <c r="CT17" s="13">
        <f>IF('Données projet'!$A$140&gt;35,CT16+CS17-DB16,IF(A17&lt;'Données projet'!$A$140,$CQ$205^A17,IF(A17='Données projet'!$A$140,'Données projet'!$B$140,CT16+CS17-DB16)))</f>
        <v>60.503122225319416</v>
      </c>
      <c r="CU17" s="18">
        <f>CT17*VLOOKUP('Données projet'!$B$13,Paramètres!$A$1:$I$89,3,0)*VLOOKUP('Données projet'!$B$13,Paramètres!$A$1:$I$89,5,0)</f>
        <v>40.585494388744266</v>
      </c>
      <c r="CV17" s="14">
        <f t="shared" si="41"/>
        <v>12.153700771995563</v>
      </c>
      <c r="CW17" s="22">
        <f t="shared" si="13"/>
        <v>91.854098238288529</v>
      </c>
      <c r="CX17" s="62">
        <f t="shared" si="14"/>
        <v>385.18743157162186</v>
      </c>
      <c r="CY17" s="62">
        <f ca="1">AVERAGE(OFFSET($CX$3,0,0,'Données projet'!$E$13+1,1))-AVERAGE(OFFSET($H$3,0,0,'Données projet'!$E$13+1,1))</f>
        <v>205.35893113421139</v>
      </c>
      <c r="CZ17" s="62">
        <f t="shared" si="42"/>
        <v>220.4399811285175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162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162</v>
      </c>
      <c r="O18" s="14">
        <f>N18*VLOOKUP('Données projet'!$B$9,Paramètres!$A$1:$I$89,3,0)*VLOOKUP('Données projet'!$B$9,Paramètres!$A$1:$I$89,5,0)</f>
        <v>90.557999999999993</v>
      </c>
      <c r="P18" s="14">
        <f t="shared" si="33"/>
        <v>24.699752708509138</v>
      </c>
      <c r="Q18" s="22">
        <f t="shared" si="2"/>
        <v>200.74058596732007</v>
      </c>
      <c r="R18" s="62">
        <f t="shared" si="0"/>
        <v>494.07391930065342</v>
      </c>
      <c r="S18" s="62">
        <f ca="1">AVERAGE(OFFSET($R$3,0,0,'Données projet'!$E$9+1,1))-AVERAGE(OFFSET($H$3,0,0,'Données projet'!$E$9+1,1))</f>
        <v>490.96084572840579</v>
      </c>
      <c r="T18" s="62">
        <f t="shared" si="34"/>
        <v>597.91658789908263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0.30800000000000005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26.5</v>
      </c>
      <c r="AI18" s="14">
        <f>IF('Données projet'!$A$62&gt;35,AI17+AH18-AQ17,IF(A18&lt;'Données projet'!$A$62,$AF$205^A18,IF(A18='Données projet'!$A$62,'Données projet'!$B$62,AI17+AH18-AQ17)))</f>
        <v>182.5</v>
      </c>
      <c r="AJ18" s="14">
        <f>AI18*VLOOKUP('Données projet'!$B$10,Paramètres!$A$1:$I$89,3,0)*VLOOKUP('Données projet'!$B$10,Paramètres!$A$1:$I$89,5,0)</f>
        <v>113.88</v>
      </c>
      <c r="AK18" s="14">
        <f t="shared" si="35"/>
        <v>30.243290368229957</v>
      </c>
      <c r="AL18" s="22">
        <f t="shared" si="4"/>
        <v>251.01473072466717</v>
      </c>
      <c r="AM18" s="62">
        <f t="shared" si="5"/>
        <v>544.34806405800055</v>
      </c>
      <c r="AN18" s="62">
        <f ca="1">AVERAGE(OFFSET($AM$3,0,0,'Données projet'!$E$10+1,1))-AVERAGE(OFFSET($H$3,0,0,'Données projet'!$E$10+1,1))</f>
        <v>482.28841373508675</v>
      </c>
      <c r="AO18" s="62">
        <f t="shared" si="36"/>
        <v>746.97309214631684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120</v>
      </c>
      <c r="BB18" s="13">
        <f>VLOOKUP(A18,'Données projet'!$A$87:$I$107,9,0)</f>
        <v>8</v>
      </c>
      <c r="BC18" s="13">
        <f t="array" ref="BC18">INDEX(BB:BB,MIN(IF(ISNUMBER(BB18:BB214),ROW(BB18:BB214),"")))</f>
        <v>8</v>
      </c>
      <c r="BD18" s="13">
        <f>IF('Données projet'!$A$88&gt;35,BD17+BC18-BL17,IF(A18&lt;'Données projet'!$A$88,$BA$205^A18,IF(A18='Données projet'!$A$88,'Données projet'!$B$88,BD17+BC18-BL17)))</f>
        <v>120</v>
      </c>
      <c r="BE18" s="14">
        <f>BD18*VLOOKUP('Données projet'!$B$11,Paramètres!$A$1:$I$89,3,0)*VLOOKUP('Données projet'!$B$11,Paramètres!$A$1:$I$89,5,0)</f>
        <v>87.983999999999995</v>
      </c>
      <c r="BF18" s="14">
        <f t="shared" si="37"/>
        <v>24.078375128721785</v>
      </c>
      <c r="BG18" s="22">
        <f t="shared" si="7"/>
        <v>195.17530334919044</v>
      </c>
      <c r="BH18" s="62">
        <f t="shared" si="8"/>
        <v>488.50863668252373</v>
      </c>
      <c r="BI18" s="62">
        <f ca="1">AVERAGE(OFFSET($BH$3,0,0,'Données projet'!$E$11+1,1))-AVERAGE(OFFSET($H$3,0,0,'Données projet'!$E$11+1,1))</f>
        <v>350.22629663422435</v>
      </c>
      <c r="BJ18" s="62">
        <f t="shared" si="38"/>
        <v>375.98044319336645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81.10499999999999</v>
      </c>
      <c r="BW18" s="13">
        <f>VLOOKUP(A18,'Données projet'!$A$113:$I$133,9,0)</f>
        <v>5.4069999999999991</v>
      </c>
      <c r="BX18" s="13">
        <f t="array" ref="BX18">INDEX(BW:BW,MIN(IF(ISNUMBER(BW18:BW214),ROW(BW18:BW214),"")))</f>
        <v>5.4069999999999991</v>
      </c>
      <c r="BY18" s="13">
        <f>IF('Données projet'!$A$114&gt;35,BY17+BX18-CG17,IF(A18&lt;'Données projet'!$A$114,$BV$205^A18,IF(A18='Données projet'!$A$114,'Données projet'!$B$114,BY17+BX18-CG17)))</f>
        <v>81.10499999999999</v>
      </c>
      <c r="BZ18" s="14">
        <f>BY18*VLOOKUP('Données projet'!$B$12,Paramètres!$A$1:$I$89,3,0)*VLOOKUP('Données projet'!$B$12,Paramètres!$A$1:$I$89,5,0)</f>
        <v>64.527137999999994</v>
      </c>
      <c r="CA18" s="14">
        <f t="shared" si="39"/>
        <v>18.30798096581557</v>
      </c>
      <c r="CB18" s="22">
        <f t="shared" si="10"/>
        <v>144.27116553212878</v>
      </c>
      <c r="CC18" s="62">
        <f t="shared" si="11"/>
        <v>437.60449886546212</v>
      </c>
      <c r="CD18" s="62">
        <f ca="1">AVERAGE(OFFSET($CC$3,0,0,'Données projet'!$E$12+1,1))-AVERAGE(OFFSET($H$3,0,0,'Données projet'!$E$12+1,1))</f>
        <v>248.15263300983543</v>
      </c>
      <c r="CE18" s="62">
        <f t="shared" si="40"/>
        <v>266.46511459244618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13.517499999999998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81.10499999999999</v>
      </c>
      <c r="CR18" s="13">
        <f>VLOOKUP(A18,'Données projet'!$A$139:$I$159,9,0)</f>
        <v>5.4069999999999991</v>
      </c>
      <c r="CS18" s="13">
        <f t="array" ref="CS18">INDEX(CR:CR,MIN(IF(ISNUMBER(CR18:CR214),ROW(CR18:CR214),"")))</f>
        <v>5.4069999999999991</v>
      </c>
      <c r="CT18" s="13">
        <f>IF('Données projet'!$A$140&gt;35,CT17+CS18-DB17,IF(A18&lt;'Données projet'!$A$140,$CQ$205^A18,IF(A18='Données projet'!$A$140,'Données projet'!$B$140,CT17+CS18-DB17)))</f>
        <v>81.10499999999999</v>
      </c>
      <c r="CU18" s="18">
        <f>CT18*VLOOKUP('Données projet'!$B$13,Paramètres!$A$1:$I$89,3,0)*VLOOKUP('Données projet'!$B$13,Paramètres!$A$1:$I$89,5,0)</f>
        <v>54.405234</v>
      </c>
      <c r="CV18" s="14">
        <f t="shared" si="41"/>
        <v>15.745779738860927</v>
      </c>
      <c r="CW18" s="22">
        <f t="shared" si="13"/>
        <v>122.17968226184944</v>
      </c>
      <c r="CX18" s="62">
        <f t="shared" si="14"/>
        <v>415.51301559518276</v>
      </c>
      <c r="CY18" s="62">
        <f ca="1">AVERAGE(OFFSET($CX$3,0,0,'Données projet'!$E$13+1,1))-AVERAGE(OFFSET($H$3,0,0,'Données projet'!$E$13+1,1))</f>
        <v>205.35893113421139</v>
      </c>
      <c r="CZ18" s="62">
        <f t="shared" si="42"/>
        <v>220.4399811285175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13.517499999999998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28.2</v>
      </c>
      <c r="N19" s="14">
        <f>IF('Données projet'!$A$36&gt;35,N18+M19-V18,IF(A19&lt;'Données projet'!$A$36,$K$205^A19,IF(A19='Données projet'!$A$36,'Données projet'!$B$36,N18+M19-V18)))</f>
        <v>190.2</v>
      </c>
      <c r="O19" s="14">
        <f>N19*VLOOKUP('Données projet'!$B$9,Paramètres!$A$1:$I$89,3,0)*VLOOKUP('Données projet'!$B$9,Paramètres!$A$1:$I$89,5,0)</f>
        <v>106.32179999999998</v>
      </c>
      <c r="P19" s="14">
        <f t="shared" si="33"/>
        <v>28.462664081653866</v>
      </c>
      <c r="Q19" s="22">
        <f t="shared" si="2"/>
        <v>234.7496082755471</v>
      </c>
      <c r="R19" s="62">
        <f t="shared" si="0"/>
        <v>528.08294160888045</v>
      </c>
      <c r="S19" s="62">
        <f ca="1">AVERAGE(OFFSET($R$3,0,0,'Données projet'!$E$9+1,1))-AVERAGE(OFFSET($H$3,0,0,'Données projet'!$E$9+1,1))</f>
        <v>490.96084572840579</v>
      </c>
      <c r="T19" s="62">
        <f t="shared" si="34"/>
        <v>597.91658789908263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26.5</v>
      </c>
      <c r="AI19" s="14">
        <f>IF('Données projet'!$A$62&gt;35,AI18+AH19-AQ18,IF(A19&lt;'Données projet'!$A$62,$AF$205^A19,IF(A19='Données projet'!$A$62,'Données projet'!$B$62,AI18+AH19-AQ18)))</f>
        <v>209</v>
      </c>
      <c r="AJ19" s="14">
        <f>AI19*VLOOKUP('Données projet'!$B$10,Paramètres!$A$1:$I$89,3,0)*VLOOKUP('Données projet'!$B$10,Paramètres!$A$1:$I$89,5,0)</f>
        <v>130.416</v>
      </c>
      <c r="AK19" s="14">
        <f t="shared" si="35"/>
        <v>34.092466837179941</v>
      </c>
      <c r="AL19" s="22">
        <f t="shared" si="4"/>
        <v>286.51891307475506</v>
      </c>
      <c r="AM19" s="62">
        <f t="shared" si="5"/>
        <v>579.85224640808838</v>
      </c>
      <c r="AN19" s="62">
        <f ca="1">AVERAGE(OFFSET($AM$3,0,0,'Données projet'!$E$10+1,1))-AVERAGE(OFFSET($H$3,0,0,'Données projet'!$E$10+1,1))</f>
        <v>482.28841373508675</v>
      </c>
      <c r="AO19" s="62">
        <f t="shared" si="36"/>
        <v>746.97309214631684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11.8</v>
      </c>
      <c r="BD19" s="13">
        <f>IF('Données projet'!$A$88&gt;35,BD18+BC19-BL18,IF(A19&lt;'Données projet'!$A$88,$BA$205^A19,IF(A19='Données projet'!$A$88,'Données projet'!$B$88,BD18+BC19-BL18)))</f>
        <v>111.80000000000001</v>
      </c>
      <c r="BE19" s="14">
        <f>BD19*VLOOKUP('Données projet'!$B$11,Paramètres!$A$1:$I$89,3,0)*VLOOKUP('Données projet'!$B$11,Paramètres!$A$1:$I$89,5,0)</f>
        <v>81.971760000000003</v>
      </c>
      <c r="BF19" s="14">
        <f t="shared" si="37"/>
        <v>22.618604401803871</v>
      </c>
      <c r="BG19" s="22">
        <f t="shared" si="7"/>
        <v>182.16155133314172</v>
      </c>
      <c r="BH19" s="62">
        <f t="shared" si="8"/>
        <v>475.49488466647506</v>
      </c>
      <c r="BI19" s="62">
        <f ca="1">AVERAGE(OFFSET($BH$3,0,0,'Données projet'!$E$11+1,1))-AVERAGE(OFFSET($H$3,0,0,'Données projet'!$E$11+1,1))</f>
        <v>350.22629663422435</v>
      </c>
      <c r="BJ19" s="62">
        <f t="shared" si="38"/>
        <v>375.98044319336645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7.9145000000000021</v>
      </c>
      <c r="BY19" s="13">
        <f>IF('Données projet'!$A$114&gt;35,BY18+BX19-CG18,IF(A19&lt;'Données projet'!$A$114,$BV$205^A19,IF(A19='Données projet'!$A$114,'Données projet'!$B$114,BY18+BX19-CG18)))</f>
        <v>75.501999999999995</v>
      </c>
      <c r="BZ19" s="14">
        <f>BY19*VLOOKUP('Données projet'!$B$12,Paramètres!$A$1:$I$89,3,0)*VLOOKUP('Données projet'!$B$12,Paramètres!$A$1:$I$89,5,0)</f>
        <v>60.069391199999998</v>
      </c>
      <c r="CA19" s="14">
        <f t="shared" si="39"/>
        <v>17.185812104617906</v>
      </c>
      <c r="CB19" s="22">
        <f t="shared" si="10"/>
        <v>134.55281242220951</v>
      </c>
      <c r="CC19" s="62">
        <f t="shared" si="11"/>
        <v>427.88614575554283</v>
      </c>
      <c r="CD19" s="62">
        <f ca="1">AVERAGE(OFFSET($CC$3,0,0,'Données projet'!$E$12+1,1))-AVERAGE(OFFSET($H$3,0,0,'Données projet'!$E$12+1,1))</f>
        <v>248.15263300983543</v>
      </c>
      <c r="CE19" s="62">
        <f t="shared" si="40"/>
        <v>266.46511459244618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7.9145000000000021</v>
      </c>
      <c r="CT19" s="13">
        <f>IF('Données projet'!$A$140&gt;35,CT18+CS19-DB18,IF(A19&lt;'Données projet'!$A$140,$CQ$205^A19,IF(A19='Données projet'!$A$140,'Données projet'!$B$140,CT18+CS19-DB18)))</f>
        <v>75.501999999999995</v>
      </c>
      <c r="CU19" s="18">
        <f>CT19*VLOOKUP('Données projet'!$B$13,Paramètres!$A$1:$I$89,3,0)*VLOOKUP('Données projet'!$B$13,Paramètres!$A$1:$I$89,5,0)</f>
        <v>50.646741599999999</v>
      </c>
      <c r="CV19" s="14">
        <f t="shared" si="41"/>
        <v>14.780658366317496</v>
      </c>
      <c r="CW19" s="22">
        <f t="shared" si="13"/>
        <v>113.95272160800296</v>
      </c>
      <c r="CX19" s="62">
        <f t="shared" si="14"/>
        <v>407.28605494133626</v>
      </c>
      <c r="CY19" s="62">
        <f ca="1">AVERAGE(OFFSET($CX$3,0,0,'Données projet'!$E$13+1,1))-AVERAGE(OFFSET($H$3,0,0,'Données projet'!$E$13+1,1))</f>
        <v>205.35893113421139</v>
      </c>
      <c r="CZ19" s="62">
        <f t="shared" si="42"/>
        <v>220.4399811285175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28.2</v>
      </c>
      <c r="N20" s="14">
        <f>IF('Données projet'!$A$36&gt;35,N19+M20-V19,IF(A20&lt;'Données projet'!$A$36,$K$205^A20,IF(A20='Données projet'!$A$36,'Données projet'!$B$36,N19+M20-V19)))</f>
        <v>218.39999999999998</v>
      </c>
      <c r="O20" s="14">
        <f>N20*VLOOKUP('Données projet'!$B$9,Paramètres!$A$1:$I$89,3,0)*VLOOKUP('Données projet'!$B$9,Paramètres!$A$1:$I$89,5,0)</f>
        <v>122.0856</v>
      </c>
      <c r="P20" s="14">
        <f t="shared" si="33"/>
        <v>32.160942364346717</v>
      </c>
      <c r="Q20" s="22">
        <f t="shared" si="2"/>
        <v>268.64606128457052</v>
      </c>
      <c r="R20" s="62">
        <f t="shared" si="0"/>
        <v>561.97939461790384</v>
      </c>
      <c r="S20" s="62">
        <f ca="1">AVERAGE(OFFSET($R$3,0,0,'Données projet'!$E$9+1,1))-AVERAGE(OFFSET($H$3,0,0,'Données projet'!$E$9+1,1))</f>
        <v>490.96084572840579</v>
      </c>
      <c r="T20" s="62">
        <f t="shared" si="34"/>
        <v>597.91658789908263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26.5</v>
      </c>
      <c r="AI20" s="14">
        <f>IF('Données projet'!$A$62&gt;35,AI19+AH20-AQ19,IF(A20&lt;'Données projet'!$A$62,$AF$205^A20,IF(A20='Données projet'!$A$62,'Données projet'!$B$62,AI19+AH20-AQ19)))</f>
        <v>235.5</v>
      </c>
      <c r="AJ20" s="14">
        <f>AI20*VLOOKUP('Données projet'!$B$10,Paramètres!$A$1:$I$89,3,0)*VLOOKUP('Données projet'!$B$10,Paramètres!$A$1:$I$89,5,0)</f>
        <v>146.952</v>
      </c>
      <c r="AK20" s="14">
        <f t="shared" si="35"/>
        <v>37.885091254823713</v>
      </c>
      <c r="AL20" s="22">
        <f t="shared" si="4"/>
        <v>321.92460060215132</v>
      </c>
      <c r="AM20" s="62">
        <f t="shared" si="5"/>
        <v>615.25793393548463</v>
      </c>
      <c r="AN20" s="62">
        <f ca="1">AVERAGE(OFFSET($AM$3,0,0,'Données projet'!$E$10+1,1))-AVERAGE(OFFSET($H$3,0,0,'Données projet'!$E$10+1,1))</f>
        <v>482.28841373508675</v>
      </c>
      <c r="AO20" s="62">
        <f t="shared" si="36"/>
        <v>746.97309214631684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11.8</v>
      </c>
      <c r="BD20" s="13">
        <f>IF('Données projet'!$A$88&gt;35,BD19+BC20-BL19,IF(A20&lt;'Données projet'!$A$88,$BA$205^A20,IF(A20='Données projet'!$A$88,'Données projet'!$B$88,BD19+BC20-BL19)))</f>
        <v>123.60000000000001</v>
      </c>
      <c r="BE20" s="14">
        <f>BD20*VLOOKUP('Données projet'!$B$11,Paramètres!$A$1:$I$89,3,0)*VLOOKUP('Données projet'!$B$11,Paramètres!$A$1:$I$89,5,0)</f>
        <v>90.623519999999999</v>
      </c>
      <c r="BF20" s="14">
        <f t="shared" si="37"/>
        <v>24.71554252547471</v>
      </c>
      <c r="BG20" s="22">
        <f t="shared" si="7"/>
        <v>200.88220056520177</v>
      </c>
      <c r="BH20" s="62">
        <f t="shared" si="8"/>
        <v>494.21553389853511</v>
      </c>
      <c r="BI20" s="62">
        <f ca="1">AVERAGE(OFFSET($BH$3,0,0,'Données projet'!$E$11+1,1))-AVERAGE(OFFSET($H$3,0,0,'Données projet'!$E$11+1,1))</f>
        <v>350.22629663422435</v>
      </c>
      <c r="BJ20" s="62">
        <f t="shared" si="38"/>
        <v>375.98044319336645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7.9145000000000021</v>
      </c>
      <c r="BY20" s="13">
        <f>IF('Données projet'!$A$114&gt;35,BY19+BX20-CG19,IF(A20&lt;'Données projet'!$A$114,$BV$205^A20,IF(A20='Données projet'!$A$114,'Données projet'!$B$114,BY19+BX20-CG19)))</f>
        <v>83.416499999999999</v>
      </c>
      <c r="BZ20" s="14">
        <f>BY20*VLOOKUP('Données projet'!$B$12,Paramètres!$A$1:$I$89,3,0)*VLOOKUP('Données projet'!$B$12,Paramètres!$A$1:$I$89,5,0)</f>
        <v>66.366167399999995</v>
      </c>
      <c r="CA20" s="14">
        <f t="shared" si="39"/>
        <v>18.768268277444037</v>
      </c>
      <c r="CB20" s="22">
        <f t="shared" si="10"/>
        <v>148.27580880488168</v>
      </c>
      <c r="CC20" s="62">
        <f t="shared" si="11"/>
        <v>441.60914213821502</v>
      </c>
      <c r="CD20" s="62">
        <f ca="1">AVERAGE(OFFSET($CC$3,0,0,'Données projet'!$E$12+1,1))-AVERAGE(OFFSET($H$3,0,0,'Données projet'!$E$12+1,1))</f>
        <v>248.15263300983543</v>
      </c>
      <c r="CE20" s="62">
        <f t="shared" si="40"/>
        <v>266.46511459244618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7.9145000000000021</v>
      </c>
      <c r="CT20" s="13">
        <f>IF('Données projet'!$A$140&gt;35,CT19+CS20-DB19,IF(A20&lt;'Données projet'!$A$140,$CQ$205^A20,IF(A20='Données projet'!$A$140,'Données projet'!$B$140,CT19+CS20-DB19)))</f>
        <v>83.416499999999999</v>
      </c>
      <c r="CU20" s="18">
        <f>CT20*VLOOKUP('Données projet'!$B$13,Paramètres!$A$1:$I$89,3,0)*VLOOKUP('Données projet'!$B$13,Paramètres!$A$1:$I$89,5,0)</f>
        <v>55.955788200000008</v>
      </c>
      <c r="CV20" s="14">
        <f t="shared" si="41"/>
        <v>16.141649859057516</v>
      </c>
      <c r="CW20" s="22">
        <f t="shared" si="13"/>
        <v>125.56970461952518</v>
      </c>
      <c r="CX20" s="62">
        <f t="shared" si="14"/>
        <v>418.90303795285848</v>
      </c>
      <c r="CY20" s="62">
        <f ca="1">AVERAGE(OFFSET($CX$3,0,0,'Données projet'!$E$13+1,1))-AVERAGE(OFFSET($H$3,0,0,'Données projet'!$E$13+1,1))</f>
        <v>205.35893113421139</v>
      </c>
      <c r="CZ20" s="62">
        <f t="shared" si="42"/>
        <v>220.4399811285175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28.2</v>
      </c>
      <c r="N21" s="14">
        <f>IF('Données projet'!$A$36&gt;35,N20+M21-V20,IF(A21&lt;'Données projet'!$A$36,$K$205^A21,IF(A21='Données projet'!$A$36,'Données projet'!$B$36,N20+M21-V20)))</f>
        <v>246.59999999999997</v>
      </c>
      <c r="O21" s="14">
        <f>N21*VLOOKUP('Données projet'!$B$9,Paramètres!$A$1:$I$89,3,0)*VLOOKUP('Données projet'!$B$9,Paramètres!$A$1:$I$89,5,0)</f>
        <v>137.84939999999997</v>
      </c>
      <c r="P21" s="14">
        <f t="shared" si="33"/>
        <v>35.803890229822542</v>
      </c>
      <c r="Q21" s="22">
        <f t="shared" si="2"/>
        <v>302.44614715027416</v>
      </c>
      <c r="R21" s="62">
        <f t="shared" si="0"/>
        <v>595.77948048360747</v>
      </c>
      <c r="S21" s="62">
        <f ca="1">AVERAGE(OFFSET($R$3,0,0,'Données projet'!$E$9+1,1))-AVERAGE(OFFSET($H$3,0,0,'Données projet'!$E$9+1,1))</f>
        <v>490.96084572840579</v>
      </c>
      <c r="T21" s="62">
        <f t="shared" si="34"/>
        <v>597.91658789908263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262</v>
      </c>
      <c r="AG21" s="13">
        <f>VLOOKUP(A21,'Données projet'!$A$61:$I$81,9,0)</f>
        <v>26.5</v>
      </c>
      <c r="AH21" s="13">
        <f t="array" ref="AH21">INDEX(AG:AG,MIN(IF(ISNUMBER(AG21:AG217),ROW(AG21:AG217),"")))</f>
        <v>26.5</v>
      </c>
      <c r="AI21" s="14">
        <f>IF('Données projet'!$A$62&gt;35,AI20+AH21-AQ20,IF(A21&lt;'Données projet'!$A$62,$AF$205^A21,IF(A21='Données projet'!$A$62,'Données projet'!$B$62,AI20+AH21-AQ20)))</f>
        <v>262</v>
      </c>
      <c r="AJ21" s="14">
        <f>AI21*VLOOKUP('Données projet'!$B$10,Paramètres!$A$1:$I$89,3,0)*VLOOKUP('Données projet'!$B$10,Paramètres!$A$1:$I$89,5,0)</f>
        <v>163.488</v>
      </c>
      <c r="AK21" s="14">
        <f t="shared" si="35"/>
        <v>41.628253379180151</v>
      </c>
      <c r="AL21" s="22">
        <f t="shared" si="4"/>
        <v>357.24414130207202</v>
      </c>
      <c r="AM21" s="62">
        <f t="shared" si="5"/>
        <v>650.57747463540534</v>
      </c>
      <c r="AN21" s="62">
        <f ca="1">AVERAGE(OFFSET($AM$3,0,0,'Données projet'!$E$10+1,1))-AVERAGE(OFFSET($H$3,0,0,'Données projet'!$E$10+1,1))</f>
        <v>482.28841373508675</v>
      </c>
      <c r="AO21" s="62">
        <f t="shared" si="36"/>
        <v>746.97309214631684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0.33600000000000002</v>
      </c>
      <c r="AT21" s="17">
        <f>IF(ISNA(VLOOKUP(A21,'Données projet'!$A$61:$I$81,7,0)),0%,VLOOKUP(A21,'Données projet'!$A$61:$I$81,7,0))</f>
        <v>0.44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11.8</v>
      </c>
      <c r="BD21" s="13">
        <f>IF('Données projet'!$A$88&gt;35,BD20+BC21-BL20,IF(A21&lt;'Données projet'!$A$88,$BA$205^A21,IF(A21='Données projet'!$A$88,'Données projet'!$B$88,BD20+BC21-BL20)))</f>
        <v>135.4</v>
      </c>
      <c r="BE21" s="14">
        <f>BD21*VLOOKUP('Données projet'!$B$11,Paramètres!$A$1:$I$89,3,0)*VLOOKUP('Données projet'!$B$11,Paramètres!$A$1:$I$89,5,0)</f>
        <v>99.275279999999995</v>
      </c>
      <c r="BF21" s="14">
        <f t="shared" si="37"/>
        <v>26.789269981389452</v>
      </c>
      <c r="BG21" s="22">
        <f t="shared" si="7"/>
        <v>219.56242455091993</v>
      </c>
      <c r="BH21" s="62">
        <f t="shared" si="8"/>
        <v>512.89575788425327</v>
      </c>
      <c r="BI21" s="62">
        <f ca="1">AVERAGE(OFFSET($BH$3,0,0,'Données projet'!$E$11+1,1))-AVERAGE(OFFSET($H$3,0,0,'Données projet'!$E$11+1,1))</f>
        <v>350.22629663422435</v>
      </c>
      <c r="BJ21" s="62">
        <f t="shared" si="38"/>
        <v>375.98044319336645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7.9145000000000021</v>
      </c>
      <c r="BY21" s="13">
        <f>IF('Données projet'!$A$114&gt;35,BY20+BX21-CG20,IF(A21&lt;'Données projet'!$A$114,$BV$205^A21,IF(A21='Données projet'!$A$114,'Données projet'!$B$114,BY20+BX21-CG20)))</f>
        <v>91.331000000000003</v>
      </c>
      <c r="BZ21" s="14">
        <f>BY21*VLOOKUP('Données projet'!$B$12,Paramètres!$A$1:$I$89,3,0)*VLOOKUP('Données projet'!$B$12,Paramètres!$A$1:$I$89,5,0)</f>
        <v>72.662943600000006</v>
      </c>
      <c r="CA21" s="14">
        <f t="shared" si="39"/>
        <v>20.333316485626749</v>
      </c>
      <c r="CB21" s="22">
        <f t="shared" si="10"/>
        <v>161.96848631579994</v>
      </c>
      <c r="CC21" s="62">
        <f t="shared" si="11"/>
        <v>455.30181964913322</v>
      </c>
      <c r="CD21" s="62">
        <f ca="1">AVERAGE(OFFSET($CC$3,0,0,'Données projet'!$E$12+1,1))-AVERAGE(OFFSET($H$3,0,0,'Données projet'!$E$12+1,1))</f>
        <v>248.15263300983543</v>
      </c>
      <c r="CE21" s="62">
        <f t="shared" si="40"/>
        <v>266.46511459244618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7.9145000000000021</v>
      </c>
      <c r="CT21" s="13">
        <f>IF('Données projet'!$A$140&gt;35,CT20+CS21-DB20,IF(A21&lt;'Données projet'!$A$140,$CQ$205^A21,IF(A21='Données projet'!$A$140,'Données projet'!$B$140,CT20+CS21-DB20)))</f>
        <v>91.331000000000003</v>
      </c>
      <c r="CU21" s="18">
        <f>CT21*VLOOKUP('Données projet'!$B$13,Paramètres!$A$1:$I$89,3,0)*VLOOKUP('Données projet'!$B$13,Paramètres!$A$1:$I$89,5,0)</f>
        <v>61.26483480000001</v>
      </c>
      <c r="CV21" s="14">
        <f t="shared" si="41"/>
        <v>17.487669631131599</v>
      </c>
      <c r="CW21" s="22">
        <f t="shared" si="13"/>
        <v>137.16061188422088</v>
      </c>
      <c r="CX21" s="62">
        <f t="shared" si="14"/>
        <v>430.4939452175542</v>
      </c>
      <c r="CY21" s="62">
        <f ca="1">AVERAGE(OFFSET($CX$3,0,0,'Données projet'!$E$13+1,1))-AVERAGE(OFFSET($H$3,0,0,'Données projet'!$E$13+1,1))</f>
        <v>205.35893113421139</v>
      </c>
      <c r="CZ21" s="62">
        <f t="shared" si="42"/>
        <v>220.4399811285175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28.2</v>
      </c>
      <c r="N22" s="14">
        <f>IF('Données projet'!$A$36&gt;35,N21+M22-V21,IF(A22&lt;'Données projet'!$A$36,$K$205^A22,IF(A22='Données projet'!$A$36,'Données projet'!$B$36,N21+M22-V21)))</f>
        <v>274.79999999999995</v>
      </c>
      <c r="O22" s="14">
        <f>N22*VLOOKUP('Données projet'!$B$9,Paramètres!$A$1:$I$89,3,0)*VLOOKUP('Données projet'!$B$9,Paramètres!$A$1:$I$89,5,0)</f>
        <v>153.61319999999998</v>
      </c>
      <c r="P22" s="14">
        <f t="shared" si="33"/>
        <v>39.398557339898318</v>
      </c>
      <c r="Q22" s="22">
        <f t="shared" si="2"/>
        <v>336.16214403365615</v>
      </c>
      <c r="R22" s="62">
        <f t="shared" si="0"/>
        <v>629.49547736698946</v>
      </c>
      <c r="S22" s="62">
        <f ca="1">AVERAGE(OFFSET($R$3,0,0,'Données projet'!$E$9+1,1))-AVERAGE(OFFSET($H$3,0,0,'Données projet'!$E$9+1,1))</f>
        <v>490.96084572840579</v>
      </c>
      <c r="T22" s="62">
        <f t="shared" si="34"/>
        <v>597.91658789908263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26.833333333333332</v>
      </c>
      <c r="AI22" s="14">
        <f>IF('Données projet'!$A$62&gt;35,AI21+AH22-AQ21,IF(A22&lt;'Données projet'!$A$62,$AF$205^A22,IF(A22='Données projet'!$A$62,'Données projet'!$B$62,AI21+AH22-AQ21)))</f>
        <v>288.83333333333331</v>
      </c>
      <c r="AJ22" s="14">
        <f>AI22*VLOOKUP('Données projet'!$B$10,Paramètres!$A$1:$I$89,3,0)*VLOOKUP('Données projet'!$B$10,Paramètres!$A$1:$I$89,5,0)</f>
        <v>180.232</v>
      </c>
      <c r="AK22" s="14">
        <f t="shared" si="35"/>
        <v>45.373798022205818</v>
      </c>
      <c r="AL22" s="22">
        <f t="shared" si="4"/>
        <v>392.93009822200844</v>
      </c>
      <c r="AM22" s="62">
        <f t="shared" si="5"/>
        <v>686.26343155534175</v>
      </c>
      <c r="AN22" s="62">
        <f ca="1">AVERAGE(OFFSET($AM$3,0,0,'Données projet'!$E$10+1,1))-AVERAGE(OFFSET($H$3,0,0,'Données projet'!$E$10+1,1))</f>
        <v>482.28841373508675</v>
      </c>
      <c r="AO22" s="62">
        <f t="shared" si="36"/>
        <v>746.97309214631684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11.8</v>
      </c>
      <c r="BD22" s="13">
        <f>IF('Données projet'!$A$88&gt;35,BD21+BC22-BL21,IF(A22&lt;'Données projet'!$A$88,$BA$205^A22,IF(A22='Données projet'!$A$88,'Données projet'!$B$88,BD21+BC22-BL21)))</f>
        <v>147.20000000000002</v>
      </c>
      <c r="BE22" s="14">
        <f>BD22*VLOOKUP('Données projet'!$B$11,Paramètres!$A$1:$I$89,3,0)*VLOOKUP('Données projet'!$B$11,Paramètres!$A$1:$I$89,5,0)</f>
        <v>107.92704000000001</v>
      </c>
      <c r="BF22" s="14">
        <f t="shared" si="37"/>
        <v>28.842039558004849</v>
      </c>
      <c r="BG22" s="22">
        <f t="shared" si="7"/>
        <v>238.2061468968584</v>
      </c>
      <c r="BH22" s="62">
        <f t="shared" si="8"/>
        <v>531.53948023019166</v>
      </c>
      <c r="BI22" s="62">
        <f ca="1">AVERAGE(OFFSET($BH$3,0,0,'Données projet'!$E$11+1,1))-AVERAGE(OFFSET($H$3,0,0,'Données projet'!$E$11+1,1))</f>
        <v>350.22629663422435</v>
      </c>
      <c r="BJ22" s="62">
        <f t="shared" si="38"/>
        <v>375.98044319336645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7.9145000000000021</v>
      </c>
      <c r="BY22" s="13">
        <f>IF('Données projet'!$A$114&gt;35,BY21+BX22-CG21,IF(A22&lt;'Données projet'!$A$114,$BV$205^A22,IF(A22='Données projet'!$A$114,'Données projet'!$B$114,BY21+BX22-CG21)))</f>
        <v>99.245500000000007</v>
      </c>
      <c r="BZ22" s="14">
        <f>BY22*VLOOKUP('Données projet'!$B$12,Paramètres!$A$1:$I$89,3,0)*VLOOKUP('Données projet'!$B$12,Paramètres!$A$1:$I$89,5,0)</f>
        <v>78.959719800000002</v>
      </c>
      <c r="CA22" s="14">
        <f t="shared" si="39"/>
        <v>21.882636777676485</v>
      </c>
      <c r="CB22" s="22">
        <f t="shared" si="10"/>
        <v>175.63377103945319</v>
      </c>
      <c r="CC22" s="62">
        <f t="shared" si="11"/>
        <v>468.96710437278648</v>
      </c>
      <c r="CD22" s="62">
        <f ca="1">AVERAGE(OFFSET($CC$3,0,0,'Données projet'!$E$12+1,1))-AVERAGE(OFFSET($H$3,0,0,'Données projet'!$E$12+1,1))</f>
        <v>248.15263300983543</v>
      </c>
      <c r="CE22" s="62">
        <f t="shared" si="40"/>
        <v>266.46511459244618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7.9145000000000021</v>
      </c>
      <c r="CT22" s="13">
        <f>IF('Données projet'!$A$140&gt;35,CT21+CS22-DB21,IF(A22&lt;'Données projet'!$A$140,$CQ$205^A22,IF(A22='Données projet'!$A$140,'Données projet'!$B$140,CT21+CS22-DB21)))</f>
        <v>99.245500000000007</v>
      </c>
      <c r="CU22" s="18">
        <f>CT22*VLOOKUP('Données projet'!$B$13,Paramètres!$A$1:$I$89,3,0)*VLOOKUP('Données projet'!$B$13,Paramètres!$A$1:$I$89,5,0)</f>
        <v>66.573881400000005</v>
      </c>
      <c r="CV22" s="14">
        <f t="shared" si="41"/>
        <v>18.820162608326267</v>
      </c>
      <c r="CW22" s="22">
        <f t="shared" si="13"/>
        <v>148.72795998116825</v>
      </c>
      <c r="CX22" s="62">
        <f t="shared" si="14"/>
        <v>442.06129331450154</v>
      </c>
      <c r="CY22" s="62">
        <f ca="1">AVERAGE(OFFSET($CX$3,0,0,'Données projet'!$E$13+1,1))-AVERAGE(OFFSET($H$3,0,0,'Données projet'!$E$13+1,1))</f>
        <v>205.35893113421139</v>
      </c>
      <c r="CZ22" s="62">
        <f t="shared" si="42"/>
        <v>220.4399811285175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303</v>
      </c>
      <c r="L23" s="13">
        <f>VLOOKUP(A23,'Données projet'!$A$35:$I$55,9,0)</f>
        <v>28.2</v>
      </c>
      <c r="M23" s="13">
        <f t="array" ref="M23">INDEX(L:L,MIN(IF(ISNUMBER(L23:L219),ROW(L23:L219),"")))</f>
        <v>28.2</v>
      </c>
      <c r="N23" s="14">
        <f>IF('Données projet'!$A$36&gt;35,N22+M23-V22,IF(A23&lt;'Données projet'!$A$36,$K$205^A23,IF(A23='Données projet'!$A$36,'Données projet'!$B$36,N22+M23-V22)))</f>
        <v>302.99999999999994</v>
      </c>
      <c r="O23" s="14">
        <f>N23*VLOOKUP('Données projet'!$B$9,Paramètres!$A$1:$I$89,3,0)*VLOOKUP('Données projet'!$B$9,Paramètres!$A$1:$I$89,5,0)</f>
        <v>169.37699999999995</v>
      </c>
      <c r="P23" s="14">
        <f t="shared" si="33"/>
        <v>42.950462509094685</v>
      </c>
      <c r="Q23" s="22">
        <f t="shared" si="2"/>
        <v>369.80366387000646</v>
      </c>
      <c r="R23" s="62">
        <f t="shared" si="0"/>
        <v>663.13699720333977</v>
      </c>
      <c r="S23" s="62">
        <f ca="1">AVERAGE(OFFSET($R$3,0,0,'Données projet'!$E$9+1,1))-AVERAGE(OFFSET($H$3,0,0,'Données projet'!$E$9+1,1))</f>
        <v>490.96084572840579</v>
      </c>
      <c r="T23" s="62">
        <f t="shared" si="34"/>
        <v>597.91658789908263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0.30800000000000005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9.782412641250021</v>
      </c>
      <c r="AB23" s="23">
        <f>EXP(-LN(2)/2)*AB22+(1-EXP(-LN(2)/2))/(LN(2)/2)*V23*Y23*VLOOKUP('Données projet'!$B$9,Paramètres!$A$1:$I$89,3,0)*0.475*44/12</f>
        <v>11.974805803683211</v>
      </c>
      <c r="AC23" s="24">
        <f t="shared" si="3"/>
        <v>21.75721844493323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26.833333333333332</v>
      </c>
      <c r="AI23" s="14">
        <f>IF('Données projet'!$A$62&gt;35,AI22+AH23-AQ22,IF(A23&lt;'Données projet'!$A$62,$AF$205^A23,IF(A23='Données projet'!$A$62,'Données projet'!$B$62,AI22+AH23-AQ22)))</f>
        <v>315.66666666666663</v>
      </c>
      <c r="AJ23" s="14">
        <f>AI23*VLOOKUP('Données projet'!$B$10,Paramètres!$A$1:$I$89,3,0)*VLOOKUP('Données projet'!$B$10,Paramètres!$A$1:$I$89,5,0)</f>
        <v>196.97599999999997</v>
      </c>
      <c r="AK23" s="14">
        <f t="shared" si="35"/>
        <v>49.078995912586862</v>
      </c>
      <c r="AL23" s="22">
        <f t="shared" si="4"/>
        <v>428.54578454775537</v>
      </c>
      <c r="AM23" s="62">
        <f t="shared" si="5"/>
        <v>721.87911788108863</v>
      </c>
      <c r="AN23" s="62">
        <f ca="1">AVERAGE(OFFSET($AM$3,0,0,'Données projet'!$E$10+1,1))-AVERAGE(OFFSET($H$3,0,0,'Données projet'!$E$10+1,1))</f>
        <v>482.28841373508675</v>
      </c>
      <c r="AO23" s="62">
        <f t="shared" si="36"/>
        <v>746.97309214631684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11.8</v>
      </c>
      <c r="BD23" s="13">
        <f>IF('Données projet'!$A$88&gt;35,BD22+BC23-BL22,IF(A23&lt;'Données projet'!$A$88,$BA$205^A23,IF(A23='Données projet'!$A$88,'Données projet'!$B$88,BD22+BC23-BL22)))</f>
        <v>159.00000000000003</v>
      </c>
      <c r="BE23" s="14">
        <f>BD23*VLOOKUP('Données projet'!$B$11,Paramètres!$A$1:$I$89,3,0)*VLOOKUP('Données projet'!$B$11,Paramètres!$A$1:$I$89,5,0)</f>
        <v>116.57880000000002</v>
      </c>
      <c r="BF23" s="14">
        <f t="shared" si="37"/>
        <v>30.875722308455558</v>
      </c>
      <c r="BG23" s="22">
        <f t="shared" si="7"/>
        <v>256.81662635389347</v>
      </c>
      <c r="BH23" s="62">
        <f t="shared" si="8"/>
        <v>550.14995968722678</v>
      </c>
      <c r="BI23" s="62">
        <f ca="1">AVERAGE(OFFSET($BH$3,0,0,'Données projet'!$E$11+1,1))-AVERAGE(OFFSET($H$3,0,0,'Données projet'!$E$11+1,1))</f>
        <v>350.22629663422435</v>
      </c>
      <c r="BJ23" s="62">
        <f t="shared" si="38"/>
        <v>375.98044319336645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7.9145000000000021</v>
      </c>
      <c r="BY23" s="13">
        <f>IF('Données projet'!$A$114&gt;35,BY22+BX23-CG22,IF(A23&lt;'Données projet'!$A$114,$BV$205^A23,IF(A23='Données projet'!$A$114,'Données projet'!$B$114,BY22+BX23-CG22)))</f>
        <v>107.16000000000001</v>
      </c>
      <c r="BZ23" s="14">
        <f>BY23*VLOOKUP('Données projet'!$B$12,Paramètres!$A$1:$I$89,3,0)*VLOOKUP('Données projet'!$B$12,Paramètres!$A$1:$I$89,5,0)</f>
        <v>85.256496000000013</v>
      </c>
      <c r="CA23" s="14">
        <f t="shared" si="39"/>
        <v>23.417626000016696</v>
      </c>
      <c r="CB23" s="22">
        <f t="shared" si="10"/>
        <v>189.27409581669576</v>
      </c>
      <c r="CC23" s="62">
        <f t="shared" si="11"/>
        <v>482.60742915002908</v>
      </c>
      <c r="CD23" s="62">
        <f ca="1">AVERAGE(OFFSET($CC$3,0,0,'Données projet'!$E$12+1,1))-AVERAGE(OFFSET($H$3,0,0,'Données projet'!$E$12+1,1))</f>
        <v>248.15263300983543</v>
      </c>
      <c r="CE23" s="62">
        <f t="shared" si="40"/>
        <v>266.46511459244618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7.9145000000000021</v>
      </c>
      <c r="CT23" s="13">
        <f>IF('Données projet'!$A$140&gt;35,CT22+CS23-DB22,IF(A23&lt;'Données projet'!$A$140,$CQ$205^A23,IF(A23='Données projet'!$A$140,'Données projet'!$B$140,CT22+CS23-DB22)))</f>
        <v>107.16000000000001</v>
      </c>
      <c r="CU23" s="18">
        <f>CT23*VLOOKUP('Données projet'!$B$13,Paramètres!$A$1:$I$89,3,0)*VLOOKUP('Données projet'!$B$13,Paramètres!$A$1:$I$89,5,0)</f>
        <v>71.882928000000007</v>
      </c>
      <c r="CV23" s="14">
        <f t="shared" si="41"/>
        <v>20.140330148462098</v>
      </c>
      <c r="CW23" s="22">
        <f t="shared" si="13"/>
        <v>160.27384127523817</v>
      </c>
      <c r="CX23" s="62">
        <f t="shared" si="14"/>
        <v>453.60717460857148</v>
      </c>
      <c r="CY23" s="62">
        <f ca="1">AVERAGE(OFFSET($CX$3,0,0,'Données projet'!$E$13+1,1))-AVERAGE(OFFSET($H$3,0,0,'Données projet'!$E$13+1,1))</f>
        <v>205.35893113421139</v>
      </c>
      <c r="CZ23" s="62">
        <f t="shared" si="42"/>
        <v>220.4399811285175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31.8</v>
      </c>
      <c r="N24" s="14">
        <f>IF('Données projet'!$A$36&gt;35,N23+M24-V23,IF(A24&lt;'Données projet'!$A$36,$K$205^A24,IF(A24='Données projet'!$A$36,'Données projet'!$B$36,N23+M24-V23)))</f>
        <v>291.79999999999995</v>
      </c>
      <c r="O24" s="14">
        <f>N24*VLOOKUP('Données projet'!$B$9,Paramètres!$A$1:$I$89,3,0)*VLOOKUP('Données projet'!$B$9,Paramètres!$A$1:$I$89,5,0)</f>
        <v>163.11619999999996</v>
      </c>
      <c r="P24" s="14">
        <f t="shared" si="33"/>
        <v>41.544592017733109</v>
      </c>
      <c r="Q24" s="22">
        <f t="shared" si="2"/>
        <v>356.4508794308851</v>
      </c>
      <c r="R24" s="62">
        <f t="shared" si="0"/>
        <v>649.78421276421841</v>
      </c>
      <c r="S24" s="62">
        <f ca="1">AVERAGE(OFFSET($R$3,0,0,'Données projet'!$E$9+1,1))-AVERAGE(OFFSET($H$3,0,0,'Données projet'!$E$9+1,1))</f>
        <v>490.96084572840579</v>
      </c>
      <c r="T24" s="62">
        <f t="shared" si="34"/>
        <v>597.91658789908263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9.514912053140316</v>
      </c>
      <c r="AB24" s="23">
        <f>EXP(-LN(2)/2)*AB23+(1-EXP(-LN(2)/2))/(LN(2)/2)*V24*Y24*VLOOKUP('Données projet'!$B$9,Paramètres!$A$1:$I$89,3,0)*0.475*44/12</f>
        <v>8.4674663871764242</v>
      </c>
      <c r="AC24" s="24">
        <f t="shared" si="3"/>
        <v>17.98237844031674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26.833333333333332</v>
      </c>
      <c r="AI24" s="14">
        <f>IF('Données projet'!$A$62&gt;35,AI23+AH24-AQ23,IF(A24&lt;'Données projet'!$A$62,$AF$205^A24,IF(A24='Données projet'!$A$62,'Données projet'!$B$62,AI23+AH24-AQ23)))</f>
        <v>342.49999999999994</v>
      </c>
      <c r="AJ24" s="14">
        <f>AI24*VLOOKUP('Données projet'!$B$10,Paramètres!$A$1:$I$89,3,0)*VLOOKUP('Données projet'!$B$10,Paramètres!$A$1:$I$89,5,0)</f>
        <v>213.71999999999997</v>
      </c>
      <c r="AK24" s="14">
        <f t="shared" si="35"/>
        <v>52.747666674989134</v>
      </c>
      <c r="AL24" s="22">
        <f t="shared" si="4"/>
        <v>464.0978527922727</v>
      </c>
      <c r="AM24" s="62">
        <f t="shared" si="5"/>
        <v>757.43118612560602</v>
      </c>
      <c r="AN24" s="62">
        <f ca="1">AVERAGE(OFFSET($AM$3,0,0,'Données projet'!$E$10+1,1))-AVERAGE(OFFSET($H$3,0,0,'Données projet'!$E$10+1,1))</f>
        <v>482.28841373508675</v>
      </c>
      <c r="AO24" s="62">
        <f t="shared" si="36"/>
        <v>746.97309214631684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11.8</v>
      </c>
      <c r="BD24" s="13">
        <f>IF('Données projet'!$A$88&gt;35,BD23+BC24-BL23,IF(A24&lt;'Données projet'!$A$88,$BA$205^A24,IF(A24='Données projet'!$A$88,'Données projet'!$B$88,BD23+BC24-BL23)))</f>
        <v>170.80000000000004</v>
      </c>
      <c r="BE24" s="14">
        <f>BD24*VLOOKUP('Données projet'!$B$11,Paramètres!$A$1:$I$89,3,0)*VLOOKUP('Données projet'!$B$11,Paramètres!$A$1:$I$89,5,0)</f>
        <v>125.23056000000003</v>
      </c>
      <c r="BF24" s="14">
        <f t="shared" si="37"/>
        <v>32.891895814580799</v>
      </c>
      <c r="BG24" s="22">
        <f t="shared" si="7"/>
        <v>275.39661054372829</v>
      </c>
      <c r="BH24" s="62">
        <f t="shared" si="8"/>
        <v>568.7299438770616</v>
      </c>
      <c r="BI24" s="62">
        <f ca="1">AVERAGE(OFFSET($BH$3,0,0,'Données projet'!$E$11+1,1))-AVERAGE(OFFSET($H$3,0,0,'Données projet'!$E$11+1,1))</f>
        <v>350.22629663422435</v>
      </c>
      <c r="BJ24" s="62">
        <f t="shared" si="38"/>
        <v>375.98044319336645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7.9145000000000021</v>
      </c>
      <c r="BY24" s="13">
        <f>IF('Données projet'!$A$114&gt;35,BY23+BX24-CG23,IF(A24&lt;'Données projet'!$A$114,$BV$205^A24,IF(A24='Données projet'!$A$114,'Données projet'!$B$114,BY23+BX24-CG23)))</f>
        <v>115.07450000000001</v>
      </c>
      <c r="BZ24" s="14">
        <f>BY24*VLOOKUP('Données projet'!$B$12,Paramètres!$A$1:$I$89,3,0)*VLOOKUP('Données projet'!$B$12,Paramètres!$A$1:$I$89,5,0)</f>
        <v>91.553272200000009</v>
      </c>
      <c r="CA24" s="14">
        <f t="shared" si="39"/>
        <v>24.939462962014957</v>
      </c>
      <c r="CB24" s="22">
        <f t="shared" si="10"/>
        <v>202.8915137405094</v>
      </c>
      <c r="CC24" s="62">
        <f t="shared" si="11"/>
        <v>496.22484707384274</v>
      </c>
      <c r="CD24" s="62">
        <f ca="1">AVERAGE(OFFSET($CC$3,0,0,'Données projet'!$E$12+1,1))-AVERAGE(OFFSET($H$3,0,0,'Données projet'!$E$12+1,1))</f>
        <v>248.15263300983543</v>
      </c>
      <c r="CE24" s="62">
        <f t="shared" si="40"/>
        <v>266.46511459244618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7.9145000000000021</v>
      </c>
      <c r="CT24" s="13">
        <f>IF('Données projet'!$A$140&gt;35,CT23+CS24-DB23,IF(A24&lt;'Données projet'!$A$140,$CQ$205^A24,IF(A24='Données projet'!$A$140,'Données projet'!$B$140,CT23+CS24-DB23)))</f>
        <v>115.07450000000001</v>
      </c>
      <c r="CU24" s="18">
        <f>CT24*VLOOKUP('Données projet'!$B$13,Paramètres!$A$1:$I$89,3,0)*VLOOKUP('Données projet'!$B$13,Paramètres!$A$1:$I$89,5,0)</f>
        <v>77.191974600000009</v>
      </c>
      <c r="CV24" s="14">
        <f t="shared" si="41"/>
        <v>21.449186086581346</v>
      </c>
      <c r="CW24" s="22">
        <f t="shared" si="13"/>
        <v>171.80002152912917</v>
      </c>
      <c r="CX24" s="62">
        <f t="shared" si="14"/>
        <v>465.13335486246251</v>
      </c>
      <c r="CY24" s="62">
        <f ca="1">AVERAGE(OFFSET($CX$3,0,0,'Données projet'!$E$13+1,1))-AVERAGE(OFFSET($H$3,0,0,'Données projet'!$E$13+1,1))</f>
        <v>205.35893113421139</v>
      </c>
      <c r="CZ24" s="62">
        <f t="shared" si="42"/>
        <v>220.4399811285175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31.8</v>
      </c>
      <c r="N25" s="14">
        <f>IF('Données projet'!$A$36&gt;35,N24+M25-V24,IF(A25&lt;'Données projet'!$A$36,$K$205^A25,IF(A25='Données projet'!$A$36,'Données projet'!$B$36,N24+M25-V24)))</f>
        <v>323.59999999999997</v>
      </c>
      <c r="O25" s="14">
        <f>N25*VLOOKUP('Données projet'!$B$9,Paramètres!$A$1:$I$89,3,0)*VLOOKUP('Données projet'!$B$9,Paramètres!$A$1:$I$89,5,0)</f>
        <v>180.89240000000001</v>
      </c>
      <c r="P25" s="14">
        <f t="shared" si="33"/>
        <v>45.520671542487669</v>
      </c>
      <c r="Q25" s="22">
        <f t="shared" si="2"/>
        <v>394.33609960316602</v>
      </c>
      <c r="R25" s="62">
        <f t="shared" si="0"/>
        <v>687.66943293649933</v>
      </c>
      <c r="S25" s="62">
        <f ca="1">AVERAGE(OFFSET($R$3,0,0,'Données projet'!$E$9+1,1))-AVERAGE(OFFSET($H$3,0,0,'Données projet'!$E$9+1,1))</f>
        <v>490.96084572840579</v>
      </c>
      <c r="T25" s="62">
        <f t="shared" si="34"/>
        <v>597.91658789908263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9.2547262826797159</v>
      </c>
      <c r="AB25" s="23">
        <f>EXP(-LN(2)/2)*AB24+(1-EXP(-LN(2)/2))/(LN(2)/2)*V25*Y25*VLOOKUP('Données projet'!$B$9,Paramètres!$A$1:$I$89,3,0)*0.475*44/12</f>
        <v>5.9874029018416062</v>
      </c>
      <c r="AC25" s="24">
        <f t="shared" si="3"/>
        <v>15.242129184521321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26.833333333333332</v>
      </c>
      <c r="AI25" s="14">
        <f>IF('Données projet'!$A$62&gt;35,AI24+AH25-AQ24,IF(A25&lt;'Données projet'!$A$62,$AF$205^A25,IF(A25='Données projet'!$A$62,'Données projet'!$B$62,AI24+AH25-AQ24)))</f>
        <v>369.33333333333326</v>
      </c>
      <c r="AJ25" s="14">
        <f>AI25*VLOOKUP('Données projet'!$B$10,Paramètres!$A$1:$I$89,3,0)*VLOOKUP('Données projet'!$B$10,Paramètres!$A$1:$I$89,5,0)</f>
        <v>230.46399999999994</v>
      </c>
      <c r="AK25" s="14">
        <f t="shared" si="35"/>
        <v>56.382997408609569</v>
      </c>
      <c r="AL25" s="22">
        <f t="shared" si="4"/>
        <v>499.59185381999487</v>
      </c>
      <c r="AM25" s="62">
        <f t="shared" si="5"/>
        <v>792.92518715332812</v>
      </c>
      <c r="AN25" s="62">
        <f ca="1">AVERAGE(OFFSET($AM$3,0,0,'Données projet'!$E$10+1,1))-AVERAGE(OFFSET($H$3,0,0,'Données projet'!$E$10+1,1))</f>
        <v>482.28841373508675</v>
      </c>
      <c r="AO25" s="62">
        <f t="shared" si="36"/>
        <v>746.97309214631684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11.8</v>
      </c>
      <c r="BD25" s="13">
        <f>IF('Données projet'!$A$88&gt;35,BD24+BC25-BL24,IF(A25&lt;'Données projet'!$A$88,$BA$205^A25,IF(A25='Données projet'!$A$88,'Données projet'!$B$88,BD24+BC25-BL24)))</f>
        <v>182.60000000000005</v>
      </c>
      <c r="BE25" s="14">
        <f>BD25*VLOOKUP('Données projet'!$B$11,Paramètres!$A$1:$I$89,3,0)*VLOOKUP('Données projet'!$B$11,Paramètres!$A$1:$I$89,5,0)</f>
        <v>133.88232000000002</v>
      </c>
      <c r="BF25" s="14">
        <f t="shared" si="37"/>
        <v>34.89190733724724</v>
      </c>
      <c r="BG25" s="22">
        <f t="shared" si="7"/>
        <v>293.9484459457056</v>
      </c>
      <c r="BH25" s="62">
        <f t="shared" si="8"/>
        <v>587.28177927903891</v>
      </c>
      <c r="BI25" s="62">
        <f ca="1">AVERAGE(OFFSET($BH$3,0,0,'Données projet'!$E$11+1,1))-AVERAGE(OFFSET($H$3,0,0,'Données projet'!$E$11+1,1))</f>
        <v>350.22629663422435</v>
      </c>
      <c r="BJ25" s="62">
        <f t="shared" si="38"/>
        <v>375.98044319336645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7.9145000000000021</v>
      </c>
      <c r="BY25" s="13">
        <f>IF('Données projet'!$A$114&gt;35,BY24+BX25-CG24,IF(A25&lt;'Données projet'!$A$114,$BV$205^A25,IF(A25='Données projet'!$A$114,'Données projet'!$B$114,BY24+BX25-CG24)))</f>
        <v>122.98900000000002</v>
      </c>
      <c r="BZ25" s="14">
        <f>BY25*VLOOKUP('Données projet'!$B$12,Paramètres!$A$1:$I$89,3,0)*VLOOKUP('Données projet'!$B$12,Paramètres!$A$1:$I$89,5,0)</f>
        <v>97.85004840000002</v>
      </c>
      <c r="CA25" s="14">
        <f t="shared" si="39"/>
        <v>26.449155143192673</v>
      </c>
      <c r="CB25" s="22">
        <f t="shared" si="10"/>
        <v>216.4877795043939</v>
      </c>
      <c r="CC25" s="62">
        <f t="shared" si="11"/>
        <v>509.82111283772724</v>
      </c>
      <c r="CD25" s="62">
        <f ca="1">AVERAGE(OFFSET($CC$3,0,0,'Données projet'!$E$12+1,1))-AVERAGE(OFFSET($H$3,0,0,'Données projet'!$E$12+1,1))</f>
        <v>248.15263300983543</v>
      </c>
      <c r="CE25" s="62">
        <f t="shared" si="40"/>
        <v>266.46511459244618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7.9145000000000021</v>
      </c>
      <c r="CT25" s="13">
        <f>IF('Données projet'!$A$140&gt;35,CT24+CS25-DB24,IF(A25&lt;'Données projet'!$A$140,$CQ$205^A25,IF(A25='Données projet'!$A$140,'Données projet'!$B$140,CT24+CS25-DB24)))</f>
        <v>122.98900000000002</v>
      </c>
      <c r="CU25" s="18">
        <f>CT25*VLOOKUP('Données projet'!$B$13,Paramètres!$A$1:$I$89,3,0)*VLOOKUP('Données projet'!$B$13,Paramètres!$A$1:$I$89,5,0)</f>
        <v>82.501021200000011</v>
      </c>
      <c r="CV25" s="14">
        <f t="shared" si="41"/>
        <v>22.747596905485395</v>
      </c>
      <c r="CW25" s="22">
        <f t="shared" si="13"/>
        <v>183.30800986705376</v>
      </c>
      <c r="CX25" s="62">
        <f t="shared" si="14"/>
        <v>476.64134320038704</v>
      </c>
      <c r="CY25" s="62">
        <f ca="1">AVERAGE(OFFSET($CX$3,0,0,'Données projet'!$E$13+1,1))-AVERAGE(OFFSET($H$3,0,0,'Données projet'!$E$13+1,1))</f>
        <v>205.35893113421139</v>
      </c>
      <c r="CZ25" s="62">
        <f t="shared" si="42"/>
        <v>220.4399811285175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31.8</v>
      </c>
      <c r="N26" s="14">
        <f>IF('Données projet'!$A$36&gt;35,N25+M26-V25,IF(A26&lt;'Données projet'!$A$36,$K$205^A26,IF(A26='Données projet'!$A$36,'Données projet'!$B$36,N25+M26-V25)))</f>
        <v>355.4</v>
      </c>
      <c r="O26" s="14">
        <f>N26*VLOOKUP('Données projet'!$B$9,Paramètres!$A$1:$I$89,3,0)*VLOOKUP('Données projet'!$B$9,Paramètres!$A$1:$I$89,5,0)</f>
        <v>198.66859999999997</v>
      </c>
      <c r="P26" s="14">
        <f t="shared" si="33"/>
        <v>49.451452656287465</v>
      </c>
      <c r="Q26" s="22">
        <f t="shared" si="2"/>
        <v>432.14242504303394</v>
      </c>
      <c r="R26" s="62">
        <f t="shared" si="0"/>
        <v>725.47575837636725</v>
      </c>
      <c r="S26" s="62">
        <f ca="1">AVERAGE(OFFSET($R$3,0,0,'Données projet'!$E$9+1,1))-AVERAGE(OFFSET($H$3,0,0,'Données projet'!$E$9+1,1))</f>
        <v>490.96084572840579</v>
      </c>
      <c r="T26" s="62">
        <f t="shared" si="34"/>
        <v>597.91658789908263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9.0016553057949356</v>
      </c>
      <c r="AB26" s="23">
        <f>EXP(-LN(2)/2)*AB25+(1-EXP(-LN(2)/2))/(LN(2)/2)*V26*Y26*VLOOKUP('Données projet'!$B$9,Paramètres!$A$1:$I$89,3,0)*0.475*44/12</f>
        <v>4.233733193588213</v>
      </c>
      <c r="AC26" s="24">
        <f t="shared" si="3"/>
        <v>13.235388499383149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26.833333333333332</v>
      </c>
      <c r="AI26" s="14">
        <f>IF('Données projet'!$A$62&gt;35,AI25+AH26-AQ25,IF(A26&lt;'Données projet'!$A$62,$AF$205^A26,IF(A26='Données projet'!$A$62,'Données projet'!$B$62,AI25+AH26-AQ25)))</f>
        <v>396.16666666666657</v>
      </c>
      <c r="AJ26" s="14">
        <f>AI26*VLOOKUP('Données projet'!$B$10,Paramètres!$A$1:$I$89,3,0)*VLOOKUP('Données projet'!$B$10,Paramètres!$A$1:$I$89,5,0)</f>
        <v>247.20799999999994</v>
      </c>
      <c r="AK26" s="14">
        <f t="shared" si="35"/>
        <v>59.98768585042928</v>
      </c>
      <c r="AL26" s="22">
        <f t="shared" si="4"/>
        <v>535.0324861894976</v>
      </c>
      <c r="AM26" s="62">
        <f t="shared" si="5"/>
        <v>828.36581952283086</v>
      </c>
      <c r="AN26" s="62">
        <f ca="1">AVERAGE(OFFSET($AM$3,0,0,'Données projet'!$E$10+1,1))-AVERAGE(OFFSET($H$3,0,0,'Données projet'!$E$10+1,1))</f>
        <v>482.28841373508675</v>
      </c>
      <c r="AO26" s="62">
        <f t="shared" si="36"/>
        <v>746.97309214631684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11.8</v>
      </c>
      <c r="BD26" s="13">
        <f>IF('Données projet'!$A$88&gt;35,BD25+BC26-BL25,IF(A26&lt;'Données projet'!$A$88,$BA$205^A26,IF(A26='Données projet'!$A$88,'Données projet'!$B$88,BD25+BC26-BL25)))</f>
        <v>194.40000000000006</v>
      </c>
      <c r="BE26" s="14">
        <f>BD26*VLOOKUP('Données projet'!$B$11,Paramètres!$A$1:$I$89,3,0)*VLOOKUP('Données projet'!$B$11,Paramètres!$A$1:$I$89,5,0)</f>
        <v>142.53408000000005</v>
      </c>
      <c r="BF26" s="14">
        <f t="shared" si="37"/>
        <v>36.876920165647569</v>
      </c>
      <c r="BG26" s="22">
        <f t="shared" si="7"/>
        <v>312.47415862183624</v>
      </c>
      <c r="BH26" s="62">
        <f t="shared" si="8"/>
        <v>605.80749195516955</v>
      </c>
      <c r="BI26" s="62">
        <f ca="1">AVERAGE(OFFSET($BH$3,0,0,'Données projet'!$E$11+1,1))-AVERAGE(OFFSET($H$3,0,0,'Données projet'!$E$11+1,1))</f>
        <v>350.22629663422435</v>
      </c>
      <c r="BJ26" s="62">
        <f t="shared" si="38"/>
        <v>375.98044319336645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7.9145000000000021</v>
      </c>
      <c r="BY26" s="13">
        <f>IF('Données projet'!$A$114&gt;35,BY25+BX26-CG25,IF(A26&lt;'Données projet'!$A$114,$BV$205^A26,IF(A26='Données projet'!$A$114,'Données projet'!$B$114,BY25+BX26-CG25)))</f>
        <v>130.90350000000001</v>
      </c>
      <c r="BZ26" s="14">
        <f>BY26*VLOOKUP('Données projet'!$B$12,Paramètres!$A$1:$I$89,3,0)*VLOOKUP('Données projet'!$B$12,Paramètres!$A$1:$I$89,5,0)</f>
        <v>104.1468246</v>
      </c>
      <c r="CA26" s="14">
        <f t="shared" si="39"/>
        <v>27.947573026394743</v>
      </c>
      <c r="CB26" s="22">
        <f t="shared" si="10"/>
        <v>230.06440919930415</v>
      </c>
      <c r="CC26" s="62">
        <f t="shared" si="11"/>
        <v>523.39774253263749</v>
      </c>
      <c r="CD26" s="62">
        <f ca="1">AVERAGE(OFFSET($CC$3,0,0,'Données projet'!$E$12+1,1))-AVERAGE(OFFSET($H$3,0,0,'Données projet'!$E$12+1,1))</f>
        <v>248.15263300983543</v>
      </c>
      <c r="CE26" s="62">
        <f t="shared" si="40"/>
        <v>266.46511459244618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7.9145000000000021</v>
      </c>
      <c r="CT26" s="13">
        <f>IF('Données projet'!$A$140&gt;35,CT25+CS26-DB25,IF(A26&lt;'Données projet'!$A$140,$CQ$205^A26,IF(A26='Données projet'!$A$140,'Données projet'!$B$140,CT25+CS26-DB25)))</f>
        <v>130.90350000000001</v>
      </c>
      <c r="CU26" s="18">
        <f>CT26*VLOOKUP('Données projet'!$B$13,Paramètres!$A$1:$I$89,3,0)*VLOOKUP('Données projet'!$B$13,Paramètres!$A$1:$I$89,5,0)</f>
        <v>87.810067799999999</v>
      </c>
      <c r="CV26" s="14">
        <f t="shared" si="41"/>
        <v>24.036311263978781</v>
      </c>
      <c r="CW26" s="22">
        <f t="shared" si="13"/>
        <v>194.79911020309638</v>
      </c>
      <c r="CX26" s="62">
        <f t="shared" si="14"/>
        <v>488.13244353642972</v>
      </c>
      <c r="CY26" s="62">
        <f ca="1">AVERAGE(OFFSET($CX$3,0,0,'Données projet'!$E$13+1,1))-AVERAGE(OFFSET($H$3,0,0,'Données projet'!$E$13+1,1))</f>
        <v>205.35893113421139</v>
      </c>
      <c r="CZ26" s="62">
        <f t="shared" si="42"/>
        <v>220.4399811285175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31.8</v>
      </c>
      <c r="N27" s="14">
        <f>IF('Données projet'!$A$36&gt;35,N26+M27-V26,IF(A27&lt;'Données projet'!$A$36,$K$205^A27,IF(A27='Données projet'!$A$36,'Données projet'!$B$36,N26+M27-V26)))</f>
        <v>387.2</v>
      </c>
      <c r="O27" s="14">
        <f>N27*VLOOKUP('Données projet'!$B$9,Paramètres!$A$1:$I$89,3,0)*VLOOKUP('Données projet'!$B$9,Paramètres!$A$1:$I$89,5,0)</f>
        <v>216.44479999999999</v>
      </c>
      <c r="P27" s="14">
        <f t="shared" si="33"/>
        <v>53.341449419561528</v>
      </c>
      <c r="Q27" s="22">
        <f t="shared" si="2"/>
        <v>469.87771773906962</v>
      </c>
      <c r="R27" s="62">
        <f t="shared" si="0"/>
        <v>763.21105107240294</v>
      </c>
      <c r="S27" s="62">
        <f ca="1">AVERAGE(OFFSET($R$3,0,0,'Données projet'!$E$9+1,1))-AVERAGE(OFFSET($H$3,0,0,'Données projet'!$E$9+1,1))</f>
        <v>490.96084572840579</v>
      </c>
      <c r="T27" s="62">
        <f t="shared" si="34"/>
        <v>597.91658789908263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8.7555045680814949</v>
      </c>
      <c r="AB27" s="23">
        <f>EXP(-LN(2)/2)*AB26+(1-EXP(-LN(2)/2))/(LN(2)/2)*V27*Y27*VLOOKUP('Données projet'!$B$9,Paramètres!$A$1:$I$89,3,0)*0.475*44/12</f>
        <v>2.993701450920804</v>
      </c>
      <c r="AC27" s="24">
        <f t="shared" si="3"/>
        <v>11.749206019002299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423</v>
      </c>
      <c r="AG27" s="13">
        <f>VLOOKUP(A27,'Données projet'!$A$61:$I$81,9,0)</f>
        <v>26.833333333333332</v>
      </c>
      <c r="AH27" s="13">
        <f t="array" ref="AH27">INDEX(AG:AG,MIN(IF(ISNUMBER(AG27:AG223),ROW(AG27:AG223),"")))</f>
        <v>26.833333333333332</v>
      </c>
      <c r="AI27" s="14">
        <f>IF('Données projet'!$A$62&gt;35,AI26+AH27-AQ26,IF(A27&lt;'Données projet'!$A$62,$AF$205^A27,IF(A27='Données projet'!$A$62,'Données projet'!$B$62,AI26+AH27-AQ26)))</f>
        <v>422.99999999999989</v>
      </c>
      <c r="AJ27" s="14">
        <f>AI27*VLOOKUP('Données projet'!$B$10,Paramètres!$A$1:$I$89,3,0)*VLOOKUP('Données projet'!$B$10,Paramètres!$A$1:$I$89,5,0)</f>
        <v>263.95199999999994</v>
      </c>
      <c r="AK27" s="14">
        <f t="shared" si="35"/>
        <v>63.564043607303319</v>
      </c>
      <c r="AL27" s="22">
        <f t="shared" si="4"/>
        <v>570.42377594938648</v>
      </c>
      <c r="AM27" s="62">
        <f t="shared" si="5"/>
        <v>863.75710928271974</v>
      </c>
      <c r="AN27" s="62">
        <f ca="1">AVERAGE(OFFSET($AM$3,0,0,'Données projet'!$E$10+1,1))-AVERAGE(OFFSET($H$3,0,0,'Données projet'!$E$10+1,1))</f>
        <v>482.28841373508675</v>
      </c>
      <c r="AO27" s="62">
        <f t="shared" si="36"/>
        <v>746.97309214631684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0.42</v>
      </c>
      <c r="AS27" s="17">
        <f>IF(ISNA(VLOOKUP(A27,'Données projet'!$A$61:$I$81,6,0)),0%,VLOOKUP(A27,'Données projet'!$A$61:$I$81,6,0)*VLOOKUP('Données projet'!$B$10,Paramètres!$A$1:$I$89,7,0))</f>
        <v>0.1008</v>
      </c>
      <c r="AT27" s="17">
        <f>IF(ISNA(VLOOKUP(A27,'Données projet'!$A$61:$I$81,7,0)),0%,VLOOKUP(A27,'Données projet'!$A$61:$I$81,7,0))</f>
        <v>0.13200000000000001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11.8</v>
      </c>
      <c r="BD27" s="13">
        <f>IF('Données projet'!$A$88&gt;35,BD26+BC27-BL26,IF(A27&lt;'Données projet'!$A$88,$BA$205^A27,IF(A27='Données projet'!$A$88,'Données projet'!$B$88,BD26+BC27-BL26)))</f>
        <v>206.20000000000007</v>
      </c>
      <c r="BE27" s="14">
        <f>BD27*VLOOKUP('Données projet'!$B$11,Paramètres!$A$1:$I$89,3,0)*VLOOKUP('Données projet'!$B$11,Paramètres!$A$1:$I$89,5,0)</f>
        <v>151.18584000000004</v>
      </c>
      <c r="BF27" s="14">
        <f t="shared" si="37"/>
        <v>38.84794838705254</v>
      </c>
      <c r="BG27" s="22">
        <f t="shared" si="7"/>
        <v>330.97551477411662</v>
      </c>
      <c r="BH27" s="62">
        <f t="shared" si="8"/>
        <v>624.30884810744988</v>
      </c>
      <c r="BI27" s="62">
        <f ca="1">AVERAGE(OFFSET($BH$3,0,0,'Données projet'!$E$11+1,1))-AVERAGE(OFFSET($H$3,0,0,'Données projet'!$E$11+1,1))</f>
        <v>350.22629663422435</v>
      </c>
      <c r="BJ27" s="62">
        <f t="shared" si="38"/>
        <v>375.98044319336645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7.9145000000000021</v>
      </c>
      <c r="BY27" s="13">
        <f>IF('Données projet'!$A$114&gt;35,BY26+BX27-CG26,IF(A27&lt;'Données projet'!$A$114,$BV$205^A27,IF(A27='Données projet'!$A$114,'Données projet'!$B$114,BY26+BX27-CG26)))</f>
        <v>138.81800000000001</v>
      </c>
      <c r="BZ27" s="14">
        <f>BY27*VLOOKUP('Données projet'!$B$12,Paramètres!$A$1:$I$89,3,0)*VLOOKUP('Données projet'!$B$12,Paramètres!$A$1:$I$89,5,0)</f>
        <v>110.44360080000003</v>
      </c>
      <c r="CA27" s="14">
        <f t="shared" si="39"/>
        <v>29.435475887333745</v>
      </c>
      <c r="CB27" s="22">
        <f t="shared" si="10"/>
        <v>243.62272523043964</v>
      </c>
      <c r="CC27" s="62">
        <f t="shared" si="11"/>
        <v>536.95605856377301</v>
      </c>
      <c r="CD27" s="62">
        <f ca="1">AVERAGE(OFFSET($CC$3,0,0,'Données projet'!$E$12+1,1))-AVERAGE(OFFSET($H$3,0,0,'Données projet'!$E$12+1,1))</f>
        <v>248.15263300983543</v>
      </c>
      <c r="CE27" s="62">
        <f t="shared" si="40"/>
        <v>266.46511459244618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7.9145000000000021</v>
      </c>
      <c r="CT27" s="13">
        <f>IF('Données projet'!$A$140&gt;35,CT26+CS27-DB26,IF(A27&lt;'Données projet'!$A$140,$CQ$205^A27,IF(A27='Données projet'!$A$140,'Données projet'!$B$140,CT26+CS27-DB26)))</f>
        <v>138.81800000000001</v>
      </c>
      <c r="CU27" s="18">
        <f>CT27*VLOOKUP('Données projet'!$B$13,Paramètres!$A$1:$I$89,3,0)*VLOOKUP('Données projet'!$B$13,Paramètres!$A$1:$I$89,5,0)</f>
        <v>93.119114400000001</v>
      </c>
      <c r="CV27" s="14">
        <f t="shared" si="41"/>
        <v>25.315982177167477</v>
      </c>
      <c r="CW27" s="22">
        <f t="shared" si="13"/>
        <v>206.27445987190004</v>
      </c>
      <c r="CX27" s="62">
        <f t="shared" si="14"/>
        <v>499.60779320523335</v>
      </c>
      <c r="CY27" s="62">
        <f ca="1">AVERAGE(OFFSET($CX$3,0,0,'Données projet'!$E$13+1,1))-AVERAGE(OFFSET($H$3,0,0,'Données projet'!$E$13+1,1))</f>
        <v>205.35893113421139</v>
      </c>
      <c r="CZ27" s="62">
        <f t="shared" si="42"/>
        <v>220.4399811285175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419</v>
      </c>
      <c r="L28" s="13">
        <f>VLOOKUP(A28,'Données projet'!$A$35:$I$55,9,0)</f>
        <v>31.8</v>
      </c>
      <c r="M28" s="13">
        <f t="array" ref="M28">INDEX(L:L,MIN(IF(ISNUMBER(L28:L224),ROW(L28:L224),"")))</f>
        <v>31.8</v>
      </c>
      <c r="N28" s="14">
        <f>IF('Données projet'!$A$36&gt;35,N27+M28-V27,IF(A28&lt;'Données projet'!$A$36,$K$205^A28,IF(A28='Données projet'!$A$36,'Données projet'!$B$36,N27+M28-V27)))</f>
        <v>419</v>
      </c>
      <c r="O28" s="14">
        <f>N28*VLOOKUP('Données projet'!$B$9,Paramètres!$A$1:$I$89,3,0)*VLOOKUP('Données projet'!$B$9,Paramètres!$A$1:$I$89,5,0)</f>
        <v>234.221</v>
      </c>
      <c r="P28" s="14">
        <f t="shared" si="33"/>
        <v>57.194392182630075</v>
      </c>
      <c r="Q28" s="22">
        <f t="shared" si="2"/>
        <v>507.54847471808063</v>
      </c>
      <c r="R28" s="62">
        <f t="shared" si="0"/>
        <v>800.88180805141394</v>
      </c>
      <c r="S28" s="62">
        <f ca="1">AVERAGE(OFFSET($R$3,0,0,'Données projet'!$E$9+1,1))-AVERAGE(OFFSET($H$3,0,0,'Données projet'!$E$9+1,1))</f>
        <v>490.96084572840579</v>
      </c>
      <c r="T28" s="62">
        <f t="shared" si="34"/>
        <v>597.91658789908263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60</v>
      </c>
      <c r="W28" s="17">
        <f>IF(ISNA(VLOOKUP(A28,'Données projet'!$A$35:$I$55,5,0)),0%,VLOOKUP(A28,'Données projet'!$A$35:$I$55,5,0)*VLOOKUP('Données projet'!$B$9,Paramètres!$A$1:$I$89,7,0))</f>
        <v>0.38500000000000001</v>
      </c>
      <c r="X28" s="17">
        <f>IF(ISNA(VLOOKUP(A28,'Données projet'!$A$35:$I$55,6,0)),0%,VLOOKUP(A28,'Données projet'!$A$35:$I$55,6,0)*VLOOKUP('Données projet'!$B$9,Paramètres!$A$1:$I$89,7,0))</f>
        <v>9.240000000000001E-2</v>
      </c>
      <c r="Y28" s="17">
        <f>IF(ISNA(VLOOKUP(A28,'Données projet'!$A$35:$I$55,7,0)),0%,VLOOKUP(A28,'Données projet'!$A$35:$I$55,7,0))</f>
        <v>0.13200000000000001</v>
      </c>
      <c r="Z28" s="23">
        <f>EXP(-LN(2)/35)*Z27+(1-EXP(-LN(2)/35))/(LN(2)/35)*V28*W28*VLOOKUP('Données projet'!$B$9,Paramètres!$A$1:$I$89,3,0)*0.475*44/12</f>
        <v>17.129794156645243</v>
      </c>
      <c r="AA28" s="23">
        <f>EXP(-LN(2)/25)*AA27+(1-EXP(-LN(2)/25))/(LN(2)/25)*Calculateur!V28*Calculateur!X28*VLOOKUP('Données projet'!$B$9,Paramètres!$A$1:$I$89,3,0)*0.475*44/12</f>
        <v>12.611048266456272</v>
      </c>
      <c r="AB28" s="23">
        <f>EXP(-LN(2)/2)*AB27+(1-EXP(-LN(2)/2))/(LN(2)/2)*V28*Y28*VLOOKUP('Données projet'!$B$9,Paramètres!$A$1:$I$89,3,0)*0.475*44/12</f>
        <v>7.1295760029870792</v>
      </c>
      <c r="AC28" s="24">
        <f t="shared" si="3"/>
        <v>36.870418426088591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26.666666666666668</v>
      </c>
      <c r="AI28" s="14">
        <f>IF('Données projet'!$A$62&gt;35,AI27+AH28-AQ27,IF(A28&lt;'Données projet'!$A$62,$AF$205^A28,IF(A28='Données projet'!$A$62,'Données projet'!$B$62,AI27+AH28-AQ27)))</f>
        <v>449.66666666666657</v>
      </c>
      <c r="AJ28" s="14">
        <f>AI28*VLOOKUP('Données projet'!$B$10,Paramètres!$A$1:$I$89,3,0)*VLOOKUP('Données projet'!$B$10,Paramètres!$A$1:$I$89,5,0)</f>
        <v>280.59199999999993</v>
      </c>
      <c r="AK28" s="14">
        <f t="shared" si="35"/>
        <v>67.092100116644588</v>
      </c>
      <c r="AL28" s="22">
        <f t="shared" si="4"/>
        <v>605.54980770315581</v>
      </c>
      <c r="AM28" s="62">
        <f t="shared" si="5"/>
        <v>898.88314103648918</v>
      </c>
      <c r="AN28" s="62">
        <f ca="1">AVERAGE(OFFSET($AM$3,0,0,'Données projet'!$E$10+1,1))-AVERAGE(OFFSET($H$3,0,0,'Données projet'!$E$10+1,1))</f>
        <v>482.28841373508675</v>
      </c>
      <c r="AO28" s="62">
        <f t="shared" si="36"/>
        <v>746.97309214631684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218</v>
      </c>
      <c r="BB28" s="13">
        <f>VLOOKUP(A28,'Données projet'!$A$87:$I$107,9,0)</f>
        <v>11.8</v>
      </c>
      <c r="BC28" s="13">
        <f t="array" ref="BC28">INDEX(BB:BB,MIN(IF(ISNUMBER(BB28:BB224),ROW(BB28:BB224),"")))</f>
        <v>11.8</v>
      </c>
      <c r="BD28" s="13">
        <f>IF('Données projet'!$A$88&gt;35,BD27+BC28-BL27,IF(A28&lt;'Données projet'!$A$88,$BA$205^A28,IF(A28='Données projet'!$A$88,'Données projet'!$B$88,BD27+BC28-BL27)))</f>
        <v>218.00000000000009</v>
      </c>
      <c r="BE28" s="14">
        <f>BD28*VLOOKUP('Données projet'!$B$11,Paramètres!$A$1:$I$89,3,0)*VLOOKUP('Données projet'!$B$11,Paramètres!$A$1:$I$89,5,0)</f>
        <v>159.83760000000007</v>
      </c>
      <c r="BF28" s="14">
        <f t="shared" si="37"/>
        <v>40.805883468734962</v>
      </c>
      <c r="BG28" s="22">
        <f t="shared" si="7"/>
        <v>349.45406704138014</v>
      </c>
      <c r="BH28" s="62">
        <f t="shared" si="8"/>
        <v>642.78740037471346</v>
      </c>
      <c r="BI28" s="62">
        <f ca="1">AVERAGE(OFFSET($BH$3,0,0,'Données projet'!$E$11+1,1))-AVERAGE(OFFSET($H$3,0,0,'Données projet'!$E$11+1,1))</f>
        <v>350.22629663422435</v>
      </c>
      <c r="BJ28" s="62">
        <f t="shared" si="38"/>
        <v>375.98044319336645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36</v>
      </c>
      <c r="BM28" s="17">
        <f>IF(ISNA(VLOOKUP(A28,'Données projet'!$A$87:$I$107,5,0)),0%,VLOOKUP(A28,'Données projet'!$A$87:$I$107,5,0)*VLOOKUP('Données projet'!$B$11,Paramètres!$A$1:$I$89,7,0))</f>
        <v>0.30099999999999999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8.7829126403162832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8.7829126403162832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146.73250000000002</v>
      </c>
      <c r="BW28" s="13">
        <f>VLOOKUP(A28,'Données projet'!$A$113:$I$133,9,0)</f>
        <v>7.9145000000000021</v>
      </c>
      <c r="BX28" s="13">
        <f t="array" ref="BX28">INDEX(BW:BW,MIN(IF(ISNUMBER(BW28:BW224),ROW(BW28:BW224),"")))</f>
        <v>7.9145000000000021</v>
      </c>
      <c r="BY28" s="13">
        <f>IF('Données projet'!$A$114&gt;35,BY27+BX28-CG27,IF(A28&lt;'Données projet'!$A$114,$BV$205^A28,IF(A28='Données projet'!$A$114,'Données projet'!$B$114,BY27+BX28-CG27)))</f>
        <v>146.73250000000002</v>
      </c>
      <c r="BZ28" s="14">
        <f>BY28*VLOOKUP('Données projet'!$B$12,Paramètres!$A$1:$I$89,3,0)*VLOOKUP('Données projet'!$B$12,Paramètres!$A$1:$I$89,5,0)</f>
        <v>116.74037700000002</v>
      </c>
      <c r="CA28" s="14">
        <f t="shared" si="39"/>
        <v>30.913531533649412</v>
      </c>
      <c r="CB28" s="22">
        <f t="shared" si="10"/>
        <v>257.16389069610608</v>
      </c>
      <c r="CC28" s="62">
        <f t="shared" si="11"/>
        <v>550.49722402943939</v>
      </c>
      <c r="CD28" s="62">
        <f ca="1">AVERAGE(OFFSET($CC$3,0,0,'Données projet'!$E$12+1,1))-AVERAGE(OFFSET($H$3,0,0,'Données projet'!$E$12+1,1))</f>
        <v>248.15263300983543</v>
      </c>
      <c r="CE28" s="62">
        <f t="shared" si="40"/>
        <v>266.46511459244618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24.455416666666672</v>
      </c>
      <c r="CH28" s="17">
        <f>IF(ISNA(VLOOKUP(A28,'Données projet'!$A$113:$I$133,5,0)),0%,VLOOKUP(A28,'Données projet'!$A$113:$I$133,5,0)*VLOOKUP('Données projet'!$B$12,Paramètres!$A$1:$I$89,7,0))</f>
        <v>0.371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7.9797789517337661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7.9797789517337661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146.73250000000002</v>
      </c>
      <c r="CR28" s="13">
        <f>VLOOKUP(A28,'Données projet'!$A$139:$I$159,9,0)</f>
        <v>7.9145000000000021</v>
      </c>
      <c r="CS28" s="13">
        <f t="array" ref="CS28">INDEX(CR:CR,MIN(IF(ISNUMBER(CR28:CR224),ROW(CR28:CR224),"")))</f>
        <v>7.9145000000000021</v>
      </c>
      <c r="CT28" s="13">
        <f>IF('Données projet'!$A$140&gt;35,CT27+CS28-DB27,IF(A28&lt;'Données projet'!$A$140,$CQ$205^A28,IF(A28='Données projet'!$A$140,'Données projet'!$B$140,CT27+CS28-DB27)))</f>
        <v>146.73250000000002</v>
      </c>
      <c r="CU28" s="18">
        <f>CT28*VLOOKUP('Données projet'!$B$13,Paramètres!$A$1:$I$89,3,0)*VLOOKUP('Données projet'!$B$13,Paramètres!$A$1:$I$89,5,0)</f>
        <v>98.428161000000017</v>
      </c>
      <c r="CV28" s="14">
        <f t="shared" si="41"/>
        <v>26.587183993037939</v>
      </c>
      <c r="CW28" s="22">
        <f t="shared" si="13"/>
        <v>217.73505919620777</v>
      </c>
      <c r="CX28" s="62">
        <f t="shared" si="14"/>
        <v>511.06839252954109</v>
      </c>
      <c r="CY28" s="62">
        <f ca="1">AVERAGE(OFFSET($CX$3,0,0,'Données projet'!$E$13+1,1))-AVERAGE(OFFSET($H$3,0,0,'Données projet'!$E$13+1,1))</f>
        <v>205.35893113421139</v>
      </c>
      <c r="CZ28" s="62">
        <f t="shared" si="42"/>
        <v>220.4399811285175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24.455416666666672</v>
      </c>
      <c r="DC28" s="17">
        <f>IF(ISNA(VLOOKUP(A28,'Données projet'!$A$139:$I$159,5,0)),0%,VLOOKUP(A28,'Données projet'!$A$139:$I$159,5,0)*VLOOKUP('Données projet'!$B$13,Paramètres!$A$1:$I$89,7,0))</f>
        <v>0.371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6.7280489200892548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6.7280489200892548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33</v>
      </c>
      <c r="N29" s="14">
        <f>IF('Données projet'!$A$36&gt;35,N28+M29-V28,IF(A29&lt;'Données projet'!$A$36,$K$205^A29,IF(A29='Données projet'!$A$36,'Données projet'!$B$36,N28+M29-V28)))</f>
        <v>392</v>
      </c>
      <c r="O29" s="14">
        <f>N29*VLOOKUP('Données projet'!$B$9,Paramètres!$A$1:$I$89,3,0)*VLOOKUP('Données projet'!$B$9,Paramètres!$A$1:$I$89,5,0)</f>
        <v>219.12800000000001</v>
      </c>
      <c r="P29" s="14">
        <f t="shared" si="33"/>
        <v>53.925317044064428</v>
      </c>
      <c r="Q29" s="22">
        <f t="shared" si="2"/>
        <v>475.56786051841215</v>
      </c>
      <c r="R29" s="62">
        <f t="shared" si="0"/>
        <v>768.90119385174546</v>
      </c>
      <c r="S29" s="62">
        <f ca="1">AVERAGE(OFFSET($R$3,0,0,'Données projet'!$E$9+1,1))-AVERAGE(OFFSET($H$3,0,0,'Données projet'!$E$9+1,1))</f>
        <v>490.96084572840579</v>
      </c>
      <c r="T29" s="62">
        <f t="shared" si="34"/>
        <v>597.91658789908263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16.793889341376197</v>
      </c>
      <c r="AA29" s="23">
        <f>EXP(-LN(2)/25)*AA28+(1-EXP(-LN(2)/25))/(LN(2)/25)*Calculateur!V29*Calculateur!X29*VLOOKUP('Données projet'!$B$9,Paramètres!$A$1:$I$89,3,0)*0.475*44/12</f>
        <v>12.26619848842382</v>
      </c>
      <c r="AB29" s="23">
        <f>EXP(-LN(2)/2)*AB28+(1-EXP(-LN(2)/2))/(LN(2)/2)*V29*Y29*VLOOKUP('Données projet'!$B$9,Paramètres!$A$1:$I$89,3,0)*0.475*44/12</f>
        <v>5.041371538697045</v>
      </c>
      <c r="AC29" s="24">
        <f t="shared" si="3"/>
        <v>34.101459368497061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26.666666666666668</v>
      </c>
      <c r="AI29" s="14">
        <f>IF('Données projet'!$A$62&gt;35,AI28+AH29-AQ28,IF(A29&lt;'Données projet'!$A$62,$AF$205^A29,IF(A29='Données projet'!$A$62,'Données projet'!$B$62,AI28+AH29-AQ28)))</f>
        <v>476.33333333333326</v>
      </c>
      <c r="AJ29" s="14">
        <f>AI29*VLOOKUP('Données projet'!$B$10,Paramètres!$A$1:$I$89,3,0)*VLOOKUP('Données projet'!$B$10,Paramètres!$A$1:$I$89,5,0)</f>
        <v>297.23199999999997</v>
      </c>
      <c r="AK29" s="14">
        <f t="shared" si="35"/>
        <v>70.595871675224544</v>
      </c>
      <c r="AL29" s="22">
        <f t="shared" si="4"/>
        <v>640.63354316768266</v>
      </c>
      <c r="AM29" s="62">
        <f t="shared" si="5"/>
        <v>933.96687650101603</v>
      </c>
      <c r="AN29" s="62">
        <f ca="1">AVERAGE(OFFSET($AM$3,0,0,'Données projet'!$E$10+1,1))-AVERAGE(OFFSET($H$3,0,0,'Données projet'!$E$10+1,1))</f>
        <v>482.28841373508675</v>
      </c>
      <c r="AO29" s="62">
        <f t="shared" si="36"/>
        <v>746.97309214631684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14.9</v>
      </c>
      <c r="BD29" s="13">
        <f>IF('Données projet'!$A$88&gt;35,BD28+BC29-BL28,IF(A29&lt;'Données projet'!$A$88,$BA$205^A29,IF(A29='Données projet'!$A$88,'Données projet'!$B$88,BD28+BC29-BL28)))</f>
        <v>196.90000000000009</v>
      </c>
      <c r="BE29" s="14">
        <f>BD29*VLOOKUP('Données projet'!$B$11,Paramètres!$A$1:$I$89,3,0)*VLOOKUP('Données projet'!$B$11,Paramètres!$A$1:$I$89,5,0)</f>
        <v>144.36708000000007</v>
      </c>
      <c r="BF29" s="14">
        <f t="shared" si="37"/>
        <v>37.295646689994555</v>
      </c>
      <c r="BG29" s="22">
        <f t="shared" si="7"/>
        <v>316.39591565174067</v>
      </c>
      <c r="BH29" s="62">
        <f t="shared" si="8"/>
        <v>609.72924898507404</v>
      </c>
      <c r="BI29" s="62">
        <f ca="1">AVERAGE(OFFSET($BH$3,0,0,'Données projet'!$E$11+1,1))-AVERAGE(OFFSET($H$3,0,0,'Données projet'!$E$11+1,1))</f>
        <v>350.22629663422435</v>
      </c>
      <c r="BJ29" s="62">
        <f t="shared" si="38"/>
        <v>375.98044319336645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8.6106850804874266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8.6106850804874266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9.9205000000000041</v>
      </c>
      <c r="BY29" s="13">
        <f>IF('Données projet'!$A$114&gt;35,BY28+BX29-CG28,IF(A29&lt;'Données projet'!$A$114,$BV$205^A29,IF(A29='Données projet'!$A$114,'Données projet'!$B$114,BY28+BX29-CG28)))</f>
        <v>132.19758333333334</v>
      </c>
      <c r="BZ29" s="14">
        <f>BY29*VLOOKUP('Données projet'!$B$12,Paramètres!$A$1:$I$89,3,0)*VLOOKUP('Données projet'!$B$12,Paramètres!$A$1:$I$89,5,0)</f>
        <v>105.17639730000002</v>
      </c>
      <c r="CA29" s="14">
        <f t="shared" si="39"/>
        <v>28.191557259981842</v>
      </c>
      <c r="CB29" s="22">
        <f t="shared" si="10"/>
        <v>232.28252085863505</v>
      </c>
      <c r="CC29" s="62">
        <f t="shared" si="11"/>
        <v>525.61585419196831</v>
      </c>
      <c r="CD29" s="62">
        <f ca="1">AVERAGE(OFFSET($CC$3,0,0,'Données projet'!$E$12+1,1))-AVERAGE(OFFSET($H$3,0,0,'Données projet'!$E$12+1,1))</f>
        <v>248.15263300983543</v>
      </c>
      <c r="CE29" s="62">
        <f t="shared" si="40"/>
        <v>266.46511459244618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7.8233003536748331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7.8233003536748331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9.9205000000000041</v>
      </c>
      <c r="CT29" s="13">
        <f>IF('Données projet'!$A$140&gt;35,CT28+CS29-DB28,IF(A29&lt;'Données projet'!$A$140,$CQ$205^A29,IF(A29='Données projet'!$A$140,'Données projet'!$B$140,CT28+CS29-DB28)))</f>
        <v>132.19758333333334</v>
      </c>
      <c r="CU29" s="18">
        <f>CT29*VLOOKUP('Données projet'!$B$13,Paramètres!$A$1:$I$89,3,0)*VLOOKUP('Données projet'!$B$13,Paramètres!$A$1:$I$89,5,0)</f>
        <v>88.678138900000008</v>
      </c>
      <c r="CV29" s="14">
        <f t="shared" si="41"/>
        <v>24.246149913526793</v>
      </c>
      <c r="CW29" s="22">
        <f t="shared" si="13"/>
        <v>196.67646968355916</v>
      </c>
      <c r="CX29" s="62">
        <f t="shared" si="14"/>
        <v>490.00980301689248</v>
      </c>
      <c r="CY29" s="62">
        <f ca="1">AVERAGE(OFFSET($CX$3,0,0,'Données projet'!$E$13+1,1))-AVERAGE(OFFSET($H$3,0,0,'Données projet'!$E$13+1,1))</f>
        <v>205.35893113421139</v>
      </c>
      <c r="CZ29" s="62">
        <f t="shared" si="42"/>
        <v>220.4399811285175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6.5961159844709387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6.5961159844709387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33</v>
      </c>
      <c r="N30" s="14">
        <f>IF('Données projet'!$A$36&gt;35,N29+M30-V29,IF(A30&lt;'Données projet'!$A$36,$K$205^A30,IF(A30='Données projet'!$A$36,'Données projet'!$B$36,N29+M30-V29)))</f>
        <v>425</v>
      </c>
      <c r="O30" s="14">
        <f>N30*VLOOKUP('Données projet'!$B$9,Paramètres!$A$1:$I$89,3,0)*VLOOKUP('Données projet'!$B$9,Paramètres!$A$1:$I$89,5,0)</f>
        <v>237.57500000000002</v>
      </c>
      <c r="P30" s="14">
        <f t="shared" si="33"/>
        <v>57.917471937261162</v>
      </c>
      <c r="Q30" s="22">
        <f t="shared" si="2"/>
        <v>514.64938862406325</v>
      </c>
      <c r="R30" s="62">
        <f t="shared" si="0"/>
        <v>807.98272195739651</v>
      </c>
      <c r="S30" s="62">
        <f ca="1">AVERAGE(OFFSET($R$3,0,0,'Données projet'!$E$9+1,1))-AVERAGE(OFFSET($H$3,0,0,'Données projet'!$E$9+1,1))</f>
        <v>490.96084572840579</v>
      </c>
      <c r="T30" s="62">
        <f t="shared" si="34"/>
        <v>597.91658789908263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16.46457141465287</v>
      </c>
      <c r="AA30" s="23">
        <f>EXP(-LN(2)/25)*AA29+(1-EXP(-LN(2)/25))/(LN(2)/25)*Calculateur!V30*Calculateur!X30*VLOOKUP('Données projet'!$B$9,Paramètres!$A$1:$I$89,3,0)*0.475*44/12</f>
        <v>11.930778645706527</v>
      </c>
      <c r="AB30" s="23">
        <f>EXP(-LN(2)/2)*AB29+(1-EXP(-LN(2)/2))/(LN(2)/2)*V30*Y30*VLOOKUP('Données projet'!$B$9,Paramètres!$A$1:$I$89,3,0)*0.475*44/12</f>
        <v>3.56478800149354</v>
      </c>
      <c r="AC30" s="24">
        <f t="shared" si="3"/>
        <v>31.960138061852938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26.666666666666668</v>
      </c>
      <c r="AI30" s="14">
        <f>IF('Données projet'!$A$62&gt;35,AI29+AH30-AQ29,IF(A30&lt;'Données projet'!$A$62,$AF$205^A30,IF(A30='Données projet'!$A$62,'Données projet'!$B$62,AI29+AH30-AQ29)))</f>
        <v>502.99999999999994</v>
      </c>
      <c r="AJ30" s="14">
        <f>AI30*VLOOKUP('Données projet'!$B$10,Paramètres!$A$1:$I$89,3,0)*VLOOKUP('Données projet'!$B$10,Paramètres!$A$1:$I$89,5,0)</f>
        <v>313.87199999999996</v>
      </c>
      <c r="AK30" s="14">
        <f t="shared" si="35"/>
        <v>74.076872774720357</v>
      </c>
      <c r="AL30" s="22">
        <f t="shared" si="4"/>
        <v>675.67762008263787</v>
      </c>
      <c r="AM30" s="62">
        <f t="shared" si="5"/>
        <v>969.01095341597124</v>
      </c>
      <c r="AN30" s="62">
        <f ca="1">AVERAGE(OFFSET($AM$3,0,0,'Données projet'!$E$10+1,1))-AVERAGE(OFFSET($H$3,0,0,'Données projet'!$E$10+1,1))</f>
        <v>482.28841373508675</v>
      </c>
      <c r="AO30" s="62">
        <f t="shared" si="36"/>
        <v>746.97309214631684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14.9</v>
      </c>
      <c r="BD30" s="13">
        <f>IF('Données projet'!$A$88&gt;35,BD29+BC30-BL29,IF(A30&lt;'Données projet'!$A$88,$BA$205^A30,IF(A30='Données projet'!$A$88,'Données projet'!$B$88,BD29+BC30-BL29)))</f>
        <v>211.8000000000001</v>
      </c>
      <c r="BE30" s="14">
        <f>BD30*VLOOKUP('Données projet'!$B$11,Paramètres!$A$1:$I$89,3,0)*VLOOKUP('Données projet'!$B$11,Paramètres!$A$1:$I$89,5,0)</f>
        <v>155.29176000000007</v>
      </c>
      <c r="BF30" s="14">
        <f t="shared" si="37"/>
        <v>39.778719769696849</v>
      </c>
      <c r="BG30" s="22">
        <f t="shared" si="7"/>
        <v>339.74775226555545</v>
      </c>
      <c r="BH30" s="62">
        <f t="shared" si="8"/>
        <v>633.08108559888876</v>
      </c>
      <c r="BI30" s="62">
        <f ca="1">AVERAGE(OFFSET($BH$3,0,0,'Données projet'!$E$11+1,1))-AVERAGE(OFFSET($H$3,0,0,'Données projet'!$E$11+1,1))</f>
        <v>350.22629663422435</v>
      </c>
      <c r="BJ30" s="62">
        <f t="shared" si="38"/>
        <v>375.98044319336645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8.441834798058375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8.441834798058375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9.9205000000000041</v>
      </c>
      <c r="BY30" s="13">
        <f>IF('Données projet'!$A$114&gt;35,BY29+BX30-CG29,IF(A30&lt;'Données projet'!$A$114,$BV$205^A30,IF(A30='Données projet'!$A$114,'Données projet'!$B$114,BY29+BX30-CG29)))</f>
        <v>142.11808333333335</v>
      </c>
      <c r="BZ30" s="14">
        <f>BY30*VLOOKUP('Données projet'!$B$12,Paramètres!$A$1:$I$89,3,0)*VLOOKUP('Données projet'!$B$12,Paramètres!$A$1:$I$89,5,0)</f>
        <v>113.06914710000002</v>
      </c>
      <c r="CA30" s="14">
        <f t="shared" si="39"/>
        <v>30.052937347032479</v>
      </c>
      <c r="CB30" s="22">
        <f t="shared" si="10"/>
        <v>249.27096374524822</v>
      </c>
      <c r="CC30" s="62">
        <f t="shared" si="11"/>
        <v>542.60429707858157</v>
      </c>
      <c r="CD30" s="62">
        <f ca="1">AVERAGE(OFFSET($CC$3,0,0,'Données projet'!$E$12+1,1))-AVERAGE(OFFSET($H$3,0,0,'Données projet'!$E$12+1,1))</f>
        <v>248.15263300983543</v>
      </c>
      <c r="CE30" s="62">
        <f t="shared" si="40"/>
        <v>266.46511459244618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7.6698902054813152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7.6698902054813152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9.9205000000000041</v>
      </c>
      <c r="CT30" s="13">
        <f>IF('Données projet'!$A$140&gt;35,CT29+CS30-DB29,IF(A30&lt;'Données projet'!$A$140,$CQ$205^A30,IF(A30='Données projet'!$A$140,'Données projet'!$B$140,CT29+CS30-DB29)))</f>
        <v>142.11808333333335</v>
      </c>
      <c r="CU30" s="18">
        <f>CT30*VLOOKUP('Données projet'!$B$13,Paramètres!$A$1:$I$89,3,0)*VLOOKUP('Données projet'!$B$13,Paramètres!$A$1:$I$89,5,0)</f>
        <v>95.332810300000006</v>
      </c>
      <c r="CV30" s="14">
        <f t="shared" si="41"/>
        <v>25.847029929500508</v>
      </c>
      <c r="CW30" s="22">
        <f t="shared" si="13"/>
        <v>211.05488839971338</v>
      </c>
      <c r="CX30" s="62">
        <f t="shared" si="14"/>
        <v>504.38822173304669</v>
      </c>
      <c r="CY30" s="62">
        <f ca="1">AVERAGE(OFFSET($CX$3,0,0,'Données projet'!$E$13+1,1))-AVERAGE(OFFSET($H$3,0,0,'Données projet'!$E$13+1,1))</f>
        <v>205.35893113421139</v>
      </c>
      <c r="CZ30" s="62">
        <f t="shared" si="42"/>
        <v>220.4399811285175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6.4667701732489524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6.4667701732489524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33</v>
      </c>
      <c r="N31" s="14">
        <f>IF('Données projet'!$A$36&gt;35,N30+M31-V30,IF(A31&lt;'Données projet'!$A$36,$K$205^A31,IF(A31='Données projet'!$A$36,'Données projet'!$B$36,N30+M31-V30)))</f>
        <v>458</v>
      </c>
      <c r="O31" s="14">
        <f>N31*VLOOKUP('Données projet'!$B$9,Paramètres!$A$1:$I$89,3,0)*VLOOKUP('Données projet'!$B$9,Paramètres!$A$1:$I$89,5,0)</f>
        <v>256.02199999999999</v>
      </c>
      <c r="P31" s="14">
        <f t="shared" si="33"/>
        <v>61.873669712051253</v>
      </c>
      <c r="Q31" s="22">
        <f t="shared" si="2"/>
        <v>553.66829141515586</v>
      </c>
      <c r="R31" s="62">
        <f t="shared" si="0"/>
        <v>847.00162474848912</v>
      </c>
      <c r="S31" s="62">
        <f ca="1">AVERAGE(OFFSET($R$3,0,0,'Données projet'!$E$9+1,1))-AVERAGE(OFFSET($H$3,0,0,'Données projet'!$E$9+1,1))</f>
        <v>490.96084572840579</v>
      </c>
      <c r="T31" s="62">
        <f t="shared" si="34"/>
        <v>597.91658789908263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16.141711211608484</v>
      </c>
      <c r="AA31" s="23">
        <f>EXP(-LN(2)/25)*AA30+(1-EXP(-LN(2)/25))/(LN(2)/25)*Calculateur!V31*Calculateur!X31*VLOOKUP('Données projet'!$B$9,Paramètres!$A$1:$I$89,3,0)*0.475*44/12</f>
        <v>11.604530876227301</v>
      </c>
      <c r="AB31" s="23">
        <f>EXP(-LN(2)/2)*AB30+(1-EXP(-LN(2)/2))/(LN(2)/2)*V31*Y31*VLOOKUP('Données projet'!$B$9,Paramètres!$A$1:$I$89,3,0)*0.475*44/12</f>
        <v>2.520685769348523</v>
      </c>
      <c r="AC31" s="24">
        <f t="shared" si="3"/>
        <v>30.266927857184307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26.666666666666668</v>
      </c>
      <c r="AI31" s="14">
        <f>IF('Données projet'!$A$62&gt;35,AI30+AH31-AQ30,IF(A31&lt;'Données projet'!$A$62,$AF$205^A31,IF(A31='Données projet'!$A$62,'Données projet'!$B$62,AI30+AH31-AQ30)))</f>
        <v>529.66666666666663</v>
      </c>
      <c r="AJ31" s="14">
        <f>AI31*VLOOKUP('Données projet'!$B$10,Paramètres!$A$1:$I$89,3,0)*VLOOKUP('Données projet'!$B$10,Paramètres!$A$1:$I$89,5,0)</f>
        <v>330.512</v>
      </c>
      <c r="AK31" s="14">
        <f t="shared" si="35"/>
        <v>77.536448254992777</v>
      </c>
      <c r="AL31" s="22">
        <f t="shared" si="4"/>
        <v>710.68438071077901</v>
      </c>
      <c r="AM31" s="62">
        <f t="shared" si="5"/>
        <v>1004.0177140441124</v>
      </c>
      <c r="AN31" s="62">
        <f ca="1">AVERAGE(OFFSET($AM$3,0,0,'Données projet'!$E$10+1,1))-AVERAGE(OFFSET($H$3,0,0,'Données projet'!$E$10+1,1))</f>
        <v>482.28841373508675</v>
      </c>
      <c r="AO31" s="62">
        <f t="shared" si="36"/>
        <v>746.97309214631684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14.9</v>
      </c>
      <c r="BD31" s="13">
        <f>IF('Données projet'!$A$88&gt;35,BD30+BC31-BL30,IF(A31&lt;'Données projet'!$A$88,$BA$205^A31,IF(A31='Données projet'!$A$88,'Données projet'!$B$88,BD30+BC31-BL30)))</f>
        <v>226.7000000000001</v>
      </c>
      <c r="BE31" s="14">
        <f>BD31*VLOOKUP('Données projet'!$B$11,Paramètres!$A$1:$I$89,3,0)*VLOOKUP('Données projet'!$B$11,Paramètres!$A$1:$I$89,5,0)</f>
        <v>166.21644000000006</v>
      </c>
      <c r="BF31" s="14">
        <f t="shared" si="37"/>
        <v>42.241525171139884</v>
      </c>
      <c r="BG31" s="22">
        <f t="shared" si="7"/>
        <v>363.06428933973535</v>
      </c>
      <c r="BH31" s="62">
        <f t="shared" si="8"/>
        <v>656.39762267306867</v>
      </c>
      <c r="BI31" s="62">
        <f ca="1">AVERAGE(OFFSET($BH$3,0,0,'Données projet'!$E$11+1,1))-AVERAGE(OFFSET($H$3,0,0,'Données projet'!$E$11+1,1))</f>
        <v>350.22629663422435</v>
      </c>
      <c r="BJ31" s="62">
        <f t="shared" si="38"/>
        <v>375.98044319336645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8.2762955666792539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8.2762955666792539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9.9205000000000041</v>
      </c>
      <c r="BY31" s="13">
        <f>IF('Données projet'!$A$114&gt;35,BY30+BX31-CG30,IF(A31&lt;'Données projet'!$A$114,$BV$205^A31,IF(A31='Données projet'!$A$114,'Données projet'!$B$114,BY30+BX31-CG30)))</f>
        <v>152.03858333333335</v>
      </c>
      <c r="BZ31" s="14">
        <f>BY31*VLOOKUP('Données projet'!$B$12,Paramètres!$A$1:$I$89,3,0)*VLOOKUP('Données projet'!$B$12,Paramètres!$A$1:$I$89,5,0)</f>
        <v>120.96189690000001</v>
      </c>
      <c r="CA31" s="14">
        <f t="shared" si="39"/>
        <v>31.899241598591143</v>
      </c>
      <c r="CB31" s="22">
        <f t="shared" si="10"/>
        <v>266.23314955171287</v>
      </c>
      <c r="CC31" s="62">
        <f t="shared" si="11"/>
        <v>559.56648288504618</v>
      </c>
      <c r="CD31" s="62">
        <f ca="1">AVERAGE(OFFSET($CC$3,0,0,'Données projet'!$E$12+1,1))-AVERAGE(OFFSET($H$3,0,0,'Données projet'!$E$12+1,1))</f>
        <v>248.15263300983543</v>
      </c>
      <c r="CE31" s="62">
        <f t="shared" si="40"/>
        <v>266.46511459244618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7.5194883367229206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7.5194883367229206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9.9205000000000041</v>
      </c>
      <c r="CT31" s="13">
        <f>IF('Données projet'!$A$140&gt;35,CT30+CS31-DB30,IF(A31&lt;'Données projet'!$A$140,$CQ$205^A31,IF(A31='Données projet'!$A$140,'Données projet'!$B$140,CT30+CS31-DB30)))</f>
        <v>152.03858333333335</v>
      </c>
      <c r="CU31" s="18">
        <f>CT31*VLOOKUP('Données projet'!$B$13,Paramètres!$A$1:$I$89,3,0)*VLOOKUP('Données projet'!$B$13,Paramètres!$A$1:$I$89,5,0)</f>
        <v>101.98748170000002</v>
      </c>
      <c r="CV31" s="14">
        <f t="shared" si="41"/>
        <v>27.434943972575336</v>
      </c>
      <c r="CW31" s="22">
        <f t="shared" si="13"/>
        <v>225.4107247130687</v>
      </c>
      <c r="CX31" s="62">
        <f t="shared" si="14"/>
        <v>518.74405804640196</v>
      </c>
      <c r="CY31" s="62">
        <f ca="1">AVERAGE(OFFSET($CX$3,0,0,'Données projet'!$E$13+1,1))-AVERAGE(OFFSET($H$3,0,0,'Données projet'!$E$13+1,1))</f>
        <v>205.35893113421139</v>
      </c>
      <c r="CZ31" s="62">
        <f t="shared" si="42"/>
        <v>220.4399811285175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6.3399607544918748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6.3399607544918748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33</v>
      </c>
      <c r="N32" s="14">
        <f>IF('Données projet'!$A$36&gt;35,N31+M32-V31,IF(A32&lt;'Données projet'!$A$36,$K$205^A32,IF(A32='Données projet'!$A$36,'Données projet'!$B$36,N31+M32-V31)))</f>
        <v>491</v>
      </c>
      <c r="O32" s="14">
        <f>N32*VLOOKUP('Données projet'!$B$9,Paramètres!$A$1:$I$89,3,0)*VLOOKUP('Données projet'!$B$9,Paramètres!$A$1:$I$89,5,0)</f>
        <v>274.46899999999999</v>
      </c>
      <c r="P32" s="14">
        <f t="shared" si="33"/>
        <v>65.796795812732981</v>
      </c>
      <c r="Q32" s="22">
        <f t="shared" si="2"/>
        <v>592.62959437384313</v>
      </c>
      <c r="R32" s="62">
        <f t="shared" si="0"/>
        <v>885.9629277071765</v>
      </c>
      <c r="S32" s="62">
        <f ca="1">AVERAGE(OFFSET($R$3,0,0,'Données projet'!$E$9+1,1))-AVERAGE(OFFSET($H$3,0,0,'Données projet'!$E$9+1,1))</f>
        <v>490.96084572840579</v>
      </c>
      <c r="T32" s="62">
        <f t="shared" si="34"/>
        <v>597.91658789908263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15.825182100220522</v>
      </c>
      <c r="AA32" s="23">
        <f>EXP(-LN(2)/25)*AA31+(1-EXP(-LN(2)/25))/(LN(2)/25)*Calculateur!V32*Calculateur!X32*VLOOKUP('Données projet'!$B$9,Paramètres!$A$1:$I$89,3,0)*0.475*44/12</f>
        <v>11.28720436916111</v>
      </c>
      <c r="AB32" s="23">
        <f>EXP(-LN(2)/2)*AB31+(1-EXP(-LN(2)/2))/(LN(2)/2)*V32*Y32*VLOOKUP('Données projet'!$B$9,Paramètres!$A$1:$I$89,3,0)*0.475*44/12</f>
        <v>1.7823940007467702</v>
      </c>
      <c r="AC32" s="24">
        <f t="shared" si="3"/>
        <v>28.894780470128403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26.666666666666668</v>
      </c>
      <c r="AI32" s="14">
        <f>IF('Données projet'!$A$62&gt;35,AI31+AH32-AQ31,IF(A32&lt;'Données projet'!$A$62,$AF$205^A32,IF(A32='Données projet'!$A$62,'Données projet'!$B$62,AI31+AH32-AQ31)))</f>
        <v>556.33333333333326</v>
      </c>
      <c r="AJ32" s="14">
        <f>AI32*VLOOKUP('Données projet'!$B$10,Paramètres!$A$1:$I$89,3,0)*VLOOKUP('Données projet'!$B$10,Paramètres!$A$1:$I$89,5,0)</f>
        <v>347.15199999999999</v>
      </c>
      <c r="AK32" s="14">
        <f t="shared" si="35"/>
        <v>80.975799891655086</v>
      </c>
      <c r="AL32" s="22">
        <f t="shared" si="4"/>
        <v>745.65591814463266</v>
      </c>
      <c r="AM32" s="62">
        <f t="shared" si="5"/>
        <v>1038.989251477966</v>
      </c>
      <c r="AN32" s="62">
        <f ca="1">AVERAGE(OFFSET($AM$3,0,0,'Données projet'!$E$10+1,1))-AVERAGE(OFFSET($H$3,0,0,'Données projet'!$E$10+1,1))</f>
        <v>482.28841373508675</v>
      </c>
      <c r="AO32" s="62">
        <f t="shared" si="36"/>
        <v>746.97309214631684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14.9</v>
      </c>
      <c r="BD32" s="13">
        <f>IF('Données projet'!$A$88&gt;35,BD31+BC32-BL31,IF(A32&lt;'Données projet'!$A$88,$BA$205^A32,IF(A32='Données projet'!$A$88,'Données projet'!$B$88,BD31+BC32-BL31)))</f>
        <v>241.60000000000011</v>
      </c>
      <c r="BE32" s="14">
        <f>BD32*VLOOKUP('Données projet'!$B$11,Paramètres!$A$1:$I$89,3,0)*VLOOKUP('Données projet'!$B$11,Paramètres!$A$1:$I$89,5,0)</f>
        <v>177.14112000000009</v>
      </c>
      <c r="BF32" s="14">
        <f t="shared" si="37"/>
        <v>44.685546589207853</v>
      </c>
      <c r="BG32" s="22">
        <f t="shared" si="7"/>
        <v>386.34811097620383</v>
      </c>
      <c r="BH32" s="62">
        <f t="shared" si="8"/>
        <v>679.68144430953714</v>
      </c>
      <c r="BI32" s="62">
        <f ca="1">AVERAGE(OFFSET($BH$3,0,0,'Données projet'!$E$11+1,1))-AVERAGE(OFFSET($H$3,0,0,'Données projet'!$E$11+1,1))</f>
        <v>350.22629663422435</v>
      </c>
      <c r="BJ32" s="62">
        <f t="shared" si="38"/>
        <v>375.98044319336645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8.1140024586585167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8.1140024586585167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9.9205000000000041</v>
      </c>
      <c r="BY32" s="13">
        <f>IF('Données projet'!$A$114&gt;35,BY31+BX32-CG31,IF(A32&lt;'Données projet'!$A$114,$BV$205^A32,IF(A32='Données projet'!$A$114,'Données projet'!$B$114,BY31+BX32-CG31)))</f>
        <v>161.95908333333335</v>
      </c>
      <c r="BZ32" s="14">
        <f>BY32*VLOOKUP('Données projet'!$B$12,Paramètres!$A$1:$I$89,3,0)*VLOOKUP('Données projet'!$B$12,Paramètres!$A$1:$I$89,5,0)</f>
        <v>128.85464670000002</v>
      </c>
      <c r="CA32" s="14">
        <f t="shared" si="39"/>
        <v>33.731565658757198</v>
      </c>
      <c r="CB32" s="22">
        <f t="shared" si="10"/>
        <v>283.17098652483548</v>
      </c>
      <c r="CC32" s="62">
        <f t="shared" si="11"/>
        <v>576.50431985816886</v>
      </c>
      <c r="CD32" s="62">
        <f ca="1">AVERAGE(OFFSET($CC$3,0,0,'Données projet'!$E$12+1,1))-AVERAGE(OFFSET($H$3,0,0,'Données projet'!$E$12+1,1))</f>
        <v>248.15263300983543</v>
      </c>
      <c r="CE32" s="62">
        <f t="shared" si="40"/>
        <v>266.46511459244618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7.372035756874797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7.372035756874797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9.9205000000000041</v>
      </c>
      <c r="CT32" s="13">
        <f>IF('Données projet'!$A$140&gt;35,CT31+CS32-DB31,IF(A32&lt;'Données projet'!$A$140,$CQ$205^A32,IF(A32='Données projet'!$A$140,'Données projet'!$B$140,CT31+CS32-DB31)))</f>
        <v>161.95908333333335</v>
      </c>
      <c r="CU32" s="18">
        <f>CT32*VLOOKUP('Données projet'!$B$13,Paramètres!$A$1:$I$89,3,0)*VLOOKUP('Données projet'!$B$13,Paramètres!$A$1:$I$89,5,0)</f>
        <v>108.64215310000002</v>
      </c>
      <c r="CV32" s="14">
        <f t="shared" si="41"/>
        <v>29.010834351501387</v>
      </c>
      <c r="CW32" s="22">
        <f t="shared" si="13"/>
        <v>239.74561981136495</v>
      </c>
      <c r="CX32" s="62">
        <f t="shared" si="14"/>
        <v>533.07895314469829</v>
      </c>
      <c r="CY32" s="62">
        <f ca="1">AVERAGE(OFFSET($CX$3,0,0,'Données projet'!$E$13+1,1))-AVERAGE(OFFSET($H$3,0,0,'Données projet'!$E$13+1,1))</f>
        <v>205.35893113421139</v>
      </c>
      <c r="CZ32" s="62">
        <f t="shared" si="42"/>
        <v>220.4399811285175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6.2156379910905155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6.2156379910905155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524</v>
      </c>
      <c r="L33" s="13">
        <f>VLOOKUP(A33,'Données projet'!$A$35:$I$55,9,0)</f>
        <v>33</v>
      </c>
      <c r="M33" s="13">
        <f t="array" ref="M33">INDEX(L:L,MIN(IF(ISNUMBER(L33:L229),ROW(L33:L229),"")))</f>
        <v>33</v>
      </c>
      <c r="N33" s="14">
        <f>IF('Données projet'!$A$36&gt;35,N32+M33-V32,IF(A33&lt;'Données projet'!$A$36,$K$205^A33,IF(A33='Données projet'!$A$36,'Données projet'!$B$36,N32+M33-V32)))</f>
        <v>524</v>
      </c>
      <c r="O33" s="14">
        <f>N33*VLOOKUP('Données projet'!$B$9,Paramètres!$A$1:$I$89,3,0)*VLOOKUP('Données projet'!$B$9,Paramètres!$A$1:$I$89,5,0)</f>
        <v>292.916</v>
      </c>
      <c r="P33" s="14">
        <f t="shared" si="33"/>
        <v>69.68932587703776</v>
      </c>
      <c r="Q33" s="22">
        <f t="shared" si="2"/>
        <v>631.53760923584082</v>
      </c>
      <c r="R33" s="62">
        <f t="shared" si="0"/>
        <v>924.87094256917408</v>
      </c>
      <c r="S33" s="62">
        <f ca="1">AVERAGE(OFFSET($R$3,0,0,'Données projet'!$E$9+1,1))-AVERAGE(OFFSET($H$3,0,0,'Données projet'!$E$9+1,1))</f>
        <v>490.96084572840579</v>
      </c>
      <c r="T33" s="62">
        <f t="shared" si="34"/>
        <v>597.91658789908263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90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9.240000000000001E-2</v>
      </c>
      <c r="Y33" s="17">
        <f>IF(ISNA(VLOOKUP(A33,'Données projet'!$A$35:$I$55,7,0)),0%,VLOOKUP(A33,'Données projet'!$A$35:$I$55,7,0))</f>
        <v>0.13200000000000001</v>
      </c>
      <c r="Z33" s="23">
        <f>EXP(-LN(2)/35)*Z32+(1-EXP(-LN(2)/35))/(LN(2)/35)*V33*W33*VLOOKUP('Données projet'!$B$9,Paramètres!$A$1:$I$89,3,0)*0.475*44/12</f>
        <v>41.209551166611043</v>
      </c>
      <c r="AA33" s="23">
        <f>EXP(-LN(2)/25)*AA32+(1-EXP(-LN(2)/25))/(LN(2)/25)*Calculateur!V33*Calculateur!X33*VLOOKUP('Données projet'!$B$9,Paramètres!$A$1:$I$89,3,0)*0.475*44/12</f>
        <v>17.121000318949527</v>
      </c>
      <c r="AB33" s="23">
        <f>EXP(-LN(2)/2)*AB32+(1-EXP(-LN(2)/2))/(LN(2)/2)*V33*Y33*VLOOKUP('Données projet'!$B$9,Paramètres!$A$1:$I$89,3,0)*0.475*44/12</f>
        <v>8.7794069939637183</v>
      </c>
      <c r="AC33" s="24">
        <f t="shared" si="3"/>
        <v>67.109958479524295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583</v>
      </c>
      <c r="AG33" s="13">
        <f>VLOOKUP(A33,'Données projet'!$A$61:$I$81,9,0)</f>
        <v>26.666666666666668</v>
      </c>
      <c r="AH33" s="13">
        <f t="array" ref="AH33">INDEX(AG:AG,MIN(IF(ISNUMBER(AG33:AG229),ROW(AG33:AG229),"")))</f>
        <v>26.666666666666668</v>
      </c>
      <c r="AI33" s="14">
        <f>IF('Données projet'!$A$62&gt;35,AI32+AH33-AQ32,IF(A33&lt;'Données projet'!$A$62,$AF$205^A33,IF(A33='Données projet'!$A$62,'Données projet'!$B$62,AI32+AH33-AQ32)))</f>
        <v>582.99999999999989</v>
      </c>
      <c r="AJ33" s="14">
        <f>AI33*VLOOKUP('Données projet'!$B$10,Paramètres!$A$1:$I$89,3,0)*VLOOKUP('Données projet'!$B$10,Paramètres!$A$1:$I$89,5,0)</f>
        <v>363.79199999999992</v>
      </c>
      <c r="AK33" s="14">
        <f t="shared" si="35"/>
        <v>84.396007741478613</v>
      </c>
      <c r="AL33" s="22">
        <f t="shared" si="4"/>
        <v>780.59411348307503</v>
      </c>
      <c r="AM33" s="62">
        <f t="shared" si="5"/>
        <v>1073.9274468164083</v>
      </c>
      <c r="AN33" s="62">
        <f ca="1">AVERAGE(OFFSET($AM$3,0,0,'Données projet'!$E$10+1,1))-AVERAGE(OFFSET($H$3,0,0,'Données projet'!$E$10+1,1))</f>
        <v>482.28841373508675</v>
      </c>
      <c r="AO33" s="62">
        <f t="shared" si="36"/>
        <v>746.97309214631684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107</v>
      </c>
      <c r="AR33" s="17">
        <f>IF(ISNA(VLOOKUP(A33,'Données projet'!$A$61:$I$81,5,0)),0%,VLOOKUP(A33,'Données projet'!$A$61:$I$81,5,0)*VLOOKUP('Données projet'!$B$10,Paramètres!$A$1:$I$89,7,0))</f>
        <v>0.42</v>
      </c>
      <c r="AS33" s="17">
        <f>IF(ISNA(VLOOKUP(A33,'Données projet'!$A$61:$I$81,6,0)),0%,VLOOKUP(A33,'Données projet'!$A$61:$I$81,6,0)*VLOOKUP('Données projet'!$B$10,Paramètres!$A$1:$I$89,7,0))</f>
        <v>0.1008</v>
      </c>
      <c r="AT33" s="17">
        <f>IF(ISNA(VLOOKUP(A33,'Données projet'!$A$61:$I$81,7,0)),0%,VLOOKUP(A33,'Données projet'!$A$61:$I$81,7,0))</f>
        <v>0.13200000000000001</v>
      </c>
      <c r="AU33" s="23">
        <f>EXP(-LN(2)/35)*AU32+(1-EXP(-LN(2)/35))/(LN(2)/35)*AQ33*AR33*VLOOKUP('Données projet'!$B$10,Paramètres!$A$1:$I$89,3,0)*0.475*44/12</f>
        <v>37.200263335530629</v>
      </c>
      <c r="AV33" s="23">
        <f>EXP(-LN(2)/25)*AV32+(1-EXP(-LN(2)/25))/(LN(2)/25)*Calculateur!AQ33*Calculateur!AS33*VLOOKUP('Données projet'!$B$10,Paramètres!$A$1:$I$89,3,0)*0.475*44/12</f>
        <v>8.8929100138480948</v>
      </c>
      <c r="AW33" s="23">
        <f>EXP(-LN(2)/2)*AW32+(1-EXP(-LN(2)/2))/(LN(2)/2)*AQ33*AT33*VLOOKUP('Données projet'!$B$10,Paramètres!$A$1:$I$89,3,0)*0.475*44/12</f>
        <v>9.978788957444614</v>
      </c>
      <c r="AX33" s="23">
        <f t="shared" si="6"/>
        <v>56.071962306823337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14.9</v>
      </c>
      <c r="BD33" s="13">
        <f>IF('Données projet'!$A$88&gt;35,BD32+BC33-BL32,IF(A33&lt;'Données projet'!$A$88,$BA$205^A33,IF(A33='Données projet'!$A$88,'Données projet'!$B$88,BD32+BC33-BL32)))</f>
        <v>256.50000000000011</v>
      </c>
      <c r="BE33" s="14">
        <f>BD33*VLOOKUP('Données projet'!$B$11,Paramètres!$A$1:$I$89,3,0)*VLOOKUP('Données projet'!$B$11,Paramètres!$A$1:$I$89,5,0)</f>
        <v>188.06580000000008</v>
      </c>
      <c r="BF33" s="14">
        <f t="shared" si="37"/>
        <v>47.112074371363363</v>
      </c>
      <c r="BG33" s="22">
        <f t="shared" si="7"/>
        <v>409.60146453012459</v>
      </c>
      <c r="BH33" s="62">
        <f t="shared" si="8"/>
        <v>702.9347978634579</v>
      </c>
      <c r="BI33" s="62">
        <f ca="1">AVERAGE(OFFSET($BH$3,0,0,'Données projet'!$E$11+1,1))-AVERAGE(OFFSET($H$3,0,0,'Données projet'!$E$11+1,1))</f>
        <v>350.22629663422435</v>
      </c>
      <c r="BJ33" s="62">
        <f t="shared" si="38"/>
        <v>375.98044319336645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7.9548918194970444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7.9548918194970444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9.9205000000000041</v>
      </c>
      <c r="BY33" s="13">
        <f>IF('Données projet'!$A$114&gt;35,BY32+BX33-CG32,IF(A33&lt;'Données projet'!$A$114,$BV$205^A33,IF(A33='Données projet'!$A$114,'Données projet'!$B$114,BY32+BX33-CG32)))</f>
        <v>171.87958333333336</v>
      </c>
      <c r="BZ33" s="14">
        <f>BY33*VLOOKUP('Données projet'!$B$12,Paramètres!$A$1:$I$89,3,0)*VLOOKUP('Données projet'!$B$12,Paramètres!$A$1:$I$89,5,0)</f>
        <v>136.74739650000001</v>
      </c>
      <c r="CA33" s="14">
        <f t="shared" si="39"/>
        <v>35.550863363657946</v>
      </c>
      <c r="CB33" s="22">
        <f t="shared" si="10"/>
        <v>300.08613592920426</v>
      </c>
      <c r="CC33" s="62">
        <f t="shared" si="11"/>
        <v>593.41946926253763</v>
      </c>
      <c r="CD33" s="62">
        <f ca="1">AVERAGE(OFFSET($CC$3,0,0,'Données projet'!$E$12+1,1))-AVERAGE(OFFSET($H$3,0,0,'Données projet'!$E$12+1,1))</f>
        <v>248.15263300983543</v>
      </c>
      <c r="CE33" s="62">
        <f t="shared" si="40"/>
        <v>266.46511459244618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7.2274746321803018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7.2274746321803018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9.9205000000000041</v>
      </c>
      <c r="CT33" s="13">
        <f>IF('Données projet'!$A$140&gt;35,CT32+CS33-DB32,IF(A33&lt;'Données projet'!$A$140,$CQ$205^A33,IF(A33='Données projet'!$A$140,'Données projet'!$B$140,CT32+CS33-DB32)))</f>
        <v>171.87958333333336</v>
      </c>
      <c r="CU33" s="18">
        <f>CT33*VLOOKUP('Données projet'!$B$13,Paramètres!$A$1:$I$89,3,0)*VLOOKUP('Données projet'!$B$13,Paramètres!$A$1:$I$89,5,0)</f>
        <v>115.29682450000003</v>
      </c>
      <c r="CV33" s="14">
        <f t="shared" si="41"/>
        <v>30.575521413076903</v>
      </c>
      <c r="CW33" s="22">
        <f t="shared" si="13"/>
        <v>254.06100246527566</v>
      </c>
      <c r="CX33" s="62">
        <f t="shared" si="14"/>
        <v>547.39433579860895</v>
      </c>
      <c r="CY33" s="62">
        <f ca="1">AVERAGE(OFFSET($CX$3,0,0,'Données projet'!$E$13+1,1))-AVERAGE(OFFSET($H$3,0,0,'Données projet'!$E$13+1,1))</f>
        <v>205.35893113421139</v>
      </c>
      <c r="CZ33" s="62">
        <f t="shared" si="42"/>
        <v>220.4399811285175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6.0937531212500584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6.0937531212500584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28.4</v>
      </c>
      <c r="N34" s="14">
        <f>IF('Données projet'!$A$36&gt;35,N33+M34-V33,IF(A34&lt;'Données projet'!$A$36,$K$205^A34,IF(A34='Données projet'!$A$36,'Données projet'!$B$36,N33+M34-V33)))</f>
        <v>462.4</v>
      </c>
      <c r="O34" s="14">
        <f>N34*VLOOKUP('Données projet'!$B$9,Paramètres!$A$1:$I$89,3,0)*VLOOKUP('Données projet'!$B$9,Paramètres!$A$1:$I$89,5,0)</f>
        <v>258.48160000000001</v>
      </c>
      <c r="P34" s="14">
        <f t="shared" si="33"/>
        <v>62.398606187610767</v>
      </c>
      <c r="Q34" s="22">
        <f t="shared" si="2"/>
        <v>558.86635911008875</v>
      </c>
      <c r="R34" s="62">
        <f t="shared" si="0"/>
        <v>852.19969244342201</v>
      </c>
      <c r="S34" s="62">
        <f ca="1">AVERAGE(OFFSET($R$3,0,0,'Données projet'!$E$9+1,1))-AVERAGE(OFFSET($H$3,0,0,'Données projet'!$E$9+1,1))</f>
        <v>490.96084572840579</v>
      </c>
      <c r="T34" s="62">
        <f t="shared" si="34"/>
        <v>597.91658789908263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40.401457003578102</v>
      </c>
      <c r="AA34" s="23">
        <f>EXP(-LN(2)/25)*AA33+(1-EXP(-LN(2)/25))/(LN(2)/25)*Calculateur!V34*Calculateur!X34*VLOOKUP('Données projet'!$B$9,Paramètres!$A$1:$I$89,3,0)*0.475*44/12</f>
        <v>16.652825664873575</v>
      </c>
      <c r="AB34" s="23">
        <f>EXP(-LN(2)/2)*AB33+(1-EXP(-LN(2)/2))/(LN(2)/2)*V34*Y34*VLOOKUP('Données projet'!$B$9,Paramètres!$A$1:$I$89,3,0)*0.475*44/12</f>
        <v>6.2079782202283482</v>
      </c>
      <c r="AC34" s="24">
        <f t="shared" si="3"/>
        <v>63.262260888680025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24.166666666666668</v>
      </c>
      <c r="AI34" s="14">
        <f>IF('Données projet'!$A$62&gt;35,AI33+AH34-AQ33,IF(A34&lt;'Données projet'!$A$62,$AF$205^A34,IF(A34='Données projet'!$A$62,'Données projet'!$B$62,AI33+AH34-AQ33)))</f>
        <v>500.16666666666652</v>
      </c>
      <c r="AJ34" s="14">
        <f>AI34*VLOOKUP('Données projet'!$B$10,Paramètres!$A$1:$I$89,3,0)*VLOOKUP('Données projet'!$B$10,Paramètres!$A$1:$I$89,5,0)</f>
        <v>312.10399999999993</v>
      </c>
      <c r="AK34" s="14">
        <f t="shared" si="35"/>
        <v>73.708055983546572</v>
      </c>
      <c r="AL34" s="22">
        <f t="shared" si="4"/>
        <v>671.9559975046767</v>
      </c>
      <c r="AM34" s="62">
        <f t="shared" si="5"/>
        <v>965.28933083801007</v>
      </c>
      <c r="AN34" s="62">
        <f ca="1">AVERAGE(OFFSET($AM$3,0,0,'Données projet'!$E$10+1,1))-AVERAGE(OFFSET($H$3,0,0,'Données projet'!$E$10+1,1))</f>
        <v>482.28841373508675</v>
      </c>
      <c r="AO34" s="62">
        <f t="shared" si="36"/>
        <v>746.97309214631684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36.470788861441065</v>
      </c>
      <c r="AV34" s="23">
        <f>EXP(-LN(2)/25)*AV33+(1-EXP(-LN(2)/25))/(LN(2)/25)*Calculateur!AQ34*Calculateur!AS34*VLOOKUP('Données projet'!$B$10,Paramètres!$A$1:$I$89,3,0)*0.475*44/12</f>
        <v>8.6497329218616059</v>
      </c>
      <c r="AW34" s="23">
        <f>EXP(-LN(2)/2)*AW33+(1-EXP(-LN(2)/2))/(LN(2)/2)*AQ34*AT34*VLOOKUP('Données projet'!$B$10,Paramètres!$A$1:$I$89,3,0)*0.475*44/12</f>
        <v>7.0560693398385261</v>
      </c>
      <c r="AX34" s="23">
        <f t="shared" si="6"/>
        <v>52.176591123141193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14.9</v>
      </c>
      <c r="BD34" s="13">
        <f>IF('Données projet'!$A$88&gt;35,BD33+BC34-BL33,IF(A34&lt;'Données projet'!$A$88,$BA$205^A34,IF(A34='Données projet'!$A$88,'Données projet'!$B$88,BD33+BC34-BL33)))</f>
        <v>271.40000000000009</v>
      </c>
      <c r="BE34" s="14">
        <f>BD34*VLOOKUP('Données projet'!$B$11,Paramètres!$A$1:$I$89,3,0)*VLOOKUP('Données projet'!$B$11,Paramètres!$A$1:$I$89,5,0)</f>
        <v>198.99048000000005</v>
      </c>
      <c r="BF34" s="14">
        <f t="shared" si="37"/>
        <v>49.522240485306654</v>
      </c>
      <c r="BG34" s="22">
        <f t="shared" si="7"/>
        <v>432.82632151190916</v>
      </c>
      <c r="BH34" s="62">
        <f t="shared" si="8"/>
        <v>726.15965484524247</v>
      </c>
      <c r="BI34" s="62">
        <f ca="1">AVERAGE(OFFSET($BH$3,0,0,'Données projet'!$E$11+1,1))-AVERAGE(OFFSET($H$3,0,0,'Données projet'!$E$11+1,1))</f>
        <v>350.22629663422435</v>
      </c>
      <c r="BJ34" s="62">
        <f t="shared" si="38"/>
        <v>375.98044319336645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7.7989012429216213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7.7989012429216213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9.9205000000000041</v>
      </c>
      <c r="BY34" s="13">
        <f>IF('Données projet'!$A$114&gt;35,BY33+BX34-CG33,IF(A34&lt;'Données projet'!$A$114,$BV$205^A34,IF(A34='Données projet'!$A$114,'Données projet'!$B$114,BY33+BX34-CG33)))</f>
        <v>181.80008333333336</v>
      </c>
      <c r="BZ34" s="14">
        <f>BY34*VLOOKUP('Données projet'!$B$12,Paramètres!$A$1:$I$89,3,0)*VLOOKUP('Données projet'!$B$12,Paramètres!$A$1:$I$89,5,0)</f>
        <v>144.64014630000003</v>
      </c>
      <c r="CA34" s="14">
        <f t="shared" si="39"/>
        <v>37.357972223509158</v>
      </c>
      <c r="CB34" s="22">
        <f t="shared" si="10"/>
        <v>316.98005642844515</v>
      </c>
      <c r="CC34" s="62">
        <f t="shared" si="11"/>
        <v>610.31338976177847</v>
      </c>
      <c r="CD34" s="62">
        <f ca="1">AVERAGE(OFFSET($CC$3,0,0,'Données projet'!$E$12+1,1))-AVERAGE(OFFSET($H$3,0,0,'Données projet'!$E$12+1,1))</f>
        <v>248.15263300983543</v>
      </c>
      <c r="CE34" s="62">
        <f t="shared" si="40"/>
        <v>266.46511459244618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7.0857482629674857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7.0857482629674857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9.9205000000000041</v>
      </c>
      <c r="CT34" s="13">
        <f>IF('Données projet'!$A$140&gt;35,CT33+CS34-DB33,IF(A34&lt;'Données projet'!$A$140,$CQ$205^A34,IF(A34='Données projet'!$A$140,'Données projet'!$B$140,CT33+CS34-DB33)))</f>
        <v>181.80008333333336</v>
      </c>
      <c r="CU34" s="18">
        <f>CT34*VLOOKUP('Données projet'!$B$13,Paramètres!$A$1:$I$89,3,0)*VLOOKUP('Données projet'!$B$13,Paramètres!$A$1:$I$89,5,0)</f>
        <v>121.95149590000003</v>
      </c>
      <c r="CV34" s="14">
        <f t="shared" si="41"/>
        <v>32.129725457995363</v>
      </c>
      <c r="CW34" s="22">
        <f t="shared" si="13"/>
        <v>268.35812719850861</v>
      </c>
      <c r="CX34" s="62">
        <f t="shared" si="14"/>
        <v>561.69146053184193</v>
      </c>
      <c r="CY34" s="62">
        <f ca="1">AVERAGE(OFFSET($CX$3,0,0,'Données projet'!$E$13+1,1))-AVERAGE(OFFSET($H$3,0,0,'Données projet'!$E$13+1,1))</f>
        <v>205.35893113421139</v>
      </c>
      <c r="CZ34" s="62">
        <f t="shared" si="42"/>
        <v>220.4399811285175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5.9742583393647433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5.9742583393647433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28.4</v>
      </c>
      <c r="N35" s="14">
        <f>IF('Données projet'!$A$36&gt;35,N34+M35-V34,IF(A35&lt;'Données projet'!$A$36,$K$205^A35,IF(A35='Données projet'!$A$36,'Données projet'!$B$36,N34+M35-V34)))</f>
        <v>490.79999999999995</v>
      </c>
      <c r="O35" s="14">
        <f>N35*VLOOKUP('Données projet'!$B$9,Paramètres!$A$1:$I$89,3,0)*VLOOKUP('Données projet'!$B$9,Paramètres!$A$1:$I$89,5,0)</f>
        <v>274.35719999999998</v>
      </c>
      <c r="P35" s="14">
        <f t="shared" si="33"/>
        <v>65.773113764972635</v>
      </c>
      <c r="Q35" s="22">
        <f t="shared" ref="Q35:Q66" si="53">(O35+P35)*0.475*44/12</f>
        <v>592.39362980732722</v>
      </c>
      <c r="R35" s="62">
        <f t="shared" si="0"/>
        <v>885.72696314066047</v>
      </c>
      <c r="S35" s="62">
        <f ca="1">AVERAGE(OFFSET($R$3,0,0,'Données projet'!$E$9+1,1))-AVERAGE(OFFSET($H$3,0,0,'Données projet'!$E$9+1,1))</f>
        <v>490.96084572840579</v>
      </c>
      <c r="T35" s="62">
        <f t="shared" si="34"/>
        <v>597.91658789908263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39.609209074193465</v>
      </c>
      <c r="AA35" s="23">
        <f>EXP(-LN(2)/25)*AA34+(1-EXP(-LN(2)/25))/(LN(2)/25)*Calculateur!V35*Calculateur!X35*VLOOKUP('Données projet'!$B$9,Paramètres!$A$1:$I$89,3,0)*0.475*44/12</f>
        <v>16.197453271333565</v>
      </c>
      <c r="AB35" s="23">
        <f>EXP(-LN(2)/2)*AB34+(1-EXP(-LN(2)/2))/(LN(2)/2)*V35*Y35*VLOOKUP('Données projet'!$B$9,Paramètres!$A$1:$I$89,3,0)*0.475*44/12</f>
        <v>4.38970349698186</v>
      </c>
      <c r="AC35" s="24">
        <f t="shared" si="3"/>
        <v>60.196365842508889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24.166666666666668</v>
      </c>
      <c r="AI35" s="14">
        <f>IF('Données projet'!$A$62&gt;35,AI34+AH35-AQ34,IF(A35&lt;'Données projet'!$A$62,$AF$205^A35,IF(A35='Données projet'!$A$62,'Données projet'!$B$62,AI34+AH35-AQ34)))</f>
        <v>524.33333333333314</v>
      </c>
      <c r="AJ35" s="14">
        <f>AI35*VLOOKUP('Données projet'!$B$10,Paramètres!$A$1:$I$89,3,0)*VLOOKUP('Données projet'!$B$10,Paramètres!$A$1:$I$89,5,0)</f>
        <v>327.18399999999986</v>
      </c>
      <c r="AK35" s="14">
        <f t="shared" si="35"/>
        <v>76.846187648536301</v>
      </c>
      <c r="AL35" s="22">
        <f t="shared" si="4"/>
        <v>703.68591015453387</v>
      </c>
      <c r="AM35" s="62">
        <f t="shared" si="5"/>
        <v>997.01924348786724</v>
      </c>
      <c r="AN35" s="62">
        <f ca="1">AVERAGE(OFFSET($AM$3,0,0,'Données projet'!$E$10+1,1))-AVERAGE(OFFSET($H$3,0,0,'Données projet'!$E$10+1,1))</f>
        <v>482.28841373508675</v>
      </c>
      <c r="AO35" s="62">
        <f t="shared" si="36"/>
        <v>746.97309214631684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35.755618936852905</v>
      </c>
      <c r="AV35" s="23">
        <f>EXP(-LN(2)/25)*AV34+(1-EXP(-LN(2)/25))/(LN(2)/25)*Calculateur!AQ35*Calculateur!AS35*VLOOKUP('Données projet'!$B$10,Paramètres!$A$1:$I$89,3,0)*0.475*44/12</f>
        <v>8.4132055202436149</v>
      </c>
      <c r="AW35" s="23">
        <f>EXP(-LN(2)/2)*AW34+(1-EXP(-LN(2)/2))/(LN(2)/2)*AQ35*AT35*VLOOKUP('Données projet'!$B$10,Paramètres!$A$1:$I$89,3,0)*0.475*44/12</f>
        <v>4.9893944787223079</v>
      </c>
      <c r="AX35" s="23">
        <f t="shared" si="6"/>
        <v>49.15821893581883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14.9</v>
      </c>
      <c r="BD35" s="13">
        <f>IF('Données projet'!$A$88&gt;35,BD34+BC35-BL34,IF(A35&lt;'Données projet'!$A$88,$BA$205^A35,IF(A35='Données projet'!$A$88,'Données projet'!$B$88,BD34+BC35-BL34)))</f>
        <v>286.30000000000007</v>
      </c>
      <c r="BE35" s="14">
        <f>BD35*VLOOKUP('Données projet'!$B$11,Paramètres!$A$1:$I$89,3,0)*VLOOKUP('Données projet'!$B$11,Paramètres!$A$1:$I$89,5,0)</f>
        <v>209.91516000000007</v>
      </c>
      <c r="BF35" s="14">
        <f t="shared" si="37"/>
        <v>51.917045587772435</v>
      </c>
      <c r="BG35" s="22">
        <f t="shared" si="7"/>
        <v>456.02442473203701</v>
      </c>
      <c r="BH35" s="62">
        <f t="shared" si="8"/>
        <v>749.35775806537026</v>
      </c>
      <c r="BI35" s="62">
        <f ca="1">AVERAGE(OFFSET($BH$3,0,0,'Données projet'!$E$11+1,1))-AVERAGE(OFFSET($H$3,0,0,'Données projet'!$E$11+1,1))</f>
        <v>350.22629663422435</v>
      </c>
      <c r="BJ35" s="62">
        <f t="shared" si="38"/>
        <v>375.98044319336645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7.6459695464079855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7.6459695464079855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9.9205000000000041</v>
      </c>
      <c r="BY35" s="13">
        <f>IF('Données projet'!$A$114&gt;35,BY34+BX35-CG34,IF(A35&lt;'Données projet'!$A$114,$BV$205^A35,IF(A35='Données projet'!$A$114,'Données projet'!$B$114,BY34+BX35-CG34)))</f>
        <v>191.72058333333337</v>
      </c>
      <c r="BZ35" s="14">
        <f>BY35*VLOOKUP('Données projet'!$B$12,Paramètres!$A$1:$I$89,3,0)*VLOOKUP('Données projet'!$B$12,Paramètres!$A$1:$I$89,5,0)</f>
        <v>152.53289610000004</v>
      </c>
      <c r="CA35" s="14">
        <f t="shared" si="39"/>
        <v>39.153633183456513</v>
      </c>
      <c r="CB35" s="22">
        <f t="shared" si="10"/>
        <v>333.85403850202016</v>
      </c>
      <c r="CC35" s="62">
        <f t="shared" si="11"/>
        <v>627.18737183535347</v>
      </c>
      <c r="CD35" s="62">
        <f ca="1">AVERAGE(OFFSET($CC$3,0,0,'Données projet'!$E$12+1,1))-AVERAGE(OFFSET($H$3,0,0,'Données projet'!$E$12+1,1))</f>
        <v>248.15263300983543</v>
      </c>
      <c r="CE35" s="62">
        <f t="shared" si="40"/>
        <v>266.46511459244618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6.9468010614103832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6.9468010614103832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9.9205000000000041</v>
      </c>
      <c r="CT35" s="13">
        <f>IF('Données projet'!$A$140&gt;35,CT34+CS35-DB34,IF(A35&lt;'Données projet'!$A$140,$CQ$205^A35,IF(A35='Données projet'!$A$140,'Données projet'!$B$140,CT34+CS35-DB34)))</f>
        <v>191.72058333333337</v>
      </c>
      <c r="CU35" s="18">
        <f>CT35*VLOOKUP('Données projet'!$B$13,Paramètres!$A$1:$I$89,3,0)*VLOOKUP('Données projet'!$B$13,Paramètres!$A$1:$I$89,5,0)</f>
        <v>128.60616730000004</v>
      </c>
      <c r="CV35" s="14">
        <f t="shared" si="41"/>
        <v>33.674083736158103</v>
      </c>
      <c r="CW35" s="22">
        <f t="shared" si="13"/>
        <v>282.63810388797543</v>
      </c>
      <c r="CX35" s="62">
        <f t="shared" si="14"/>
        <v>575.97143722130875</v>
      </c>
      <c r="CY35" s="62">
        <f ca="1">AVERAGE(OFFSET($CX$3,0,0,'Données projet'!$E$13+1,1))-AVERAGE(OFFSET($H$3,0,0,'Données projet'!$E$13+1,1))</f>
        <v>205.35893113421139</v>
      </c>
      <c r="CZ35" s="62">
        <f t="shared" si="42"/>
        <v>220.4399811285175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5.8571067772675791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5.8571067772675791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28.4</v>
      </c>
      <c r="N36" s="14">
        <f>IF('Données projet'!$A$36&gt;35,N35+M36-V35,IF(A36&lt;'Données projet'!$A$36,$K$205^A36,IF(A36='Données projet'!$A$36,'Données projet'!$B$36,N35+M36-V35)))</f>
        <v>519.19999999999993</v>
      </c>
      <c r="O36" s="14">
        <f>N36*VLOOKUP('Données projet'!$B$9,Paramètres!$A$1:$I$89,3,0)*VLOOKUP('Données projet'!$B$9,Paramètres!$A$1:$I$89,5,0)</f>
        <v>290.2328</v>
      </c>
      <c r="P36" s="14">
        <f t="shared" si="33"/>
        <v>69.124955529636495</v>
      </c>
      <c r="Q36" s="22">
        <f t="shared" si="53"/>
        <v>625.88142421411692</v>
      </c>
      <c r="R36" s="62">
        <f t="shared" si="0"/>
        <v>919.21475754745029</v>
      </c>
      <c r="S36" s="62">
        <f ca="1">AVERAGE(OFFSET($R$3,0,0,'Données projet'!$E$9+1,1))-AVERAGE(OFFSET($H$3,0,0,'Données projet'!$E$9+1,1))</f>
        <v>490.96084572840579</v>
      </c>
      <c r="T36" s="62">
        <f t="shared" si="34"/>
        <v>597.91658789908263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38.832496643480539</v>
      </c>
      <c r="AA36" s="23">
        <f>EXP(-LN(2)/25)*AA35+(1-EXP(-LN(2)/25))/(LN(2)/25)*Calculateur!V36*Calculateur!X36*VLOOKUP('Données projet'!$B$9,Paramètres!$A$1:$I$89,3,0)*0.475*44/12</f>
        <v>15.754533059841901</v>
      </c>
      <c r="AB36" s="23">
        <f>EXP(-LN(2)/2)*AB35+(1-EXP(-LN(2)/2))/(LN(2)/2)*V36*Y36*VLOOKUP('Données projet'!$B$9,Paramètres!$A$1:$I$89,3,0)*0.475*44/12</f>
        <v>3.103989110114175</v>
      </c>
      <c r="AC36" s="24">
        <f t="shared" si="3"/>
        <v>57.691018813436621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24.166666666666668</v>
      </c>
      <c r="AI36" s="14">
        <f>IF('Données projet'!$A$62&gt;35,AI35+AH36-AQ35,IF(A36&lt;'Données projet'!$A$62,$AF$205^A36,IF(A36='Données projet'!$A$62,'Données projet'!$B$62,AI35+AH36-AQ35)))</f>
        <v>548.49999999999977</v>
      </c>
      <c r="AJ36" s="14">
        <f>AI36*VLOOKUP('Données projet'!$B$10,Paramètres!$A$1:$I$89,3,0)*VLOOKUP('Données projet'!$B$10,Paramètres!$A$1:$I$89,5,0)</f>
        <v>342.26399999999984</v>
      </c>
      <c r="AK36" s="14">
        <f t="shared" si="35"/>
        <v>79.967522327492162</v>
      </c>
      <c r="AL36" s="22">
        <f t="shared" si="4"/>
        <v>735.38656805371522</v>
      </c>
      <c r="AM36" s="62">
        <f t="shared" si="5"/>
        <v>1028.7199013870486</v>
      </c>
      <c r="AN36" s="62">
        <f ca="1">AVERAGE(OFFSET($AM$3,0,0,'Données projet'!$E$10+1,1))-AVERAGE(OFFSET($H$3,0,0,'Données projet'!$E$10+1,1))</f>
        <v>482.28841373508675</v>
      </c>
      <c r="AO36" s="62">
        <f t="shared" si="36"/>
        <v>746.97309214631684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35.054473058275335</v>
      </c>
      <c r="AV36" s="23">
        <f>EXP(-LN(2)/25)*AV35+(1-EXP(-LN(2)/25))/(LN(2)/25)*Calculateur!AQ36*Calculateur!AS36*VLOOKUP('Données projet'!$B$10,Paramètres!$A$1:$I$89,3,0)*0.475*44/12</f>
        <v>8.1831459728613041</v>
      </c>
      <c r="AW36" s="23">
        <f>EXP(-LN(2)/2)*AW35+(1-EXP(-LN(2)/2))/(LN(2)/2)*AQ36*AT36*VLOOKUP('Données projet'!$B$10,Paramètres!$A$1:$I$89,3,0)*0.475*44/12</f>
        <v>3.5280346699192635</v>
      </c>
      <c r="AX36" s="23">
        <f t="shared" si="6"/>
        <v>46.765653701055903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14.9</v>
      </c>
      <c r="BD36" s="13">
        <f>IF('Données projet'!$A$88&gt;35,BD35+BC36-BL35,IF(A36&lt;'Données projet'!$A$88,$BA$205^A36,IF(A36='Données projet'!$A$88,'Données projet'!$B$88,BD35+BC36-BL35)))</f>
        <v>301.20000000000005</v>
      </c>
      <c r="BE36" s="14">
        <f>BD36*VLOOKUP('Données projet'!$B$11,Paramètres!$A$1:$I$89,3,0)*VLOOKUP('Données projet'!$B$11,Paramètres!$A$1:$I$89,5,0)</f>
        <v>220.83984000000004</v>
      </c>
      <c r="BF36" s="14">
        <f t="shared" si="37"/>
        <v>54.297380297719741</v>
      </c>
      <c r="BG36" s="22">
        <f t="shared" si="7"/>
        <v>479.19732535186193</v>
      </c>
      <c r="BH36" s="62">
        <f t="shared" si="8"/>
        <v>772.53065868519525</v>
      </c>
      <c r="BI36" s="62">
        <f ca="1">AVERAGE(OFFSET($BH$3,0,0,'Données projet'!$E$11+1,1))-AVERAGE(OFFSET($H$3,0,0,'Données projet'!$E$11+1,1))</f>
        <v>350.22629663422435</v>
      </c>
      <c r="BJ36" s="62">
        <f t="shared" si="38"/>
        <v>375.98044319336645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7.496036747183858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7.496036747183858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9.9205000000000041</v>
      </c>
      <c r="BY36" s="13">
        <f>IF('Données projet'!$A$114&gt;35,BY35+BX36-CG35,IF(A36&lt;'Données projet'!$A$114,$BV$205^A36,IF(A36='Données projet'!$A$114,'Données projet'!$B$114,BY35+BX36-CG35)))</f>
        <v>201.64108333333337</v>
      </c>
      <c r="BZ36" s="14">
        <f>BY36*VLOOKUP('Données projet'!$B$12,Paramètres!$A$1:$I$89,3,0)*VLOOKUP('Données projet'!$B$12,Paramètres!$A$1:$I$89,5,0)</f>
        <v>160.42564590000003</v>
      </c>
      <c r="CA36" s="14">
        <f t="shared" si="39"/>
        <v>40.938506177830227</v>
      </c>
      <c r="CB36" s="22">
        <f t="shared" si="10"/>
        <v>350.70923153555435</v>
      </c>
      <c r="CC36" s="62">
        <f t="shared" si="11"/>
        <v>644.04256486888767</v>
      </c>
      <c r="CD36" s="62">
        <f ca="1">AVERAGE(OFFSET($CC$3,0,0,'Données projet'!$E$12+1,1))-AVERAGE(OFFSET($H$3,0,0,'Données projet'!$E$12+1,1))</f>
        <v>248.15263300983543</v>
      </c>
      <c r="CE36" s="62">
        <f t="shared" si="40"/>
        <v>266.46511459244618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6.8105785297263912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6.8105785297263912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9.9205000000000041</v>
      </c>
      <c r="CT36" s="13">
        <f>IF('Données projet'!$A$140&gt;35,CT35+CS36-DB35,IF(A36&lt;'Données projet'!$A$140,$CQ$205^A36,IF(A36='Données projet'!$A$140,'Données projet'!$B$140,CT35+CS36-DB35)))</f>
        <v>201.64108333333337</v>
      </c>
      <c r="CU36" s="18">
        <f>CT36*VLOOKUP('Données projet'!$B$13,Paramètres!$A$1:$I$89,3,0)*VLOOKUP('Données projet'!$B$13,Paramètres!$A$1:$I$89,5,0)</f>
        <v>135.26083870000002</v>
      </c>
      <c r="CV36" s="14">
        <f t="shared" si="41"/>
        <v>35.209163824111265</v>
      </c>
      <c r="CW36" s="22">
        <f t="shared" si="13"/>
        <v>296.90192106282717</v>
      </c>
      <c r="CX36" s="62">
        <f t="shared" si="14"/>
        <v>590.23525439616049</v>
      </c>
      <c r="CY36" s="62">
        <f ca="1">AVERAGE(OFFSET($CX$3,0,0,'Données projet'!$E$13+1,1))-AVERAGE(OFFSET($H$3,0,0,'Données projet'!$E$13+1,1))</f>
        <v>205.35893113421139</v>
      </c>
      <c r="CZ36" s="62">
        <f t="shared" si="42"/>
        <v>220.4399811285175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5.7422524858477431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5.7422524858477431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28.4</v>
      </c>
      <c r="N37" s="14">
        <f>IF('Données projet'!$A$36&gt;35,N36+M37-V36,IF(A37&lt;'Données projet'!$A$36,$K$205^A37,IF(A37='Données projet'!$A$36,'Données projet'!$B$36,N36+M37-V36)))</f>
        <v>547.59999999999991</v>
      </c>
      <c r="O37" s="14">
        <f>N37*VLOOKUP('Données projet'!$B$9,Paramètres!$A$1:$I$89,3,0)*VLOOKUP('Données projet'!$B$9,Paramètres!$A$1:$I$89,5,0)</f>
        <v>306.10839999999996</v>
      </c>
      <c r="P37" s="14">
        <f t="shared" si="33"/>
        <v>72.455512621968097</v>
      </c>
      <c r="Q37" s="22">
        <f t="shared" si="53"/>
        <v>659.33214781659433</v>
      </c>
      <c r="R37" s="62">
        <f t="shared" si="0"/>
        <v>952.6654811499277</v>
      </c>
      <c r="S37" s="62">
        <f ca="1">AVERAGE(OFFSET($R$3,0,0,'Données projet'!$E$9+1,1))-AVERAGE(OFFSET($H$3,0,0,'Données projet'!$E$9+1,1))</f>
        <v>490.96084572840579</v>
      </c>
      <c r="T37" s="62">
        <f t="shared" si="34"/>
        <v>597.91658789908263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38.071015069786093</v>
      </c>
      <c r="AA37" s="23">
        <f>EXP(-LN(2)/25)*AA36+(1-EXP(-LN(2)/25))/(LN(2)/25)*Calculateur!V37*Calculateur!X37*VLOOKUP('Données projet'!$B$9,Paramètres!$A$1:$I$89,3,0)*0.475*44/12</f>
        <v>15.323724524825638</v>
      </c>
      <c r="AB37" s="23">
        <f>EXP(-LN(2)/2)*AB36+(1-EXP(-LN(2)/2))/(LN(2)/2)*V37*Y37*VLOOKUP('Données projet'!$B$9,Paramètres!$A$1:$I$89,3,0)*0.475*44/12</f>
        <v>2.1948517484909305</v>
      </c>
      <c r="AC37" s="24">
        <f t="shared" si="3"/>
        <v>55.589591343102661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24.166666666666668</v>
      </c>
      <c r="AI37" s="14">
        <f>IF('Données projet'!$A$62&gt;35,AI36+AH37-AQ36,IF(A37&lt;'Données projet'!$A$62,$AF$205^A37,IF(A37='Données projet'!$A$62,'Données projet'!$B$62,AI36+AH37-AQ36)))</f>
        <v>572.6666666666664</v>
      </c>
      <c r="AJ37" s="14">
        <f>AI37*VLOOKUP('Données projet'!$B$10,Paramètres!$A$1:$I$89,3,0)*VLOOKUP('Données projet'!$B$10,Paramètres!$A$1:$I$89,5,0)</f>
        <v>357.34399999999988</v>
      </c>
      <c r="AK37" s="14">
        <f t="shared" si="35"/>
        <v>83.07288466186094</v>
      </c>
      <c r="AL37" s="22">
        <f t="shared" si="4"/>
        <v>767.05940745274086</v>
      </c>
      <c r="AM37" s="62">
        <f t="shared" si="5"/>
        <v>1060.3927407860742</v>
      </c>
      <c r="AN37" s="62">
        <f ca="1">AVERAGE(OFFSET($AM$3,0,0,'Données projet'!$E$10+1,1))-AVERAGE(OFFSET($H$3,0,0,'Données projet'!$E$10+1,1))</f>
        <v>482.28841373508675</v>
      </c>
      <c r="AO37" s="62">
        <f t="shared" si="36"/>
        <v>746.97309214631684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34.367076222719909</v>
      </c>
      <c r="AV37" s="23">
        <f>EXP(-LN(2)/25)*AV36+(1-EXP(-LN(2)/25))/(LN(2)/25)*Calculateur!AQ37*Calculateur!AS37*VLOOKUP('Données projet'!$B$10,Paramètres!$A$1:$I$89,3,0)*0.475*44/12</f>
        <v>7.9593774159004678</v>
      </c>
      <c r="AW37" s="23">
        <f>EXP(-LN(2)/2)*AW36+(1-EXP(-LN(2)/2))/(LN(2)/2)*AQ37*AT37*VLOOKUP('Données projet'!$B$10,Paramètres!$A$1:$I$89,3,0)*0.475*44/12</f>
        <v>2.4946972393611544</v>
      </c>
      <c r="AX37" s="23">
        <f t="shared" si="6"/>
        <v>44.82115087798153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14.9</v>
      </c>
      <c r="BD37" s="13">
        <f>IF('Données projet'!$A$88&gt;35,BD36+BC37-BL36,IF(A37&lt;'Données projet'!$A$88,$BA$205^A37,IF(A37='Données projet'!$A$88,'Données projet'!$B$88,BD36+BC37-BL36)))</f>
        <v>316.10000000000002</v>
      </c>
      <c r="BE37" s="14">
        <f>BD37*VLOOKUP('Données projet'!$B$11,Paramètres!$A$1:$I$89,3,0)*VLOOKUP('Données projet'!$B$11,Paramètres!$A$1:$I$89,5,0)</f>
        <v>231.76452000000003</v>
      </c>
      <c r="BF37" s="14">
        <f t="shared" si="37"/>
        <v>56.664042140545369</v>
      </c>
      <c r="BG37" s="22">
        <f t="shared" si="7"/>
        <v>502.34641239478327</v>
      </c>
      <c r="BH37" s="62">
        <f t="shared" si="8"/>
        <v>795.67974572811659</v>
      </c>
      <c r="BI37" s="62">
        <f ca="1">AVERAGE(OFFSET($BH$3,0,0,'Données projet'!$E$11+1,1))-AVERAGE(OFFSET($H$3,0,0,'Données projet'!$E$11+1,1))</f>
        <v>350.22629663422435</v>
      </c>
      <c r="BJ37" s="62">
        <f t="shared" si="38"/>
        <v>375.98044319336645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7.3490440387025382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7.3490440387025382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9.9205000000000041</v>
      </c>
      <c r="BY37" s="13">
        <f>IF('Données projet'!$A$114&gt;35,BY36+BX37-CG36,IF(A37&lt;'Données projet'!$A$114,$BV$205^A37,IF(A37='Données projet'!$A$114,'Données projet'!$B$114,BY36+BX37-CG36)))</f>
        <v>211.56158333333337</v>
      </c>
      <c r="BZ37" s="14">
        <f>BY37*VLOOKUP('Données projet'!$B$12,Paramètres!$A$1:$I$89,3,0)*VLOOKUP('Données projet'!$B$12,Paramètres!$A$1:$I$89,5,0)</f>
        <v>168.31839570000005</v>
      </c>
      <c r="CA37" s="14">
        <f t="shared" si="39"/>
        <v>42.713182536499829</v>
      </c>
      <c r="CB37" s="22">
        <f t="shared" si="10"/>
        <v>367.54666542857058</v>
      </c>
      <c r="CC37" s="62">
        <f t="shared" si="11"/>
        <v>660.87999876190383</v>
      </c>
      <c r="CD37" s="62">
        <f ca="1">AVERAGE(OFFSET($CC$3,0,0,'Données projet'!$E$12+1,1))-AVERAGE(OFFSET($H$3,0,0,'Données projet'!$E$12+1,1))</f>
        <v>248.15263300983543</v>
      </c>
      <c r="CE37" s="62">
        <f t="shared" si="40"/>
        <v>266.46511459244618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6.6770272388011822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6.6770272388011822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9.9205000000000041</v>
      </c>
      <c r="CT37" s="13">
        <f>IF('Données projet'!$A$140&gt;35,CT36+CS37-DB36,IF(A37&lt;'Données projet'!$A$140,$CQ$205^A37,IF(A37='Données projet'!$A$140,'Données projet'!$B$140,CT36+CS37-DB36)))</f>
        <v>211.56158333333337</v>
      </c>
      <c r="CU37" s="18">
        <f>CT37*VLOOKUP('Données projet'!$B$13,Paramètres!$A$1:$I$89,3,0)*VLOOKUP('Données projet'!$B$13,Paramètres!$A$1:$I$89,5,0)</f>
        <v>141.91551010000003</v>
      </c>
      <c r="CV37" s="14">
        <f t="shared" si="41"/>
        <v>36.73547429513215</v>
      </c>
      <c r="CW37" s="22">
        <f t="shared" si="13"/>
        <v>311.15046448818856</v>
      </c>
      <c r="CX37" s="62">
        <f t="shared" si="14"/>
        <v>604.48379782152188</v>
      </c>
      <c r="CY37" s="62">
        <f ca="1">AVERAGE(OFFSET($CX$3,0,0,'Données projet'!$E$13+1,1))-AVERAGE(OFFSET($H$3,0,0,'Données projet'!$E$13+1,1))</f>
        <v>205.35893113421139</v>
      </c>
      <c r="CZ37" s="62">
        <f t="shared" si="42"/>
        <v>220.4399811285175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5.6296504170284489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5.6296504170284489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576</v>
      </c>
      <c r="L38" s="13">
        <f>VLOOKUP(A38,'Données projet'!$A$35:$I$55,9,0)</f>
        <v>28.4</v>
      </c>
      <c r="M38" s="13">
        <f t="array" ref="M38">INDEX(L:L,MIN(IF(ISNUMBER(L38:L234),ROW(L38:L234),"")))</f>
        <v>28.4</v>
      </c>
      <c r="N38" s="14">
        <f>IF('Données projet'!$A$36&gt;35,N37+M38-V37,IF(A38&lt;'Données projet'!$A$36,$K$205^A38,IF(A38='Données projet'!$A$36,'Données projet'!$B$36,N37+M38-V37)))</f>
        <v>575.99999999999989</v>
      </c>
      <c r="O38" s="14">
        <f>N38*VLOOKUP('Données projet'!$B$9,Paramètres!$A$1:$I$89,3,0)*VLOOKUP('Données projet'!$B$9,Paramètres!$A$1:$I$89,5,0)</f>
        <v>321.98399999999992</v>
      </c>
      <c r="P38" s="14">
        <f t="shared" si="33"/>
        <v>75.76601483154208</v>
      </c>
      <c r="Q38" s="22">
        <f t="shared" si="53"/>
        <v>692.74794249826891</v>
      </c>
      <c r="R38" s="62">
        <f t="shared" si="0"/>
        <v>986.08127583160217</v>
      </c>
      <c r="S38" s="62">
        <f ca="1">AVERAGE(OFFSET($R$3,0,0,'Données projet'!$E$9+1,1))-AVERAGE(OFFSET($H$3,0,0,'Données projet'!$E$9+1,1))</f>
        <v>490.96084572840579</v>
      </c>
      <c r="T38" s="62">
        <f t="shared" si="34"/>
        <v>597.91658789908263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72</v>
      </c>
      <c r="W38" s="17">
        <f>IF(ISNA(VLOOKUP(A38,'Données projet'!$A$35:$I$55,5,0)),0%,VLOOKUP(A38,'Données projet'!$A$35:$I$55,5,0)*VLOOKUP('Données projet'!$B$9,Paramètres!$A$1:$I$89,7,0))</f>
        <v>0.38500000000000001</v>
      </c>
      <c r="X38" s="17">
        <f>IF(ISNA(VLOOKUP(A38,'Données projet'!$A$35:$I$55,6,0)),0%,VLOOKUP(A38,'Données projet'!$A$35:$I$55,6,0)*VLOOKUP('Données projet'!$B$9,Paramètres!$A$1:$I$89,7,0))</f>
        <v>9.240000000000001E-2</v>
      </c>
      <c r="Y38" s="17">
        <f>IF(ISNA(VLOOKUP(A38,'Données projet'!$A$35:$I$55,7,0)),0%,VLOOKUP(A38,'Données projet'!$A$35:$I$55,7,0))</f>
        <v>0.13200000000000001</v>
      </c>
      <c r="Z38" s="23">
        <f>EXP(-LN(2)/35)*Z37+(1-EXP(-LN(2)/35))/(LN(2)/35)*V38*W38*VLOOKUP('Données projet'!$B$9,Paramètres!$A$1:$I$89,3,0)*0.475*44/12</f>
        <v>57.880218673268182</v>
      </c>
      <c r="AA38" s="23">
        <f>EXP(-LN(2)/25)*AA37+(1-EXP(-LN(2)/25))/(LN(2)/25)*Calculateur!V38*Calculateur!X38*VLOOKUP('Données projet'!$B$9,Paramètres!$A$1:$I$89,3,0)*0.475*44/12</f>
        <v>19.818652589319761</v>
      </c>
      <c r="AB38" s="23">
        <f>EXP(-LN(2)/2)*AB37+(1-EXP(-LN(2)/2))/(LN(2)/2)*V38*Y38*VLOOKUP('Données projet'!$B$9,Paramètres!$A$1:$I$89,3,0)*0.475*44/12</f>
        <v>7.5672458424886528</v>
      </c>
      <c r="AC38" s="24">
        <f t="shared" si="3"/>
        <v>85.266117105076603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24.166666666666668</v>
      </c>
      <c r="AI38" s="14">
        <f>IF('Données projet'!$A$62&gt;35,AI37+AH38-AQ37,IF(A38&lt;'Données projet'!$A$62,$AF$205^A38,IF(A38='Données projet'!$A$62,'Données projet'!$B$62,AI37+AH38-AQ37)))</f>
        <v>596.83333333333303</v>
      </c>
      <c r="AJ38" s="14">
        <f>AI38*VLOOKUP('Données projet'!$B$10,Paramètres!$A$1:$I$89,3,0)*VLOOKUP('Données projet'!$B$10,Paramètres!$A$1:$I$89,5,0)</f>
        <v>372.42399999999981</v>
      </c>
      <c r="AK38" s="14">
        <f t="shared" si="35"/>
        <v>86.163025755834283</v>
      </c>
      <c r="AL38" s="22">
        <f t="shared" si="4"/>
        <v>798.70573652474422</v>
      </c>
      <c r="AM38" s="62">
        <f t="shared" si="5"/>
        <v>1092.0390698580775</v>
      </c>
      <c r="AN38" s="62">
        <f ca="1">AVERAGE(OFFSET($AM$3,0,0,'Données projet'!$E$10+1,1))-AVERAGE(OFFSET($H$3,0,0,'Données projet'!$E$10+1,1))</f>
        <v>482.28841373508675</v>
      </c>
      <c r="AO38" s="62">
        <f t="shared" si="36"/>
        <v>746.97309214631684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33.693158819839056</v>
      </c>
      <c r="AV38" s="23">
        <f>EXP(-LN(2)/25)*AV37+(1-EXP(-LN(2)/25))/(LN(2)/25)*Calculateur!AQ38*Calculateur!AS38*VLOOKUP('Données projet'!$B$10,Paramètres!$A$1:$I$89,3,0)*0.475*44/12</f>
        <v>7.7417278218972028</v>
      </c>
      <c r="AW38" s="23">
        <f>EXP(-LN(2)/2)*AW37+(1-EXP(-LN(2)/2))/(LN(2)/2)*AQ38*AT38*VLOOKUP('Données projet'!$B$10,Paramètres!$A$1:$I$89,3,0)*0.475*44/12</f>
        <v>1.7640173349596322</v>
      </c>
      <c r="AX38" s="23">
        <f t="shared" si="6"/>
        <v>43.198903976695888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331</v>
      </c>
      <c r="BB38" s="13">
        <f>VLOOKUP(A38,'Données projet'!$A$87:$I$107,9,0)</f>
        <v>14.9</v>
      </c>
      <c r="BC38" s="13">
        <f t="array" ref="BC38">INDEX(BB:BB,MIN(IF(ISNUMBER(BB38:BB234),ROW(BB38:BB234),"")))</f>
        <v>14.9</v>
      </c>
      <c r="BD38" s="13">
        <f>IF('Données projet'!$A$88&gt;35,BD37+BC38-BL37,IF(A38&lt;'Données projet'!$A$88,$BA$205^A38,IF(A38='Données projet'!$A$88,'Données projet'!$B$88,BD37+BC38-BL37)))</f>
        <v>331</v>
      </c>
      <c r="BE38" s="14">
        <f>BD38*VLOOKUP('Données projet'!$B$11,Paramètres!$A$1:$I$89,3,0)*VLOOKUP('Données projet'!$B$11,Paramètres!$A$1:$I$89,5,0)</f>
        <v>242.6892</v>
      </c>
      <c r="BF38" s="14">
        <f t="shared" si="37"/>
        <v>59.01774920703113</v>
      </c>
      <c r="BG38" s="22">
        <f t="shared" si="7"/>
        <v>525.47293653557915</v>
      </c>
      <c r="BH38" s="62">
        <f t="shared" si="8"/>
        <v>818.80626986891252</v>
      </c>
      <c r="BI38" s="62">
        <f ca="1">AVERAGE(OFFSET($BH$3,0,0,'Données projet'!$E$11+1,1))-AVERAGE(OFFSET($H$3,0,0,'Données projet'!$E$11+1,1))</f>
        <v>350.22629663422435</v>
      </c>
      <c r="BJ38" s="62">
        <f t="shared" si="38"/>
        <v>375.98044319336645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55</v>
      </c>
      <c r="BM38" s="17">
        <f>IF(ISNA(VLOOKUP(A38,'Données projet'!$A$87:$I$107,5,0)),0%,VLOOKUP(A38,'Données projet'!$A$87:$I$107,5,0)*VLOOKUP('Données projet'!$B$11,Paramètres!$A$1:$I$89,7,0))</f>
        <v>0.30099999999999999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20.623272523616603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20.623272523616603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221.48208333333338</v>
      </c>
      <c r="BW38" s="13">
        <f>VLOOKUP(A38,'Données projet'!$A$113:$I$133,9,0)</f>
        <v>9.9205000000000041</v>
      </c>
      <c r="BX38" s="13">
        <f t="array" ref="BX38">INDEX(BW:BW,MIN(IF(ISNUMBER(BW38:BW234),ROW(BW38:BW234),"")))</f>
        <v>9.9205000000000041</v>
      </c>
      <c r="BY38" s="13">
        <f>IF('Données projet'!$A$114&gt;35,BY37+BX38-CG37,IF(A38&lt;'Données projet'!$A$114,$BV$205^A38,IF(A38='Données projet'!$A$114,'Données projet'!$B$114,BY37+BX38-CG37)))</f>
        <v>221.48208333333338</v>
      </c>
      <c r="BZ38" s="14">
        <f>BY38*VLOOKUP('Données projet'!$B$12,Paramètres!$A$1:$I$89,3,0)*VLOOKUP('Données projet'!$B$12,Paramètres!$A$1:$I$89,5,0)</f>
        <v>176.21114550000004</v>
      </c>
      <c r="CA38" s="14">
        <f t="shared" si="39"/>
        <v>44.478194998326401</v>
      </c>
      <c r="CB38" s="22">
        <f t="shared" si="10"/>
        <v>384.36726803458515</v>
      </c>
      <c r="CC38" s="62">
        <f t="shared" si="11"/>
        <v>677.70060136791847</v>
      </c>
      <c r="CD38" s="62">
        <f ca="1">AVERAGE(OFFSET($CC$3,0,0,'Données projet'!$E$12+1,1))-AVERAGE(OFFSET($H$3,0,0,'Données projet'!$E$12+1,1))</f>
        <v>248.15263300983543</v>
      </c>
      <c r="CE38" s="62">
        <f t="shared" si="40"/>
        <v>266.46511459244618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36.913680555555565</v>
      </c>
      <c r="CH38" s="17">
        <f>IF(ISNA(VLOOKUP(A38,'Données projet'!$A$113:$I$133,5,0)),0%,VLOOKUP(A38,'Données projet'!$A$113:$I$133,5,0)*VLOOKUP('Données projet'!$B$12,Paramètres!$A$1:$I$89,7,0))</f>
        <v>0.371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18.5909932910007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18.5909932910007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221.48208333333338</v>
      </c>
      <c r="CR38" s="13">
        <f>VLOOKUP(A38,'Données projet'!$A$139:$I$159,9,0)</f>
        <v>9.9205000000000041</v>
      </c>
      <c r="CS38" s="13">
        <f t="array" ref="CS38">INDEX(CR:CR,MIN(IF(ISNUMBER(CR38:CR234),ROW(CR38:CR234),"")))</f>
        <v>9.9205000000000041</v>
      </c>
      <c r="CT38" s="13">
        <f>IF('Données projet'!$A$140&gt;35,CT37+CS38-DB37,IF(A38&lt;'Données projet'!$A$140,$CQ$205^A38,IF(A38='Données projet'!$A$140,'Données projet'!$B$140,CT37+CS38-DB37)))</f>
        <v>221.48208333333338</v>
      </c>
      <c r="CU38" s="18">
        <f>CT38*VLOOKUP('Données projet'!$B$13,Paramètres!$A$1:$I$89,3,0)*VLOOKUP('Données projet'!$B$13,Paramètres!$A$1:$I$89,5,0)</f>
        <v>148.57018150000002</v>
      </c>
      <c r="CV38" s="14">
        <f t="shared" si="41"/>
        <v>38.253473331298821</v>
      </c>
      <c r="CW38" s="22">
        <f t="shared" si="13"/>
        <v>325.38453216451211</v>
      </c>
      <c r="CX38" s="62">
        <f t="shared" si="14"/>
        <v>618.71786549784542</v>
      </c>
      <c r="CY38" s="62">
        <f ca="1">AVERAGE(OFFSET($CX$3,0,0,'Données projet'!$E$13+1,1))-AVERAGE(OFFSET($H$3,0,0,'Données projet'!$E$13+1,1))</f>
        <v>205.35893113421139</v>
      </c>
      <c r="CZ38" s="62">
        <f t="shared" si="42"/>
        <v>220.4399811285175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36.913680555555565</v>
      </c>
      <c r="DC38" s="17">
        <f>IF(ISNA(VLOOKUP(A38,'Données projet'!$A$139:$I$159,5,0)),0%,VLOOKUP(A38,'Données projet'!$A$139:$I$159,5,0)*VLOOKUP('Données projet'!$B$13,Paramètres!$A$1:$I$89,7,0))</f>
        <v>0.371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15.674759049275103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15.674759049275103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27</v>
      </c>
      <c r="N39" s="14">
        <f>IF('Données projet'!$A$36&gt;35,N38+M39-V38,IF(A39&lt;'Données projet'!$A$36,$K$205^A39,IF(A39='Données projet'!$A$36,'Données projet'!$B$36,N38+M39-V38)))</f>
        <v>530.99999999999989</v>
      </c>
      <c r="O39" s="14">
        <f>N39*VLOOKUP('Données projet'!$B$9,Paramètres!$A$1:$I$89,3,0)*VLOOKUP('Données projet'!$B$9,Paramètres!$A$1:$I$89,5,0)</f>
        <v>296.82899999999995</v>
      </c>
      <c r="P39" s="14">
        <f t="shared" si="33"/>
        <v>70.511289513454344</v>
      </c>
      <c r="Q39" s="22">
        <f t="shared" si="53"/>
        <v>639.78433756926631</v>
      </c>
      <c r="R39" s="62">
        <f t="shared" si="0"/>
        <v>933.11767090259968</v>
      </c>
      <c r="S39" s="62">
        <f ca="1">AVERAGE(OFFSET($R$3,0,0,'Données projet'!$E$9+1,1))-AVERAGE(OFFSET($H$3,0,0,'Données projet'!$E$9+1,1))</f>
        <v>490.96084572840579</v>
      </c>
      <c r="T39" s="62">
        <f t="shared" si="34"/>
        <v>597.91658789908263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56.745222888532858</v>
      </c>
      <c r="AA39" s="23">
        <f>EXP(-LN(2)/25)*AA38+(1-EXP(-LN(2)/25))/(LN(2)/25)*Calculateur!V39*Calculateur!X39*VLOOKUP('Données projet'!$B$9,Paramètres!$A$1:$I$89,3,0)*0.475*44/12</f>
        <v>19.276710492047169</v>
      </c>
      <c r="AB39" s="23">
        <f>EXP(-LN(2)/2)*AB38+(1-EXP(-LN(2)/2))/(LN(2)/2)*V39*Y39*VLOOKUP('Données projet'!$B$9,Paramètres!$A$1:$I$89,3,0)*0.475*44/12</f>
        <v>5.3508508501294356</v>
      </c>
      <c r="AC39" s="24">
        <f t="shared" si="3"/>
        <v>81.372784230709456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621</v>
      </c>
      <c r="AG39" s="13">
        <f>VLOOKUP(A39,'Données projet'!$A$61:$I$81,9,0)</f>
        <v>24.166666666666668</v>
      </c>
      <c r="AH39" s="13">
        <f t="array" ref="AH39">INDEX(AG:AG,MIN(IF(ISNUMBER(AG39:AG235),ROW(AG39:AG235),"")))</f>
        <v>24.166666666666668</v>
      </c>
      <c r="AI39" s="14">
        <f>IF('Données projet'!$A$62&gt;35,AI38+AH39-AQ38,IF(A39&lt;'Données projet'!$A$62,$AF$205^A39,IF(A39='Données projet'!$A$62,'Données projet'!$B$62,AI38+AH39-AQ38)))</f>
        <v>620.99999999999966</v>
      </c>
      <c r="AJ39" s="14">
        <f>AI39*VLOOKUP('Données projet'!$B$10,Paramètres!$A$1:$I$89,3,0)*VLOOKUP('Données projet'!$B$10,Paramètres!$A$1:$I$89,5,0)</f>
        <v>387.50399999999979</v>
      </c>
      <c r="AK39" s="14">
        <f t="shared" si="35"/>
        <v>89.238632444486413</v>
      </c>
      <c r="AL39" s="22">
        <f t="shared" si="4"/>
        <v>830.32675150748025</v>
      </c>
      <c r="AM39" s="62">
        <f t="shared" si="5"/>
        <v>1123.6600848408136</v>
      </c>
      <c r="AN39" s="62">
        <f ca="1">AVERAGE(OFFSET($AM$3,0,0,'Données projet'!$E$10+1,1))-AVERAGE(OFFSET($H$3,0,0,'Données projet'!$E$10+1,1))</f>
        <v>482.28841373508675</v>
      </c>
      <c r="AO39" s="62">
        <f t="shared" si="36"/>
        <v>746.97309214631684</v>
      </c>
      <c r="AP39" s="16">
        <f>IF(ISNA(VLOOKUP(A39,'Données projet'!$A$61:$I$81,3,0)),0,VLOOKUP(A39,'Données projet'!$A$61:$I$81,3,0))</f>
        <v>2</v>
      </c>
      <c r="AQ39" s="16">
        <f>IF(ISNA(VLOOKUP(A39,'Données projet'!$A$61:$I$81,4,0)),0,VLOOKUP(A39,'Données projet'!$A$61:$I$81,4,0))</f>
        <v>119</v>
      </c>
      <c r="AR39" s="17">
        <f>IF(ISNA(VLOOKUP(A39,'Données projet'!$A$61:$I$81,5,0)),0%,VLOOKUP(A39,'Données projet'!$A$61:$I$81,5,0)*VLOOKUP('Données projet'!$B$10,Paramètres!$A$1:$I$89,7,0))</f>
        <v>0.42</v>
      </c>
      <c r="AS39" s="17">
        <f>IF(ISNA(VLOOKUP(A39,'Données projet'!$A$61:$I$81,6,0)),0%,VLOOKUP(A39,'Données projet'!$A$61:$I$81,6,0)*VLOOKUP('Données projet'!$B$10,Paramètres!$A$1:$I$89,7,0))</f>
        <v>0.1008</v>
      </c>
      <c r="AT39" s="17">
        <f>IF(ISNA(VLOOKUP(A39,'Données projet'!$A$61:$I$81,7,0)),0%,VLOOKUP(A39,'Données projet'!$A$61:$I$81,7,0))</f>
        <v>0.13200000000000001</v>
      </c>
      <c r="AU39" s="23">
        <f>EXP(-LN(2)/35)*AU38+(1-EXP(-LN(2)/35))/(LN(2)/35)*AQ39*AR39*VLOOKUP('Données projet'!$B$10,Paramètres!$A$1:$I$89,3,0)*0.475*44/12</f>
        <v>74.404712011489437</v>
      </c>
      <c r="AV39" s="23">
        <f>EXP(-LN(2)/25)*AV38+(1-EXP(-LN(2)/25))/(LN(2)/25)*Calculateur!AQ39*Calculateur!AS39*VLOOKUP('Données projet'!$B$10,Paramètres!$A$1:$I$89,3,0)*0.475*44/12</f>
        <v>17.420275583823383</v>
      </c>
      <c r="AW39" s="23">
        <f>EXP(-LN(2)/2)*AW38+(1-EXP(-LN(2)/2))/(LN(2)/2)*AQ39*AT39*VLOOKUP('Données projet'!$B$10,Paramètres!$A$1:$I$89,3,0)*0.475*44/12</f>
        <v>12.34525409571711</v>
      </c>
      <c r="AX39" s="23">
        <f t="shared" si="6"/>
        <v>104.17024169102993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18</v>
      </c>
      <c r="BD39" s="13">
        <f>IF('Données projet'!$A$88&gt;35,BD38+BC39-BL38,IF(A39&lt;'Données projet'!$A$88,$BA$205^A39,IF(A39='Données projet'!$A$88,'Données projet'!$B$88,BD38+BC39-BL38)))</f>
        <v>294</v>
      </c>
      <c r="BE39" s="14">
        <f>BD39*VLOOKUP('Données projet'!$B$11,Paramètres!$A$1:$I$89,3,0)*VLOOKUP('Données projet'!$B$11,Paramètres!$A$1:$I$89,5,0)</f>
        <v>215.56079999999997</v>
      </c>
      <c r="BF39" s="14">
        <f t="shared" si="37"/>
        <v>53.14890585638225</v>
      </c>
      <c r="BG39" s="22">
        <f t="shared" si="7"/>
        <v>468.00273769986575</v>
      </c>
      <c r="BH39" s="62">
        <f t="shared" si="8"/>
        <v>761.336071033199</v>
      </c>
      <c r="BI39" s="62">
        <f ca="1">AVERAGE(OFFSET($BH$3,0,0,'Données projet'!$E$11+1,1))-AVERAGE(OFFSET($H$3,0,0,'Données projet'!$E$11+1,1))</f>
        <v>350.22629663422435</v>
      </c>
      <c r="BJ39" s="62">
        <f t="shared" si="38"/>
        <v>375.98044319336645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20.218862728382653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20.218862728382653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11.926499999999994</v>
      </c>
      <c r="BY39" s="13">
        <f>IF('Données projet'!$A$114&gt;35,BY38+BX39-CG38,IF(A39&lt;'Données projet'!$A$114,$BV$205^A39,IF(A39='Données projet'!$A$114,'Données projet'!$B$114,BY38+BX39-CG38)))</f>
        <v>196.49490277777781</v>
      </c>
      <c r="BZ39" s="14">
        <f>BY39*VLOOKUP('Données projet'!$B$12,Paramètres!$A$1:$I$89,3,0)*VLOOKUP('Données projet'!$B$12,Paramètres!$A$1:$I$89,5,0)</f>
        <v>156.33134465000003</v>
      </c>
      <c r="CA39" s="14">
        <f t="shared" si="39"/>
        <v>40.013926169964307</v>
      </c>
      <c r="CB39" s="22">
        <f t="shared" si="10"/>
        <v>341.96801334477124</v>
      </c>
      <c r="CC39" s="62">
        <f t="shared" si="11"/>
        <v>635.30134667810455</v>
      </c>
      <c r="CD39" s="62">
        <f ca="1">AVERAGE(OFFSET($CC$3,0,0,'Données projet'!$E$12+1,1))-AVERAGE(OFFSET($H$3,0,0,'Données projet'!$E$12+1,1))</f>
        <v>248.15263300983543</v>
      </c>
      <c r="CE39" s="62">
        <f t="shared" si="40"/>
        <v>266.46511459244618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18.226435251950413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18.226435251950413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11.926499999999994</v>
      </c>
      <c r="CT39" s="13">
        <f>IF('Données projet'!$A$140&gt;35,CT38+CS39-DB38,IF(A39&lt;'Données projet'!$A$140,$CQ$205^A39,IF(A39='Données projet'!$A$140,'Données projet'!$B$140,CT38+CS39-DB38)))</f>
        <v>196.49490277777781</v>
      </c>
      <c r="CU39" s="18">
        <f>CT39*VLOOKUP('Données projet'!$B$13,Paramètres!$A$1:$I$89,3,0)*VLOOKUP('Données projet'!$B$13,Paramètres!$A$1:$I$89,5,0)</f>
        <v>131.80878078333333</v>
      </c>
      <c r="CV39" s="14">
        <f t="shared" si="41"/>
        <v>34.413978752529943</v>
      </c>
      <c r="CW39" s="22">
        <f t="shared" si="13"/>
        <v>289.50463952496187</v>
      </c>
      <c r="CX39" s="62">
        <f t="shared" si="14"/>
        <v>582.83797285829519</v>
      </c>
      <c r="CY39" s="62">
        <f ca="1">AVERAGE(OFFSET($CX$3,0,0,'Données projet'!$E$13+1,1))-AVERAGE(OFFSET($H$3,0,0,'Données projet'!$E$13+1,1))</f>
        <v>205.35893113421139</v>
      </c>
      <c r="CZ39" s="62">
        <f t="shared" si="42"/>
        <v>220.4399811285175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15.367386584977801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15.367386584977801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27</v>
      </c>
      <c r="N40" s="14">
        <f>IF('Données projet'!$A$36&gt;35,N39+M40-V39,IF(A40&lt;'Données projet'!$A$36,$K$205^A40,IF(A40='Données projet'!$A$36,'Données projet'!$B$36,N39+M40-V39)))</f>
        <v>557.99999999999989</v>
      </c>
      <c r="O40" s="14">
        <f>N40*VLOOKUP('Données projet'!$B$9,Paramètres!$A$1:$I$89,3,0)*VLOOKUP('Données projet'!$B$9,Paramètres!$A$1:$I$89,5,0)</f>
        <v>311.92199999999991</v>
      </c>
      <c r="P40" s="14">
        <f t="shared" si="33"/>
        <v>73.670075764965745</v>
      </c>
      <c r="Q40" s="22">
        <f t="shared" si="53"/>
        <v>671.57286529064845</v>
      </c>
      <c r="R40" s="62">
        <f t="shared" si="0"/>
        <v>964.90619862398171</v>
      </c>
      <c r="S40" s="62">
        <f ca="1">AVERAGE(OFFSET($R$3,0,0,'Données projet'!$E$9+1,1))-AVERAGE(OFFSET($H$3,0,0,'Données projet'!$E$9+1,1))</f>
        <v>490.96084572840579</v>
      </c>
      <c r="T40" s="62">
        <f t="shared" si="34"/>
        <v>597.91658789908263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55.63248367885712</v>
      </c>
      <c r="AA40" s="23">
        <f>EXP(-LN(2)/25)*AA39+(1-EXP(-LN(2)/25))/(LN(2)/25)*Calculateur!V40*Calculateur!X40*VLOOKUP('Données projet'!$B$9,Paramètres!$A$1:$I$89,3,0)*0.475*44/12</f>
        <v>18.749587829923993</v>
      </c>
      <c r="AB40" s="23">
        <f>EXP(-LN(2)/2)*AB39+(1-EXP(-LN(2)/2))/(LN(2)/2)*V40*Y40*VLOOKUP('Données projet'!$B$9,Paramètres!$A$1:$I$89,3,0)*0.475*44/12</f>
        <v>3.7836229212443269</v>
      </c>
      <c r="AC40" s="24">
        <f t="shared" si="3"/>
        <v>78.165694430025439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18.833333333333332</v>
      </c>
      <c r="AI40" s="14">
        <f>IF('Données projet'!$A$62&gt;35,AI39+AH40-AQ39,IF(A40&lt;'Données projet'!$A$62,$AF$205^A40,IF(A40='Données projet'!$A$62,'Données projet'!$B$62,AI39+AH40-AQ39)))</f>
        <v>520.83333333333303</v>
      </c>
      <c r="AJ40" s="14">
        <f>AI40*VLOOKUP('Données projet'!$B$10,Paramètres!$A$1:$I$89,3,0)*VLOOKUP('Données projet'!$B$10,Paramètres!$A$1:$I$89,5,0)</f>
        <v>324.99999999999983</v>
      </c>
      <c r="AK40" s="14">
        <f t="shared" si="35"/>
        <v>76.392760292004922</v>
      </c>
      <c r="AL40" s="22">
        <f t="shared" si="4"/>
        <v>699.09239084190824</v>
      </c>
      <c r="AM40" s="62">
        <f t="shared" si="5"/>
        <v>992.42572417524161</v>
      </c>
      <c r="AN40" s="62">
        <f ca="1">AVERAGE(OFFSET($AM$3,0,0,'Données projet'!$E$10+1,1))-AVERAGE(OFFSET($H$3,0,0,'Données projet'!$E$10+1,1))</f>
        <v>482.28841373508675</v>
      </c>
      <c r="AO40" s="62">
        <f t="shared" si="36"/>
        <v>746.97309214631684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72.945680991337312</v>
      </c>
      <c r="AV40" s="23">
        <f>EXP(-LN(2)/25)*AV39+(1-EXP(-LN(2)/25))/(LN(2)/25)*Calculateur!AQ40*Calculateur!AS40*VLOOKUP('Données projet'!$B$10,Paramètres!$A$1:$I$89,3,0)*0.475*44/12</f>
        <v>16.943917231891255</v>
      </c>
      <c r="AW40" s="23">
        <f>EXP(-LN(2)/2)*AW39+(1-EXP(-LN(2)/2))/(LN(2)/2)*AQ40*AT40*VLOOKUP('Données projet'!$B$10,Paramètres!$A$1:$I$89,3,0)*0.475*44/12</f>
        <v>8.7294128865525682</v>
      </c>
      <c r="AX40" s="23">
        <f t="shared" si="6"/>
        <v>98.619011109781141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18</v>
      </c>
      <c r="BD40" s="13">
        <f>IF('Données projet'!$A$88&gt;35,BD39+BC40-BL39,IF(A40&lt;'Données projet'!$A$88,$BA$205^A40,IF(A40='Données projet'!$A$88,'Données projet'!$B$88,BD39+BC40-BL39)))</f>
        <v>312</v>
      </c>
      <c r="BE40" s="14">
        <f>BD40*VLOOKUP('Données projet'!$B$11,Paramètres!$A$1:$I$89,3,0)*VLOOKUP('Données projet'!$B$11,Paramètres!$A$1:$I$89,5,0)</f>
        <v>228.75839999999999</v>
      </c>
      <c r="BF40" s="14">
        <f t="shared" si="37"/>
        <v>56.014134067241017</v>
      </c>
      <c r="BG40" s="22">
        <f t="shared" si="7"/>
        <v>495.97883016711143</v>
      </c>
      <c r="BH40" s="62">
        <f t="shared" si="8"/>
        <v>789.31216350044474</v>
      </c>
      <c r="BI40" s="62">
        <f ca="1">AVERAGE(OFFSET($BH$3,0,0,'Données projet'!$E$11+1,1))-AVERAGE(OFFSET($H$3,0,0,'Données projet'!$E$11+1,1))</f>
        <v>350.22629663422435</v>
      </c>
      <c r="BJ40" s="62">
        <f t="shared" si="38"/>
        <v>375.98044319336645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19.822383162567622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19.822383162567622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11.926499999999994</v>
      </c>
      <c r="BY40" s="13">
        <f>IF('Données projet'!$A$114&gt;35,BY39+BX40-CG39,IF(A40&lt;'Données projet'!$A$114,$BV$205^A40,IF(A40='Données projet'!$A$114,'Données projet'!$B$114,BY39+BX40-CG39)))</f>
        <v>208.42140277777781</v>
      </c>
      <c r="BZ40" s="14">
        <f>BY40*VLOOKUP('Données projet'!$B$12,Paramètres!$A$1:$I$89,3,0)*VLOOKUP('Données projet'!$B$12,Paramètres!$A$1:$I$89,5,0)</f>
        <v>165.82006805000003</v>
      </c>
      <c r="CA40" s="14">
        <f t="shared" si="39"/>
        <v>42.152505792473761</v>
      </c>
      <c r="CB40" s="22">
        <f t="shared" si="10"/>
        <v>362.21889944230844</v>
      </c>
      <c r="CC40" s="62">
        <f t="shared" si="11"/>
        <v>655.55223277564176</v>
      </c>
      <c r="CD40" s="62">
        <f ca="1">AVERAGE(OFFSET($CC$3,0,0,'Données projet'!$E$12+1,1))-AVERAGE(OFFSET($H$3,0,0,'Données projet'!$E$12+1,1))</f>
        <v>248.15263300983543</v>
      </c>
      <c r="CE40" s="62">
        <f t="shared" si="40"/>
        <v>266.46511459244618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17.869025973687453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17.869025973687453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11.926499999999994</v>
      </c>
      <c r="CT40" s="13">
        <f>IF('Données projet'!$A$140&gt;35,CT39+CS40-DB39,IF(A40&lt;'Données projet'!$A$140,$CQ$205^A40,IF(A40='Données projet'!$A$140,'Données projet'!$B$140,CT39+CS40-DB39)))</f>
        <v>208.42140277777781</v>
      </c>
      <c r="CU40" s="18">
        <f>CT40*VLOOKUP('Données projet'!$B$13,Paramètres!$A$1:$I$89,3,0)*VLOOKUP('Données projet'!$B$13,Paramètres!$A$1:$I$89,5,0)</f>
        <v>139.80907698333337</v>
      </c>
      <c r="CV40" s="14">
        <f t="shared" si="41"/>
        <v>36.253264239713168</v>
      </c>
      <c r="CW40" s="22">
        <f t="shared" si="13"/>
        <v>306.6419109634727</v>
      </c>
      <c r="CX40" s="62">
        <f t="shared" si="14"/>
        <v>599.97524429680607</v>
      </c>
      <c r="CY40" s="62">
        <f ca="1">AVERAGE(OFFSET($CX$3,0,0,'Données projet'!$E$13+1,1))-AVERAGE(OFFSET($H$3,0,0,'Données projet'!$E$13+1,1))</f>
        <v>205.35893113421139</v>
      </c>
      <c r="CZ40" s="62">
        <f t="shared" si="42"/>
        <v>220.4399811285175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15.066041507226679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15.066041507226679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27</v>
      </c>
      <c r="N41" s="14">
        <f>IF('Données projet'!$A$36&gt;35,N40+M41-V40,IF(A41&lt;'Données projet'!$A$36,$K$205^A41,IF(A41='Données projet'!$A$36,'Données projet'!$B$36,N40+M41-V40)))</f>
        <v>584.99999999999989</v>
      </c>
      <c r="O41" s="14">
        <f>N41*VLOOKUP('Données projet'!$B$9,Paramètres!$A$1:$I$89,3,0)*VLOOKUP('Données projet'!$B$9,Paramètres!$A$1:$I$89,5,0)</f>
        <v>327.01499999999993</v>
      </c>
      <c r="P41" s="14">
        <f t="shared" si="33"/>
        <v>76.811113612871907</v>
      </c>
      <c r="Q41" s="22">
        <f t="shared" si="53"/>
        <v>703.33048120908506</v>
      </c>
      <c r="R41" s="62">
        <f t="shared" si="0"/>
        <v>996.66381454241832</v>
      </c>
      <c r="S41" s="62">
        <f ca="1">AVERAGE(OFFSET($R$3,0,0,'Données projet'!$E$9+1,1))-AVERAGE(OFFSET($H$3,0,0,'Données projet'!$E$9+1,1))</f>
        <v>490.96084572840579</v>
      </c>
      <c r="T41" s="62">
        <f t="shared" si="34"/>
        <v>597.91658789908263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54.541564606379225</v>
      </c>
      <c r="AA41" s="23">
        <f>EXP(-LN(2)/25)*AA40+(1-EXP(-LN(2)/25))/(LN(2)/25)*Calculateur!V41*Calculateur!X41*VLOOKUP('Données projet'!$B$9,Paramètres!$A$1:$I$89,3,0)*0.475*44/12</f>
        <v>18.236879364716749</v>
      </c>
      <c r="AB41" s="23">
        <f>EXP(-LN(2)/2)*AB40+(1-EXP(-LN(2)/2))/(LN(2)/2)*V41*Y41*VLOOKUP('Données projet'!$B$9,Paramètres!$A$1:$I$89,3,0)*0.475*44/12</f>
        <v>2.6754254250647183</v>
      </c>
      <c r="AC41" s="24">
        <f t="shared" si="3"/>
        <v>75.453869396160698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18.833333333333332</v>
      </c>
      <c r="AI41" s="14">
        <f>IF('Données projet'!$A$62&gt;35,AI40+AH41-AQ40,IF(A41&lt;'Données projet'!$A$62,$AF$205^A41,IF(A41='Données projet'!$A$62,'Données projet'!$B$62,AI40+AH41-AQ40)))</f>
        <v>539.6666666666664</v>
      </c>
      <c r="AJ41" s="14">
        <f>AI41*VLOOKUP('Données projet'!$B$10,Paramètres!$A$1:$I$89,3,0)*VLOOKUP('Données projet'!$B$10,Paramètres!$A$1:$I$89,5,0)</f>
        <v>336.75199999999984</v>
      </c>
      <c r="AK41" s="14">
        <f t="shared" si="35"/>
        <v>78.828514629228664</v>
      </c>
      <c r="AL41" s="22">
        <f t="shared" si="4"/>
        <v>723.80272964590631</v>
      </c>
      <c r="AM41" s="62">
        <f t="shared" si="5"/>
        <v>1017.1360629792396</v>
      </c>
      <c r="AN41" s="62">
        <f ca="1">AVERAGE(OFFSET($AM$3,0,0,'Données projet'!$E$10+1,1))-AVERAGE(OFFSET($H$3,0,0,'Données projet'!$E$10+1,1))</f>
        <v>482.28841373508675</v>
      </c>
      <c r="AO41" s="62">
        <f t="shared" si="36"/>
        <v>746.97309214631684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71.515260679569323</v>
      </c>
      <c r="AV41" s="23">
        <f>EXP(-LN(2)/25)*AV40+(1-EXP(-LN(2)/25))/(LN(2)/25)*Calculateur!AQ41*Calculateur!AS41*VLOOKUP('Données projet'!$B$10,Paramètres!$A$1:$I$89,3,0)*0.475*44/12</f>
        <v>16.480584924143308</v>
      </c>
      <c r="AW41" s="23">
        <f>EXP(-LN(2)/2)*AW40+(1-EXP(-LN(2)/2))/(LN(2)/2)*AQ41*AT41*VLOOKUP('Données projet'!$B$10,Paramètres!$A$1:$I$89,3,0)*0.475*44/12</f>
        <v>6.1726270478585556</v>
      </c>
      <c r="AX41" s="23">
        <f t="shared" si="6"/>
        <v>94.168472651571193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18</v>
      </c>
      <c r="BD41" s="13">
        <f>IF('Données projet'!$A$88&gt;35,BD40+BC41-BL40,IF(A41&lt;'Données projet'!$A$88,$BA$205^A41,IF(A41='Données projet'!$A$88,'Données projet'!$B$88,BD40+BC41-BL40)))</f>
        <v>330</v>
      </c>
      <c r="BE41" s="14">
        <f>BD41*VLOOKUP('Données projet'!$B$11,Paramètres!$A$1:$I$89,3,0)*VLOOKUP('Données projet'!$B$11,Paramètres!$A$1:$I$89,5,0)</f>
        <v>241.95599999999999</v>
      </c>
      <c r="BF41" s="14">
        <f t="shared" si="37"/>
        <v>58.860174395053612</v>
      </c>
      <c r="BG41" s="22">
        <f t="shared" si="7"/>
        <v>523.92150373805168</v>
      </c>
      <c r="BH41" s="62">
        <f t="shared" si="8"/>
        <v>817.25483707138505</v>
      </c>
      <c r="BI41" s="62">
        <f ca="1">AVERAGE(OFFSET($BH$3,0,0,'Données projet'!$E$11+1,1))-AVERAGE(OFFSET($H$3,0,0,'Données projet'!$E$11+1,1))</f>
        <v>350.22629663422435</v>
      </c>
      <c r="BJ41" s="62">
        <f t="shared" si="38"/>
        <v>375.98044319336645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19.433678319209566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19.433678319209566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11.926499999999994</v>
      </c>
      <c r="BY41" s="13">
        <f>IF('Données projet'!$A$114&gt;35,BY40+BX41-CG40,IF(A41&lt;'Données projet'!$A$114,$BV$205^A41,IF(A41='Données projet'!$A$114,'Données projet'!$B$114,BY40+BX41-CG40)))</f>
        <v>220.34790277777782</v>
      </c>
      <c r="BZ41" s="14">
        <f>BY41*VLOOKUP('Données projet'!$B$12,Paramètres!$A$1:$I$89,3,0)*VLOOKUP('Données projet'!$B$12,Paramètres!$A$1:$I$89,5,0)</f>
        <v>175.30879145000003</v>
      </c>
      <c r="CA41" s="14">
        <f t="shared" si="39"/>
        <v>44.276880004589124</v>
      </c>
      <c r="CB41" s="22">
        <f t="shared" si="10"/>
        <v>382.44504445007607</v>
      </c>
      <c r="CC41" s="62">
        <f t="shared" si="11"/>
        <v>675.77837778340938</v>
      </c>
      <c r="CD41" s="62">
        <f ca="1">AVERAGE(OFFSET($CC$3,0,0,'Données projet'!$E$12+1,1))-AVERAGE(OFFSET($H$3,0,0,'Données projet'!$E$12+1,1))</f>
        <v>248.15263300983543</v>
      </c>
      <c r="CE41" s="62">
        <f t="shared" si="40"/>
        <v>266.46511459244618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17.518625273373097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17.518625273373097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11.926499999999994</v>
      </c>
      <c r="CT41" s="13">
        <f>IF('Données projet'!$A$140&gt;35,CT40+CS41-DB40,IF(A41&lt;'Données projet'!$A$140,$CQ$205^A41,IF(A41='Données projet'!$A$140,'Données projet'!$B$140,CT40+CS41-DB40)))</f>
        <v>220.34790277777782</v>
      </c>
      <c r="CU41" s="18">
        <f>CT41*VLOOKUP('Données projet'!$B$13,Paramètres!$A$1:$I$89,3,0)*VLOOKUP('Données projet'!$B$13,Paramètres!$A$1:$I$89,5,0)</f>
        <v>147.80937318333335</v>
      </c>
      <c r="CV41" s="14">
        <f t="shared" si="41"/>
        <v>38.080332363136577</v>
      </c>
      <c r="CW41" s="22">
        <f t="shared" si="13"/>
        <v>323.75790382676848</v>
      </c>
      <c r="CX41" s="62">
        <f t="shared" si="14"/>
        <v>617.09123716010185</v>
      </c>
      <c r="CY41" s="62">
        <f ca="1">AVERAGE(OFFSET($CX$3,0,0,'Données projet'!$E$13+1,1))-AVERAGE(OFFSET($H$3,0,0,'Données projet'!$E$13+1,1))</f>
        <v>205.35893113421139</v>
      </c>
      <c r="CZ41" s="62">
        <f t="shared" si="42"/>
        <v>220.4399811285175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14.770605622647906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14.770605622647906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27</v>
      </c>
      <c r="N42" s="14">
        <f>IF('Données projet'!$A$36&gt;35,N41+M42-V41,IF(A42&lt;'Données projet'!$A$36,$K$205^A42,IF(A42='Données projet'!$A$36,'Données projet'!$B$36,N41+M42-V41)))</f>
        <v>611.99999999999989</v>
      </c>
      <c r="O42" s="14">
        <f>N42*VLOOKUP('Données projet'!$B$9,Paramètres!$A$1:$I$89,3,0)*VLOOKUP('Données projet'!$B$9,Paramètres!$A$1:$I$89,5,0)</f>
        <v>342.10799999999995</v>
      </c>
      <c r="P42" s="14">
        <f t="shared" si="33"/>
        <v>79.935315774430151</v>
      </c>
      <c r="Q42" s="22">
        <f t="shared" si="53"/>
        <v>735.0587749737989</v>
      </c>
      <c r="R42" s="62">
        <f t="shared" si="0"/>
        <v>1028.3921083071323</v>
      </c>
      <c r="S42" s="62">
        <f ca="1">AVERAGE(OFFSET($R$3,0,0,'Données projet'!$E$9+1,1))-AVERAGE(OFFSET($H$3,0,0,'Données projet'!$E$9+1,1))</f>
        <v>490.96084572840579</v>
      </c>
      <c r="T42" s="62">
        <f t="shared" si="34"/>
        <v>597.91658789908263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53.472037791517685</v>
      </c>
      <c r="AA42" s="23">
        <f>EXP(-LN(2)/25)*AA41+(1-EXP(-LN(2)/25))/(LN(2)/25)*Calculateur!V42*Calculateur!X42*VLOOKUP('Données projet'!$B$9,Paramètres!$A$1:$I$89,3,0)*0.475*44/12</f>
        <v>17.738190939452764</v>
      </c>
      <c r="AB42" s="23">
        <f>EXP(-LN(2)/2)*AB41+(1-EXP(-LN(2)/2))/(LN(2)/2)*V42*Y42*VLOOKUP('Données projet'!$B$9,Paramètres!$A$1:$I$89,3,0)*0.475*44/12</f>
        <v>1.8918114606221637</v>
      </c>
      <c r="AC42" s="24">
        <f t="shared" si="3"/>
        <v>73.102040191592607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18.833333333333332</v>
      </c>
      <c r="AI42" s="14">
        <f>IF('Données projet'!$A$62&gt;35,AI41+AH42-AQ41,IF(A42&lt;'Données projet'!$A$62,$AF$205^A42,IF(A42='Données projet'!$A$62,'Données projet'!$B$62,AI41+AH42-AQ41)))</f>
        <v>558.49999999999977</v>
      </c>
      <c r="AJ42" s="14">
        <f>AI42*VLOOKUP('Données projet'!$B$10,Paramètres!$A$1:$I$89,3,0)*VLOOKUP('Données projet'!$B$10,Paramètres!$A$1:$I$89,5,0)</f>
        <v>348.50399999999985</v>
      </c>
      <c r="AK42" s="14">
        <f t="shared" si="35"/>
        <v>81.254392549593788</v>
      </c>
      <c r="AL42" s="22">
        <f t="shared" si="4"/>
        <v>748.49586702387558</v>
      </c>
      <c r="AM42" s="62">
        <f t="shared" si="5"/>
        <v>1041.8292003572089</v>
      </c>
      <c r="AN42" s="62">
        <f ca="1">AVERAGE(OFFSET($AM$3,0,0,'Données projet'!$E$10+1,1))-AVERAGE(OFFSET($H$3,0,0,'Données projet'!$E$10+1,1))</f>
        <v>482.28841373508675</v>
      </c>
      <c r="AO42" s="62">
        <f t="shared" si="36"/>
        <v>746.97309214631684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70.11289003764486</v>
      </c>
      <c r="AV42" s="23">
        <f>EXP(-LN(2)/25)*AV41+(1-EXP(-LN(2)/25))/(LN(2)/25)*Calculateur!AQ42*Calculateur!AS42*VLOOKUP('Données projet'!$B$10,Paramètres!$A$1:$I$89,3,0)*0.475*44/12</f>
        <v>16.029922462716314</v>
      </c>
      <c r="AW42" s="23">
        <f>EXP(-LN(2)/2)*AW41+(1-EXP(-LN(2)/2))/(LN(2)/2)*AQ42*AT42*VLOOKUP('Données projet'!$B$10,Paramètres!$A$1:$I$89,3,0)*0.475*44/12</f>
        <v>4.364706443276285</v>
      </c>
      <c r="AX42" s="23">
        <f t="shared" si="6"/>
        <v>90.507518943637464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18</v>
      </c>
      <c r="BD42" s="13">
        <f>IF('Données projet'!$A$88&gt;35,BD41+BC42-BL41,IF(A42&lt;'Données projet'!$A$88,$BA$205^A42,IF(A42='Données projet'!$A$88,'Données projet'!$B$88,BD41+BC42-BL41)))</f>
        <v>348</v>
      </c>
      <c r="BE42" s="14">
        <f>BD42*VLOOKUP('Données projet'!$B$11,Paramètres!$A$1:$I$89,3,0)*VLOOKUP('Données projet'!$B$11,Paramètres!$A$1:$I$89,5,0)</f>
        <v>255.15360000000001</v>
      </c>
      <c r="BF42" s="14">
        <f t="shared" si="37"/>
        <v>61.688192762754426</v>
      </c>
      <c r="BG42" s="22">
        <f t="shared" si="7"/>
        <v>551.83278906179726</v>
      </c>
      <c r="BH42" s="62">
        <f t="shared" si="8"/>
        <v>845.16612239513051</v>
      </c>
      <c r="BI42" s="62">
        <f ca="1">AVERAGE(OFFSET($BH$3,0,0,'Données projet'!$E$11+1,1))-AVERAGE(OFFSET($H$3,0,0,'Données projet'!$E$11+1,1))</f>
        <v>350.22629663422435</v>
      </c>
      <c r="BJ42" s="62">
        <f t="shared" si="38"/>
        <v>375.98044319336645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19.052595740743218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19.052595740743218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11.926499999999994</v>
      </c>
      <c r="BY42" s="13">
        <f>IF('Données projet'!$A$114&gt;35,BY41+BX42-CG41,IF(A42&lt;'Données projet'!$A$114,$BV$205^A42,IF(A42='Données projet'!$A$114,'Données projet'!$B$114,BY41+BX42-CG41)))</f>
        <v>232.27440277777782</v>
      </c>
      <c r="BZ42" s="14">
        <f>BY42*VLOOKUP('Données projet'!$B$12,Paramètres!$A$1:$I$89,3,0)*VLOOKUP('Données projet'!$B$12,Paramètres!$A$1:$I$89,5,0)</f>
        <v>184.79751485000006</v>
      </c>
      <c r="CA42" s="14">
        <f t="shared" si="39"/>
        <v>46.387905342684419</v>
      </c>
      <c r="CB42" s="22">
        <f t="shared" si="10"/>
        <v>402.64794016892546</v>
      </c>
      <c r="CC42" s="62">
        <f t="shared" si="11"/>
        <v>695.98127350225877</v>
      </c>
      <c r="CD42" s="62">
        <f ca="1">AVERAGE(OFFSET($CC$3,0,0,'Données projet'!$E$12+1,1))-AVERAGE(OFFSET($H$3,0,0,'Données projet'!$E$12+1,1))</f>
        <v>248.15263300983543</v>
      </c>
      <c r="CE42" s="62">
        <f t="shared" si="40"/>
        <v>266.46511459244618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17.175095717068579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17.175095717068579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11.926499999999994</v>
      </c>
      <c r="CT42" s="13">
        <f>IF('Données projet'!$A$140&gt;35,CT41+CS42-DB41,IF(A42&lt;'Données projet'!$A$140,$CQ$205^A42,IF(A42='Données projet'!$A$140,'Données projet'!$B$140,CT41+CS42-DB41)))</f>
        <v>232.27440277777782</v>
      </c>
      <c r="CU42" s="18">
        <f>CT42*VLOOKUP('Données projet'!$B$13,Paramètres!$A$1:$I$89,3,0)*VLOOKUP('Données projet'!$B$13,Paramètres!$A$1:$I$89,5,0)</f>
        <v>155.80966938333336</v>
      </c>
      <c r="CV42" s="14">
        <f t="shared" si="41"/>
        <v>39.895919786941981</v>
      </c>
      <c r="CW42" s="22">
        <f t="shared" si="13"/>
        <v>340.85390113822956</v>
      </c>
      <c r="CX42" s="62">
        <f t="shared" si="14"/>
        <v>634.18723447156287</v>
      </c>
      <c r="CY42" s="62">
        <f ca="1">AVERAGE(OFFSET($CX$3,0,0,'Données projet'!$E$13+1,1))-AVERAGE(OFFSET($H$3,0,0,'Données projet'!$E$13+1,1))</f>
        <v>205.35893113421139</v>
      </c>
      <c r="CZ42" s="62">
        <f t="shared" si="42"/>
        <v>220.4399811285175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14.480963055567628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14.480963055567628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639</v>
      </c>
      <c r="L43" s="13">
        <f>VLOOKUP(A43,'Données projet'!$A$35:$I$55,9,0)</f>
        <v>27</v>
      </c>
      <c r="M43" s="13">
        <f t="array" ref="M43">INDEX(L:L,MIN(IF(ISNUMBER(L43:L239),ROW(L43:L239),"")))</f>
        <v>27</v>
      </c>
      <c r="N43" s="14">
        <f>IF('Données projet'!$A$36&gt;35,N42+M43-V42,IF(A43&lt;'Données projet'!$A$36,$K$205^A43,IF(A43='Données projet'!$A$36,'Données projet'!$B$36,N42+M43-V42)))</f>
        <v>638.99999999999989</v>
      </c>
      <c r="O43" s="14">
        <f>N43*VLOOKUP('Données projet'!$B$9,Paramètres!$A$1:$I$89,3,0)*VLOOKUP('Données projet'!$B$9,Paramètres!$A$1:$I$89,5,0)</f>
        <v>357.20099999999991</v>
      </c>
      <c r="P43" s="14">
        <f t="shared" si="33"/>
        <v>83.043509879488369</v>
      </c>
      <c r="Q43" s="22">
        <f t="shared" si="53"/>
        <v>766.75918804010871</v>
      </c>
      <c r="R43" s="62">
        <f t="shared" si="0"/>
        <v>1060.092521373442</v>
      </c>
      <c r="S43" s="62">
        <f ca="1">AVERAGE(OFFSET($R$3,0,0,'Données projet'!$E$9+1,1))-AVERAGE(OFFSET($H$3,0,0,'Données projet'!$E$9+1,1))</f>
        <v>490.96084572840579</v>
      </c>
      <c r="T43" s="62">
        <f t="shared" si="34"/>
        <v>597.91658789908263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77</v>
      </c>
      <c r="W43" s="17">
        <f>IF(ISNA(VLOOKUP(A43,'Données projet'!$A$35:$I$55,5,0)),0%,VLOOKUP(A43,'Données projet'!$A$35:$I$55,5,0)*VLOOKUP('Données projet'!$B$9,Paramètres!$A$1:$I$89,7,0))</f>
        <v>0.38500000000000001</v>
      </c>
      <c r="X43" s="17">
        <f>IF(ISNA(VLOOKUP(A43,'Données projet'!$A$35:$I$55,6,0)),0%,VLOOKUP(A43,'Données projet'!$A$35:$I$55,6,0)*VLOOKUP('Données projet'!$B$9,Paramètres!$A$1:$I$89,7,0))</f>
        <v>9.240000000000001E-2</v>
      </c>
      <c r="Y43" s="17">
        <f>IF(ISNA(VLOOKUP(A43,'Données projet'!$A$35:$I$55,7,0)),0%,VLOOKUP(A43,'Données projet'!$A$35:$I$55,7,0))</f>
        <v>0.13200000000000001</v>
      </c>
      <c r="Z43" s="23">
        <f>EXP(-LN(2)/35)*Z42+(1-EXP(-LN(2)/35))/(LN(2)/35)*V43*W43*VLOOKUP('Données projet'!$B$9,Paramètres!$A$1:$I$89,3,0)*0.475*44/12</f>
        <v>74.406719579510025</v>
      </c>
      <c r="AA43" s="23">
        <f>EXP(-LN(2)/25)*AA42+(1-EXP(-LN(2)/25))/(LN(2)/25)*Calculateur!V43*Calculateur!X43*VLOOKUP('Données projet'!$B$9,Paramètres!$A$1:$I$89,3,0)*0.475*44/12</f>
        <v>22.508342245469382</v>
      </c>
      <c r="AB43" s="23">
        <f>EXP(-LN(2)/2)*AB42+(1-EXP(-LN(2)/2))/(LN(2)/2)*V43*Y43*VLOOKUP('Données projet'!$B$9,Paramètres!$A$1:$I$89,3,0)*0.475*44/12</f>
        <v>7.7706897838133386</v>
      </c>
      <c r="AC43" s="24">
        <f t="shared" si="3"/>
        <v>104.68575160879274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18.833333333333332</v>
      </c>
      <c r="AI43" s="14">
        <f>IF('Données projet'!$A$62&gt;35,AI42+AH43-AQ42,IF(A43&lt;'Données projet'!$A$62,$AF$205^A43,IF(A43='Données projet'!$A$62,'Données projet'!$B$62,AI42+AH43-AQ42)))</f>
        <v>577.33333333333314</v>
      </c>
      <c r="AJ43" s="14">
        <f>AI43*VLOOKUP('Données projet'!$B$10,Paramètres!$A$1:$I$89,3,0)*VLOOKUP('Données projet'!$B$10,Paramètres!$A$1:$I$89,5,0)</f>
        <v>360.25599999999986</v>
      </c>
      <c r="AK43" s="14">
        <f t="shared" si="35"/>
        <v>83.670765279147787</v>
      </c>
      <c r="AL43" s="22">
        <f t="shared" si="4"/>
        <v>773.1724495278487</v>
      </c>
      <c r="AM43" s="62">
        <f t="shared" si="5"/>
        <v>1066.5057828611821</v>
      </c>
      <c r="AN43" s="62">
        <f ca="1">AVERAGE(OFFSET($AM$3,0,0,'Données projet'!$E$10+1,1))-AVERAGE(OFFSET($H$3,0,0,'Données projet'!$E$10+1,1))</f>
        <v>482.28841373508675</v>
      </c>
      <c r="AO43" s="62">
        <f t="shared" si="36"/>
        <v>746.97309214631684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68.738019028646903</v>
      </c>
      <c r="AV43" s="23">
        <f>EXP(-LN(2)/25)*AV42+(1-EXP(-LN(2)/25))/(LN(2)/25)*Calculateur!AQ43*Calculateur!AS43*VLOOKUP('Données projet'!$B$10,Paramètres!$A$1:$I$89,3,0)*0.475*44/12</f>
        <v>15.591583389996352</v>
      </c>
      <c r="AW43" s="23">
        <f>EXP(-LN(2)/2)*AW42+(1-EXP(-LN(2)/2))/(LN(2)/2)*AQ43*AT43*VLOOKUP('Données projet'!$B$10,Paramètres!$A$1:$I$89,3,0)*0.475*44/12</f>
        <v>3.0863135239292783</v>
      </c>
      <c r="AX43" s="23">
        <f t="shared" si="6"/>
        <v>87.415915942572525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18</v>
      </c>
      <c r="BD43" s="13">
        <f>IF('Données projet'!$A$88&gt;35,BD42+BC43-BL42,IF(A43&lt;'Données projet'!$A$88,$BA$205^A43,IF(A43='Données projet'!$A$88,'Données projet'!$B$88,BD42+BC43-BL42)))</f>
        <v>366</v>
      </c>
      <c r="BE43" s="14">
        <f>BD43*VLOOKUP('Données projet'!$B$11,Paramètres!$A$1:$I$89,3,0)*VLOOKUP('Données projet'!$B$11,Paramètres!$A$1:$I$89,5,0)</f>
        <v>268.35120000000001</v>
      </c>
      <c r="BF43" s="14">
        <f t="shared" si="37"/>
        <v>64.499227668096125</v>
      </c>
      <c r="BG43" s="22">
        <f t="shared" si="7"/>
        <v>579.71449485526739</v>
      </c>
      <c r="BH43" s="62">
        <f t="shared" si="8"/>
        <v>873.04782818860076</v>
      </c>
      <c r="BI43" s="62">
        <f ca="1">AVERAGE(OFFSET($BH$3,0,0,'Données projet'!$E$11+1,1))-AVERAGE(OFFSET($H$3,0,0,'Données projet'!$E$11+1,1))</f>
        <v>350.22629663422435</v>
      </c>
      <c r="BJ43" s="62">
        <f t="shared" si="38"/>
        <v>375.98044319336645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18.678985959203175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18.678985959203175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11.926499999999994</v>
      </c>
      <c r="BY43" s="13">
        <f>IF('Données projet'!$A$114&gt;35,BY42+BX43-CG42,IF(A43&lt;'Données projet'!$A$114,$BV$205^A43,IF(A43='Données projet'!$A$114,'Données projet'!$B$114,BY42+BX43-CG42)))</f>
        <v>244.20090277777783</v>
      </c>
      <c r="BZ43" s="14">
        <f>BY43*VLOOKUP('Données projet'!$B$12,Paramètres!$A$1:$I$89,3,0)*VLOOKUP('Données projet'!$B$12,Paramètres!$A$1:$I$89,5,0)</f>
        <v>194.28623825000005</v>
      </c>
      <c r="CA43" s="14">
        <f t="shared" si="39"/>
        <v>48.486345414370014</v>
      </c>
      <c r="CB43" s="22">
        <f t="shared" si="10"/>
        <v>422.8289165487779</v>
      </c>
      <c r="CC43" s="62">
        <f t="shared" si="11"/>
        <v>716.16224988211115</v>
      </c>
      <c r="CD43" s="62">
        <f ca="1">AVERAGE(OFFSET($CC$3,0,0,'Données projet'!$E$12+1,1))-AVERAGE(OFFSET($H$3,0,0,'Données projet'!$E$12+1,1))</f>
        <v>248.15263300983543</v>
      </c>
      <c r="CE43" s="62">
        <f t="shared" si="40"/>
        <v>266.46511459244618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16.838302565830855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16.838302565830855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11.926499999999994</v>
      </c>
      <c r="CT43" s="13">
        <f>IF('Données projet'!$A$140&gt;35,CT42+CS43-DB42,IF(A43&lt;'Données projet'!$A$140,$CQ$205^A43,IF(A43='Données projet'!$A$140,'Données projet'!$B$140,CT42+CS43-DB42)))</f>
        <v>244.20090277777783</v>
      </c>
      <c r="CU43" s="18">
        <f>CT43*VLOOKUP('Données projet'!$B$13,Paramètres!$A$1:$I$89,3,0)*VLOOKUP('Données projet'!$B$13,Paramètres!$A$1:$I$89,5,0)</f>
        <v>163.80996558333337</v>
      </c>
      <c r="CV43" s="14">
        <f t="shared" si="41"/>
        <v>41.700683251884172</v>
      </c>
      <c r="CW43" s="22">
        <f t="shared" si="13"/>
        <v>357.93104672133722</v>
      </c>
      <c r="CX43" s="62">
        <f t="shared" si="14"/>
        <v>651.26438005467048</v>
      </c>
      <c r="CY43" s="62">
        <f ca="1">AVERAGE(OFFSET($CX$3,0,0,'Données projet'!$E$13+1,1))-AVERAGE(OFFSET($H$3,0,0,'Données projet'!$E$13+1,1))</f>
        <v>205.35893113421139</v>
      </c>
      <c r="CZ43" s="62">
        <f t="shared" si="42"/>
        <v>220.4399811285175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14.197000202563272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14.197000202563272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24.8</v>
      </c>
      <c r="N44" s="14">
        <f>IF('Données projet'!$A$36&gt;35,N43+M44-V43,IF(A44&lt;'Données projet'!$A$36,$K$205^A44,IF(A44='Données projet'!$A$36,'Données projet'!$B$36,N43+M44-V43)))</f>
        <v>586.79999999999984</v>
      </c>
      <c r="O44" s="14">
        <f>N44*VLOOKUP('Données projet'!$B$9,Paramètres!$A$1:$I$89,3,0)*VLOOKUP('Données projet'!$B$9,Paramètres!$A$1:$I$89,5,0)</f>
        <v>328.02119999999991</v>
      </c>
      <c r="P44" s="14">
        <f t="shared" si="33"/>
        <v>77.019907950957702</v>
      </c>
      <c r="Q44" s="22">
        <f t="shared" si="53"/>
        <v>705.44659634791776</v>
      </c>
      <c r="R44" s="62">
        <f t="shared" si="0"/>
        <v>998.77992968125113</v>
      </c>
      <c r="S44" s="62">
        <f ca="1">AVERAGE(OFFSET($R$3,0,0,'Données projet'!$E$9+1,1))-AVERAGE(OFFSET($H$3,0,0,'Données projet'!$E$9+1,1))</f>
        <v>490.96084572840579</v>
      </c>
      <c r="T44" s="62">
        <f t="shared" si="34"/>
        <v>597.91658789908263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72.947649192173515</v>
      </c>
      <c r="AA44" s="23">
        <f>EXP(-LN(2)/25)*AA43+(1-EXP(-LN(2)/25))/(LN(2)/25)*Calculateur!V44*Calculateur!X44*VLOOKUP('Données projet'!$B$9,Paramètres!$A$1:$I$89,3,0)*0.475*44/12</f>
        <v>21.892850443104749</v>
      </c>
      <c r="AB44" s="23">
        <f>EXP(-LN(2)/2)*AB43+(1-EXP(-LN(2)/2))/(LN(2)/2)*V44*Y44*VLOOKUP('Données projet'!$B$9,Paramètres!$A$1:$I$89,3,0)*0.475*44/12</f>
        <v>5.4947074406314389</v>
      </c>
      <c r="AC44" s="24">
        <f t="shared" si="3"/>
        <v>100.33520707590971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18.833333333333332</v>
      </c>
      <c r="AI44" s="14">
        <f>IF('Données projet'!$A$62&gt;35,AI43+AH44-AQ43,IF(A44&lt;'Données projet'!$A$62,$AF$205^A44,IF(A44='Données projet'!$A$62,'Données projet'!$B$62,AI43+AH44-AQ43)))</f>
        <v>596.16666666666652</v>
      </c>
      <c r="AJ44" s="14">
        <f>AI44*VLOOKUP('Données projet'!$B$10,Paramètres!$A$1:$I$89,3,0)*VLOOKUP('Données projet'!$B$10,Paramètres!$A$1:$I$89,5,0)</f>
        <v>372.00799999999992</v>
      </c>
      <c r="AK44" s="14">
        <f t="shared" si="35"/>
        <v>86.077978449442</v>
      </c>
      <c r="AL44" s="22">
        <f t="shared" si="4"/>
        <v>797.83307913277804</v>
      </c>
      <c r="AM44" s="62">
        <f t="shared" si="5"/>
        <v>1091.1664124661113</v>
      </c>
      <c r="AN44" s="62">
        <f ca="1">AVERAGE(OFFSET($AM$3,0,0,'Données projet'!$E$10+1,1))-AVERAGE(OFFSET($H$3,0,0,'Données projet'!$E$10+1,1))</f>
        <v>482.28841373508675</v>
      </c>
      <c r="AO44" s="62">
        <f t="shared" si="36"/>
        <v>746.97309214631684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67.390108401546897</v>
      </c>
      <c r="AV44" s="23">
        <f>EXP(-LN(2)/25)*AV43+(1-EXP(-LN(2)/25))/(LN(2)/25)*Calculateur!AQ44*Calculateur!AS44*VLOOKUP('Données projet'!$B$10,Paramètres!$A$1:$I$89,3,0)*0.475*44/12</f>
        <v>15.165230722271167</v>
      </c>
      <c r="AW44" s="23">
        <f>EXP(-LN(2)/2)*AW43+(1-EXP(-LN(2)/2))/(LN(2)/2)*AQ44*AT44*VLOOKUP('Données projet'!$B$10,Paramètres!$A$1:$I$89,3,0)*0.475*44/12</f>
        <v>2.1823532216381429</v>
      </c>
      <c r="AX44" s="23">
        <f t="shared" si="6"/>
        <v>84.737692345456196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18</v>
      </c>
      <c r="BD44" s="13">
        <f>IF('Données projet'!$A$88&gt;35,BD43+BC44-BL43,IF(A44&lt;'Données projet'!$A$88,$BA$205^A44,IF(A44='Données projet'!$A$88,'Données projet'!$B$88,BD43+BC44-BL43)))</f>
        <v>384</v>
      </c>
      <c r="BE44" s="14">
        <f>BD44*VLOOKUP('Données projet'!$B$11,Paramètres!$A$1:$I$89,3,0)*VLOOKUP('Données projet'!$B$11,Paramètres!$A$1:$I$89,5,0)</f>
        <v>281.54879999999997</v>
      </c>
      <c r="BF44" s="14">
        <f t="shared" si="37"/>
        <v>67.29420969077313</v>
      </c>
      <c r="BG44" s="22">
        <f t="shared" si="7"/>
        <v>607.5682418780965</v>
      </c>
      <c r="BH44" s="62">
        <f t="shared" si="8"/>
        <v>900.90157521142987</v>
      </c>
      <c r="BI44" s="62">
        <f ca="1">AVERAGE(OFFSET($BH$3,0,0,'Données projet'!$E$11+1,1))-AVERAGE(OFFSET($H$3,0,0,'Données projet'!$E$11+1,1))</f>
        <v>350.22629663422435</v>
      </c>
      <c r="BJ44" s="62">
        <f t="shared" si="38"/>
        <v>375.98044319336645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18.312702437599665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18.312702437599665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11.926499999999994</v>
      </c>
      <c r="BY44" s="13">
        <f>IF('Données projet'!$A$114&gt;35,BY43+BX44-CG43,IF(A44&lt;'Données projet'!$A$114,$BV$205^A44,IF(A44='Données projet'!$A$114,'Données projet'!$B$114,BY43+BX44-CG43)))</f>
        <v>256.12740277777783</v>
      </c>
      <c r="BZ44" s="14">
        <f>BY44*VLOOKUP('Données projet'!$B$12,Paramètres!$A$1:$I$89,3,0)*VLOOKUP('Données projet'!$B$12,Paramètres!$A$1:$I$89,5,0)</f>
        <v>203.77496165000005</v>
      </c>
      <c r="CA44" s="14">
        <f t="shared" si="39"/>
        <v>50.57288502583431</v>
      </c>
      <c r="CB44" s="22">
        <f t="shared" si="10"/>
        <v>442.9891662937448</v>
      </c>
      <c r="CC44" s="62">
        <f t="shared" si="11"/>
        <v>736.32249962707806</v>
      </c>
      <c r="CD44" s="62">
        <f ca="1">AVERAGE(OFFSET($CC$3,0,0,'Données projet'!$E$12+1,1))-AVERAGE(OFFSET($H$3,0,0,'Données projet'!$E$12+1,1))</f>
        <v>248.15263300983543</v>
      </c>
      <c r="CE44" s="62">
        <f t="shared" si="40"/>
        <v>266.46511459244618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16.508113722865364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16.508113722865364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11.926499999999994</v>
      </c>
      <c r="CT44" s="13">
        <f>IF('Données projet'!$A$140&gt;35,CT43+CS44-DB43,IF(A44&lt;'Données projet'!$A$140,$CQ$205^A44,IF(A44='Données projet'!$A$140,'Données projet'!$B$140,CT43+CS44-DB43)))</f>
        <v>256.12740277777783</v>
      </c>
      <c r="CU44" s="18">
        <f>CT44*VLOOKUP('Données projet'!$B$13,Paramètres!$A$1:$I$89,3,0)*VLOOKUP('Données projet'!$B$13,Paramètres!$A$1:$I$89,5,0)</f>
        <v>171.81026178333337</v>
      </c>
      <c r="CV44" s="14">
        <f t="shared" si="41"/>
        <v>43.495211725551947</v>
      </c>
      <c r="CW44" s="22">
        <f t="shared" si="13"/>
        <v>374.99036636130859</v>
      </c>
      <c r="CX44" s="62">
        <f t="shared" si="14"/>
        <v>668.32369969464185</v>
      </c>
      <c r="CY44" s="62">
        <f ca="1">AVERAGE(OFFSET($CX$3,0,0,'Données projet'!$E$13+1,1))-AVERAGE(OFFSET($H$3,0,0,'Données projet'!$E$13+1,1))</f>
        <v>205.35893113421139</v>
      </c>
      <c r="CZ44" s="62">
        <f t="shared" si="42"/>
        <v>220.4399811285175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13.918605687906094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13.918605687906094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24.8</v>
      </c>
      <c r="N45" s="14">
        <f>IF('Données projet'!$A$36&gt;35,N44+M45-V44,IF(A45&lt;'Données projet'!$A$36,$K$205^A45,IF(A45='Données projet'!$A$36,'Données projet'!$B$36,N44+M45-V44)))</f>
        <v>611.5999999999998</v>
      </c>
      <c r="O45" s="14">
        <f>N45*VLOOKUP('Données projet'!$B$9,Paramètres!$A$1:$I$89,3,0)*VLOOKUP('Données projet'!$B$9,Paramètres!$A$1:$I$89,5,0)</f>
        <v>341.88439999999986</v>
      </c>
      <c r="P45" s="14">
        <f t="shared" si="33"/>
        <v>79.889150066970018</v>
      </c>
      <c r="Q45" s="22">
        <f t="shared" si="53"/>
        <v>734.58893303330581</v>
      </c>
      <c r="R45" s="62">
        <f t="shared" si="0"/>
        <v>1027.9222663666392</v>
      </c>
      <c r="S45" s="62">
        <f ca="1">AVERAGE(OFFSET($R$3,0,0,'Données projet'!$E$9+1,1))-AVERAGE(OFFSET($H$3,0,0,'Données projet'!$E$9+1,1))</f>
        <v>490.96084572840579</v>
      </c>
      <c r="T45" s="62">
        <f t="shared" si="34"/>
        <v>597.91658789908263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71.51719028518761</v>
      </c>
      <c r="AA45" s="23">
        <f>EXP(-LN(2)/25)*AA44+(1-EXP(-LN(2)/25))/(LN(2)/25)*Calculateur!V45*Calculateur!X45*VLOOKUP('Données projet'!$B$9,Paramètres!$A$1:$I$89,3,0)*0.475*44/12</f>
        <v>21.294189296443083</v>
      </c>
      <c r="AB45" s="23">
        <f>EXP(-LN(2)/2)*AB44+(1-EXP(-LN(2)/2))/(LN(2)/2)*V45*Y45*VLOOKUP('Données projet'!$B$9,Paramètres!$A$1:$I$89,3,0)*0.475*44/12</f>
        <v>3.8853448919066698</v>
      </c>
      <c r="AC45" s="24">
        <f t="shared" si="3"/>
        <v>96.696724473537358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615</v>
      </c>
      <c r="AG45" s="13">
        <f>VLOOKUP(A45,'Données projet'!$A$61:$I$81,9,0)</f>
        <v>18.833333333333332</v>
      </c>
      <c r="AH45" s="13">
        <f t="array" ref="AH45">INDEX(AG:AG,MIN(IF(ISNUMBER(AG45:AG241),ROW(AG45:AG241),"")))</f>
        <v>18.833333333333332</v>
      </c>
      <c r="AI45" s="14">
        <f>IF('Données projet'!$A$62&gt;35,AI44+AH45-AQ44,IF(A45&lt;'Données projet'!$A$62,$AF$205^A45,IF(A45='Données projet'!$A$62,'Données projet'!$B$62,AI44+AH45-AQ44)))</f>
        <v>614.99999999999989</v>
      </c>
      <c r="AJ45" s="14">
        <f>AI45*VLOOKUP('Données projet'!$B$10,Paramètres!$A$1:$I$89,3,0)*VLOOKUP('Données projet'!$B$10,Paramètres!$A$1:$I$89,5,0)</f>
        <v>383.75999999999993</v>
      </c>
      <c r="AK45" s="14">
        <f t="shared" si="35"/>
        <v>88.476354614370933</v>
      </c>
      <c r="AL45" s="22">
        <f t="shared" si="4"/>
        <v>822.47831762002932</v>
      </c>
      <c r="AM45" s="62">
        <f t="shared" si="5"/>
        <v>1115.8116509533627</v>
      </c>
      <c r="AN45" s="62">
        <f ca="1">AVERAGE(OFFSET($AM$3,0,0,'Données projet'!$E$10+1,1))-AVERAGE(OFFSET($H$3,0,0,'Données projet'!$E$10+1,1))</f>
        <v>482.28841373508675</v>
      </c>
      <c r="AO45" s="62">
        <f t="shared" si="36"/>
        <v>746.97309214631684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121</v>
      </c>
      <c r="AR45" s="17">
        <f>IF(ISNA(VLOOKUP(A45,'Données projet'!$A$61:$I$81,5,0)),0%,VLOOKUP(A45,'Données projet'!$A$61:$I$81,5,0)*VLOOKUP('Données projet'!$B$10,Paramètres!$A$1:$I$89,7,0))</f>
        <v>0.42</v>
      </c>
      <c r="AS45" s="17">
        <f>IF(ISNA(VLOOKUP(A45,'Données projet'!$A$61:$I$81,6,0)),0%,VLOOKUP(A45,'Données projet'!$A$61:$I$81,6,0)*VLOOKUP('Données projet'!$B$10,Paramètres!$A$1:$I$89,7,0))</f>
        <v>0.1008</v>
      </c>
      <c r="AT45" s="17">
        <f>IF(ISNA(VLOOKUP(A45,'Données projet'!$A$61:$I$81,7,0)),0%,VLOOKUP(A45,'Données projet'!$A$61:$I$81,7,0))</f>
        <v>0.13200000000000001</v>
      </c>
      <c r="AU45" s="23">
        <f>EXP(-LN(2)/35)*AU44+(1-EXP(-LN(2)/35))/(LN(2)/35)*AQ45*AR45*VLOOKUP('Données projet'!$B$10,Paramètres!$A$1:$I$89,3,0)*0.475*44/12</f>
        <v>108.13621698997297</v>
      </c>
      <c r="AV45" s="23">
        <f>EXP(-LN(2)/25)*AV44+(1-EXP(-LN(2)/25))/(LN(2)/25)*Calculateur!AQ45*Calculateur!AS45*VLOOKUP('Données projet'!$B$10,Paramètres!$A$1:$I$89,3,0)*0.475*44/12</f>
        <v>24.807005024082841</v>
      </c>
      <c r="AW45" s="23">
        <f>EXP(-LN(2)/2)*AW44+(1-EXP(-LN(2)/2))/(LN(2)/2)*AQ45*AT45*VLOOKUP('Données projet'!$B$10,Paramètres!$A$1:$I$89,3,0)*0.475*44/12</f>
        <v>12.827581657766494</v>
      </c>
      <c r="AX45" s="23">
        <f t="shared" si="6"/>
        <v>145.77080367182231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18</v>
      </c>
      <c r="BD45" s="13">
        <f>IF('Données projet'!$A$88&gt;35,BD44+BC45-BL44,IF(A45&lt;'Données projet'!$A$88,$BA$205^A45,IF(A45='Données projet'!$A$88,'Données projet'!$B$88,BD44+BC45-BL44)))</f>
        <v>402</v>
      </c>
      <c r="BE45" s="14">
        <f>BD45*VLOOKUP('Données projet'!$B$11,Paramètres!$A$1:$I$89,3,0)*VLOOKUP('Données projet'!$B$11,Paramètres!$A$1:$I$89,5,0)</f>
        <v>294.74639999999999</v>
      </c>
      <c r="BF45" s="14">
        <f t="shared" si="37"/>
        <v>70.073977238414798</v>
      </c>
      <c r="BG45" s="22">
        <f t="shared" si="7"/>
        <v>635.39549035690573</v>
      </c>
      <c r="BH45" s="62">
        <f t="shared" si="8"/>
        <v>928.7288236902391</v>
      </c>
      <c r="BI45" s="62">
        <f ca="1">AVERAGE(OFFSET($BH$3,0,0,'Données projet'!$E$11+1,1))-AVERAGE(OFFSET($H$3,0,0,'Données projet'!$E$11+1,1))</f>
        <v>350.22629663422435</v>
      </c>
      <c r="BJ45" s="62">
        <f t="shared" si="38"/>
        <v>375.98044319336645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17.95360151244391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17.95360151244391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11.926499999999994</v>
      </c>
      <c r="BY45" s="13">
        <f>IF('Données projet'!$A$114&gt;35,BY44+BX45-CG44,IF(A45&lt;'Données projet'!$A$114,$BV$205^A45,IF(A45='Données projet'!$A$114,'Données projet'!$B$114,BY44+BX45-CG44)))</f>
        <v>268.05390277777781</v>
      </c>
      <c r="BZ45" s="14">
        <f>BY45*VLOOKUP('Données projet'!$B$12,Paramètres!$A$1:$I$89,3,0)*VLOOKUP('Données projet'!$B$12,Paramètres!$A$1:$I$89,5,0)</f>
        <v>213.26368505000002</v>
      </c>
      <c r="CA45" s="14">
        <f t="shared" si="39"/>
        <v>52.648141603375649</v>
      </c>
      <c r="CB45" s="22">
        <f t="shared" si="10"/>
        <v>463.12976475462921</v>
      </c>
      <c r="CC45" s="62">
        <f t="shared" si="11"/>
        <v>756.46309808796252</v>
      </c>
      <c r="CD45" s="62">
        <f ca="1">AVERAGE(OFFSET($CC$3,0,0,'Données projet'!$E$12+1,1))-AVERAGE(OFFSET($H$3,0,0,'Données projet'!$E$12+1,1))</f>
        <v>248.15263300983543</v>
      </c>
      <c r="CE45" s="62">
        <f t="shared" si="40"/>
        <v>266.46511459244618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16.184399681715117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16.184399681715117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11.926499999999994</v>
      </c>
      <c r="CT45" s="13">
        <f>IF('Données projet'!$A$140&gt;35,CT44+CS45-DB44,IF(A45&lt;'Données projet'!$A$140,$CQ$205^A45,IF(A45='Données projet'!$A$140,'Données projet'!$B$140,CT44+CS45-DB44)))</f>
        <v>268.05390277777781</v>
      </c>
      <c r="CU45" s="18">
        <f>CT45*VLOOKUP('Données projet'!$B$13,Paramètres!$A$1:$I$89,3,0)*VLOOKUP('Données projet'!$B$13,Paramètres!$A$1:$I$89,5,0)</f>
        <v>179.81055798333335</v>
      </c>
      <c r="CV45" s="14">
        <f t="shared" si="41"/>
        <v>45.28003622545733</v>
      </c>
      <c r="CW45" s="22">
        <f t="shared" si="13"/>
        <v>392.03278491364375</v>
      </c>
      <c r="CX45" s="62">
        <f t="shared" si="14"/>
        <v>685.36611824697707</v>
      </c>
      <c r="CY45" s="62">
        <f ca="1">AVERAGE(OFFSET($CX$3,0,0,'Données projet'!$E$13+1,1))-AVERAGE(OFFSET($H$3,0,0,'Données projet'!$E$13+1,1))</f>
        <v>205.35893113421139</v>
      </c>
      <c r="CZ45" s="62">
        <f t="shared" si="42"/>
        <v>220.4399811285175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13.645670319877455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13.645670319877455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24.8</v>
      </c>
      <c r="N46" s="14">
        <f>IF('Données projet'!$A$36&gt;35,N45+M46-V45,IF(A46&lt;'Données projet'!$A$36,$K$205^A46,IF(A46='Données projet'!$A$36,'Données projet'!$B$36,N45+M46-V45)))</f>
        <v>636.39999999999975</v>
      </c>
      <c r="O46" s="14">
        <f>N46*VLOOKUP('Données projet'!$B$9,Paramètres!$A$1:$I$89,3,0)*VLOOKUP('Données projet'!$B$9,Paramètres!$A$1:$I$89,5,0)</f>
        <v>355.74759999999986</v>
      </c>
      <c r="P46" s="14">
        <f t="shared" si="33"/>
        <v>82.744877508992289</v>
      </c>
      <c r="Q46" s="22">
        <f t="shared" si="53"/>
        <v>763.70773166149456</v>
      </c>
      <c r="R46" s="62">
        <f t="shared" si="0"/>
        <v>1057.0410649948278</v>
      </c>
      <c r="S46" s="62">
        <f ca="1">AVERAGE(OFFSET($R$3,0,0,'Données projet'!$E$9+1,1))-AVERAGE(OFFSET($H$3,0,0,'Données projet'!$E$9+1,1))</f>
        <v>490.96084572840579</v>
      </c>
      <c r="T46" s="62">
        <f t="shared" si="34"/>
        <v>597.91658789908263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70.114781804873914</v>
      </c>
      <c r="AA46" s="23">
        <f>EXP(-LN(2)/25)*AA45+(1-EXP(-LN(2)/25))/(LN(2)/25)*Calculateur!V46*Calculateur!X46*VLOOKUP('Données projet'!$B$9,Paramètres!$A$1:$I$89,3,0)*0.475*44/12</f>
        <v>20.7118985703191</v>
      </c>
      <c r="AB46" s="23">
        <f>EXP(-LN(2)/2)*AB45+(1-EXP(-LN(2)/2))/(LN(2)/2)*V46*Y46*VLOOKUP('Données projet'!$B$9,Paramètres!$A$1:$I$89,3,0)*0.475*44/12</f>
        <v>2.7473537203157199</v>
      </c>
      <c r="AC46" s="24">
        <f t="shared" si="3"/>
        <v>93.574034095508722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17.666666666666668</v>
      </c>
      <c r="AI46" s="14">
        <f>IF('Données projet'!$A$62&gt;35,AI45+AH46-AQ45,IF(A46&lt;'Données projet'!$A$62,$AF$205^A46,IF(A46='Données projet'!$A$62,'Données projet'!$B$62,AI45+AH46-AQ45)))</f>
        <v>511.66666666666652</v>
      </c>
      <c r="AJ46" s="14">
        <f>AI46*VLOOKUP('Données projet'!$B$10,Paramètres!$A$1:$I$89,3,0)*VLOOKUP('Données projet'!$B$10,Paramètres!$A$1:$I$89,5,0)</f>
        <v>319.27999999999992</v>
      </c>
      <c r="AK46" s="14">
        <f t="shared" si="35"/>
        <v>75.203524026346827</v>
      </c>
      <c r="AL46" s="22">
        <f t="shared" si="4"/>
        <v>687.05880434588732</v>
      </c>
      <c r="AM46" s="62">
        <f t="shared" si="5"/>
        <v>980.3921376792207</v>
      </c>
      <c r="AN46" s="62">
        <f ca="1">AVERAGE(OFFSET($AM$3,0,0,'Données projet'!$E$10+1,1))-AVERAGE(OFFSET($H$3,0,0,'Données projet'!$E$10+1,1))</f>
        <v>482.28841373508675</v>
      </c>
      <c r="AO46" s="62">
        <f t="shared" si="36"/>
        <v>746.97309214631684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106.01573173137929</v>
      </c>
      <c r="AV46" s="23">
        <f>EXP(-LN(2)/25)*AV45+(1-EXP(-LN(2)/25))/(LN(2)/25)*Calculateur!AQ46*Calculateur!AS46*VLOOKUP('Données projet'!$B$10,Paramètres!$A$1:$I$89,3,0)*0.475*44/12</f>
        <v>24.128656167155597</v>
      </c>
      <c r="AW46" s="23">
        <f>EXP(-LN(2)/2)*AW45+(1-EXP(-LN(2)/2))/(LN(2)/2)*AQ46*AT46*VLOOKUP('Données projet'!$B$10,Paramètres!$A$1:$I$89,3,0)*0.475*44/12</f>
        <v>9.0704699764308643</v>
      </c>
      <c r="AX46" s="23">
        <f t="shared" si="6"/>
        <v>139.21485787496576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18</v>
      </c>
      <c r="BD46" s="13">
        <f>IF('Données projet'!$A$88&gt;35,BD45+BC46-BL45,IF(A46&lt;'Données projet'!$A$88,$BA$205^A46,IF(A46='Données projet'!$A$88,'Données projet'!$B$88,BD45+BC46-BL45)))</f>
        <v>420</v>
      </c>
      <c r="BE46" s="14">
        <f>BD46*VLOOKUP('Données projet'!$B$11,Paramètres!$A$1:$I$89,3,0)*VLOOKUP('Données projet'!$B$11,Paramètres!$A$1:$I$89,5,0)</f>
        <v>307.94399999999996</v>
      </c>
      <c r="BF46" s="14">
        <f t="shared" si="37"/>
        <v>72.839289392732184</v>
      </c>
      <c r="BG46" s="22">
        <f t="shared" si="7"/>
        <v>663.19756235900854</v>
      </c>
      <c r="BH46" s="62">
        <f t="shared" si="8"/>
        <v>956.5308956923418</v>
      </c>
      <c r="BI46" s="62">
        <f ca="1">AVERAGE(OFFSET($BH$3,0,0,'Données projet'!$E$11+1,1))-AVERAGE(OFFSET($H$3,0,0,'Données projet'!$E$11+1,1))</f>
        <v>350.22629663422435</v>
      </c>
      <c r="BJ46" s="62">
        <f t="shared" si="38"/>
        <v>375.98044319336645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17.601542337400524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17.601542337400524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11.926499999999994</v>
      </c>
      <c r="BY46" s="13">
        <f>IF('Données projet'!$A$114&gt;35,BY45+BX46-CG45,IF(A46&lt;'Données projet'!$A$114,$BV$205^A46,IF(A46='Données projet'!$A$114,'Données projet'!$B$114,BY45+BX46-CG45)))</f>
        <v>279.98040277777778</v>
      </c>
      <c r="BZ46" s="14">
        <f>BY46*VLOOKUP('Données projet'!$B$12,Paramètres!$A$1:$I$89,3,0)*VLOOKUP('Données projet'!$B$12,Paramètres!$A$1:$I$89,5,0)</f>
        <v>222.75240845000002</v>
      </c>
      <c r="CA46" s="14">
        <f t="shared" si="39"/>
        <v>54.71267452481797</v>
      </c>
      <c r="CB46" s="22">
        <f t="shared" si="10"/>
        <v>483.25168618114122</v>
      </c>
      <c r="CC46" s="62">
        <f t="shared" si="11"/>
        <v>776.58501951447454</v>
      </c>
      <c r="CD46" s="62">
        <f ca="1">AVERAGE(OFFSET($CC$3,0,0,'Données projet'!$E$12+1,1))-AVERAGE(OFFSET($H$3,0,0,'Données projet'!$E$12+1,1))</f>
        <v>248.15263300983543</v>
      </c>
      <c r="CE46" s="62">
        <f t="shared" si="40"/>
        <v>266.46511459244618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15.867033475465758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15.867033475465758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11.926499999999994</v>
      </c>
      <c r="CT46" s="13">
        <f>IF('Données projet'!$A$140&gt;35,CT45+CS46-DB45,IF(A46&lt;'Données projet'!$A$140,$CQ$205^A46,IF(A46='Données projet'!$A$140,'Données projet'!$B$140,CT45+CS46-DB45)))</f>
        <v>279.98040277777778</v>
      </c>
      <c r="CU46" s="18">
        <f>CT46*VLOOKUP('Données projet'!$B$13,Paramètres!$A$1:$I$89,3,0)*VLOOKUP('Données projet'!$B$13,Paramètres!$A$1:$I$89,5,0)</f>
        <v>187.81085418333333</v>
      </c>
      <c r="CV46" s="14">
        <f t="shared" si="41"/>
        <v>47.055637844519296</v>
      </c>
      <c r="CW46" s="22">
        <f t="shared" si="13"/>
        <v>409.05914028184338</v>
      </c>
      <c r="CX46" s="62">
        <f t="shared" si="14"/>
        <v>702.39247361517664</v>
      </c>
      <c r="CY46" s="62">
        <f ca="1">AVERAGE(OFFSET($CX$3,0,0,'Données projet'!$E$13+1,1))-AVERAGE(OFFSET($H$3,0,0,'Données projet'!$E$13+1,1))</f>
        <v>205.35893113421139</v>
      </c>
      <c r="CZ46" s="62">
        <f t="shared" si="42"/>
        <v>220.4399811285175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13.378087047941722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13.378087047941722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24.8</v>
      </c>
      <c r="N47" s="14">
        <f>IF('Données projet'!$A$36&gt;35,N46+M47-V46,IF(A47&lt;'Données projet'!$A$36,$K$205^A47,IF(A47='Données projet'!$A$36,'Données projet'!$B$36,N46+M47-V46)))</f>
        <v>661.1999999999997</v>
      </c>
      <c r="O47" s="14">
        <f>N47*VLOOKUP('Données projet'!$B$9,Paramètres!$A$1:$I$89,3,0)*VLOOKUP('Données projet'!$B$9,Paramètres!$A$1:$I$89,5,0)</f>
        <v>369.61079999999981</v>
      </c>
      <c r="P47" s="14">
        <f t="shared" si="33"/>
        <v>85.587677206936931</v>
      </c>
      <c r="Q47" s="22">
        <f t="shared" si="53"/>
        <v>792.80401446874805</v>
      </c>
      <c r="R47" s="62">
        <f t="shared" si="0"/>
        <v>1086.1373478020814</v>
      </c>
      <c r="S47" s="62">
        <f ca="1">AVERAGE(OFFSET($R$3,0,0,'Données projet'!$E$9+1,1))-AVERAGE(OFFSET($H$3,0,0,'Données projet'!$E$9+1,1))</f>
        <v>490.96084572840579</v>
      </c>
      <c r="T47" s="62">
        <f t="shared" si="34"/>
        <v>597.91658789908263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68.739873699474472</v>
      </c>
      <c r="AA47" s="23">
        <f>EXP(-LN(2)/25)*AA46+(1-EXP(-LN(2)/25))/(LN(2)/25)*Calculateur!V47*Calculateur!X47*VLOOKUP('Données projet'!$B$9,Paramètres!$A$1:$I$89,3,0)*0.475*44/12</f>
        <v>20.145530614722315</v>
      </c>
      <c r="AB47" s="23">
        <f>EXP(-LN(2)/2)*AB46+(1-EXP(-LN(2)/2))/(LN(2)/2)*V47*Y47*VLOOKUP('Données projet'!$B$9,Paramètres!$A$1:$I$89,3,0)*0.475*44/12</f>
        <v>1.9426724459533351</v>
      </c>
      <c r="AC47" s="24">
        <f t="shared" si="3"/>
        <v>90.828076760150125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17.666666666666668</v>
      </c>
      <c r="AI47" s="14">
        <f>IF('Données projet'!$A$62&gt;35,AI46+AH47-AQ46,IF(A47&lt;'Données projet'!$A$62,$AF$205^A47,IF(A47='Données projet'!$A$62,'Données projet'!$B$62,AI46+AH47-AQ46)))</f>
        <v>529.33333333333314</v>
      </c>
      <c r="AJ47" s="14">
        <f>AI47*VLOOKUP('Données projet'!$B$10,Paramètres!$A$1:$I$89,3,0)*VLOOKUP('Données projet'!$B$10,Paramètres!$A$1:$I$89,5,0)</f>
        <v>330.30399999999986</v>
      </c>
      <c r="AK47" s="14">
        <f t="shared" si="35"/>
        <v>77.493330749887136</v>
      </c>
      <c r="AL47" s="22">
        <f t="shared" si="4"/>
        <v>710.24701772271976</v>
      </c>
      <c r="AM47" s="62">
        <f t="shared" si="5"/>
        <v>1003.5803510560531</v>
      </c>
      <c r="AN47" s="62">
        <f ca="1">AVERAGE(OFFSET($AM$3,0,0,'Données projet'!$E$10+1,1))-AVERAGE(OFFSET($H$3,0,0,'Données projet'!$E$10+1,1))</f>
        <v>482.28841373508675</v>
      </c>
      <c r="AO47" s="62">
        <f t="shared" si="36"/>
        <v>746.97309214631684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103.93682789533834</v>
      </c>
      <c r="AV47" s="23">
        <f>EXP(-LN(2)/25)*AV46+(1-EXP(-LN(2)/25))/(LN(2)/25)*Calculateur!AQ47*Calculateur!AS47*VLOOKUP('Données projet'!$B$10,Paramètres!$A$1:$I$89,3,0)*0.475*44/12</f>
        <v>23.468856795393847</v>
      </c>
      <c r="AW47" s="23">
        <f>EXP(-LN(2)/2)*AW46+(1-EXP(-LN(2)/2))/(LN(2)/2)*AQ47*AT47*VLOOKUP('Données projet'!$B$10,Paramètres!$A$1:$I$89,3,0)*0.475*44/12</f>
        <v>6.4137908288832488</v>
      </c>
      <c r="AX47" s="23">
        <f t="shared" si="6"/>
        <v>133.81947551961542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18</v>
      </c>
      <c r="BD47" s="13">
        <f>IF('Données projet'!$A$88&gt;35,BD46+BC47-BL46,IF(A47&lt;'Données projet'!$A$88,$BA$205^A47,IF(A47='Données projet'!$A$88,'Données projet'!$B$88,BD46+BC47-BL46)))</f>
        <v>438</v>
      </c>
      <c r="BE47" s="14">
        <f>BD47*VLOOKUP('Données projet'!$B$11,Paramètres!$A$1:$I$89,3,0)*VLOOKUP('Données projet'!$B$11,Paramètres!$A$1:$I$89,5,0)</f>
        <v>321.14159999999998</v>
      </c>
      <c r="BF47" s="14">
        <f t="shared" si="37"/>
        <v>75.590836491360662</v>
      </c>
      <c r="BG47" s="22">
        <f t="shared" si="7"/>
        <v>690.97566022245303</v>
      </c>
      <c r="BH47" s="62">
        <f t="shared" si="8"/>
        <v>984.3089935557864</v>
      </c>
      <c r="BI47" s="62">
        <f ca="1">AVERAGE(OFFSET($BH$3,0,0,'Données projet'!$E$11+1,1))-AVERAGE(OFFSET($H$3,0,0,'Données projet'!$E$11+1,1))</f>
        <v>350.22629663422435</v>
      </c>
      <c r="BJ47" s="62">
        <f t="shared" si="38"/>
        <v>375.98044319336645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17.256386828044846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17.256386828044846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11.926499999999994</v>
      </c>
      <c r="BY47" s="13">
        <f>IF('Données projet'!$A$114&gt;35,BY46+BX47-CG46,IF(A47&lt;'Données projet'!$A$114,$BV$205^A47,IF(A47='Données projet'!$A$114,'Données projet'!$B$114,BY46+BX47-CG46)))</f>
        <v>291.90690277777776</v>
      </c>
      <c r="BZ47" s="14">
        <f>BY47*VLOOKUP('Données projet'!$B$12,Paramètres!$A$1:$I$89,3,0)*VLOOKUP('Données projet'!$B$12,Paramètres!$A$1:$I$89,5,0)</f>
        <v>232.24113184999999</v>
      </c>
      <c r="CA47" s="14">
        <f t="shared" si="39"/>
        <v>56.766992816108136</v>
      </c>
      <c r="CB47" s="22">
        <f t="shared" si="10"/>
        <v>503.35581712680488</v>
      </c>
      <c r="CC47" s="62">
        <f t="shared" si="11"/>
        <v>796.68915046013819</v>
      </c>
      <c r="CD47" s="62">
        <f ca="1">AVERAGE(OFFSET($CC$3,0,0,'Données projet'!$E$12+1,1))-AVERAGE(OFFSET($H$3,0,0,'Données projet'!$E$12+1,1))</f>
        <v>248.15263300983543</v>
      </c>
      <c r="CE47" s="62">
        <f t="shared" si="40"/>
        <v>266.46511459244618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15.555890626946677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15.555890626946677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11.926499999999994</v>
      </c>
      <c r="CT47" s="13">
        <f>IF('Données projet'!$A$140&gt;35,CT46+CS47-DB46,IF(A47&lt;'Données projet'!$A$140,$CQ$205^A47,IF(A47='Données projet'!$A$140,'Données projet'!$B$140,CT46+CS47-DB46)))</f>
        <v>291.90690277777776</v>
      </c>
      <c r="CU47" s="18">
        <f>CT47*VLOOKUP('Données projet'!$B$13,Paramètres!$A$1:$I$89,3,0)*VLOOKUP('Données projet'!$B$13,Paramètres!$A$1:$I$89,5,0)</f>
        <v>195.81115038333331</v>
      </c>
      <c r="CV47" s="14">
        <f t="shared" si="41"/>
        <v>48.822454370523211</v>
      </c>
      <c r="CW47" s="22">
        <f t="shared" si="13"/>
        <v>426.07019494630009</v>
      </c>
      <c r="CX47" s="62">
        <f t="shared" si="14"/>
        <v>719.40352827963341</v>
      </c>
      <c r="CY47" s="62">
        <f ca="1">AVERAGE(OFFSET($CX$3,0,0,'Données projet'!$E$13+1,1))-AVERAGE(OFFSET($H$3,0,0,'Données projet'!$E$13+1,1))</f>
        <v>205.35893113421139</v>
      </c>
      <c r="CZ47" s="62">
        <f t="shared" si="42"/>
        <v>220.4399811285175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13.115750920758968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13.115750920758968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686</v>
      </c>
      <c r="L48" s="13">
        <f>VLOOKUP(A48,'Données projet'!$A$35:$I$55,9,0)</f>
        <v>24.8</v>
      </c>
      <c r="M48" s="13">
        <f t="array" ref="M48">INDEX(L:L,MIN(IF(ISNUMBER(L48:L244),ROW(L48:L244),"")))</f>
        <v>24.8</v>
      </c>
      <c r="N48" s="14">
        <f>IF('Données projet'!$A$36&gt;35,N47+M48-V47,IF(A48&lt;'Données projet'!$A$36,$K$205^A48,IF(A48='Données projet'!$A$36,'Données projet'!$B$36,N47+M48-V47)))</f>
        <v>685.99999999999966</v>
      </c>
      <c r="O48" s="14">
        <f>N48*VLOOKUP('Données projet'!$B$9,Paramètres!$A$1:$I$89,3,0)*VLOOKUP('Données projet'!$B$9,Paramètres!$A$1:$I$89,5,0)</f>
        <v>383.47399999999982</v>
      </c>
      <c r="P48" s="14">
        <f t="shared" si="33"/>
        <v>88.418089567872116</v>
      </c>
      <c r="Q48" s="22">
        <f t="shared" si="53"/>
        <v>821.87872266404372</v>
      </c>
      <c r="R48" s="62">
        <f t="shared" si="0"/>
        <v>1115.2120559973771</v>
      </c>
      <c r="S48" s="62">
        <f ca="1">AVERAGE(OFFSET($R$3,0,0,'Données projet'!$E$9+1,1))-AVERAGE(OFFSET($H$3,0,0,'Données projet'!$E$9+1,1))</f>
        <v>490.96084572840579</v>
      </c>
      <c r="T48" s="62">
        <f t="shared" si="34"/>
        <v>597.91658789908263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64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9.240000000000001E-2</v>
      </c>
      <c r="Y48" s="17">
        <f>IF(ISNA(VLOOKUP(A48,'Données projet'!$A$35:$I$55,7,0)),0%,VLOOKUP(A48,'Données projet'!$A$35:$I$55,7,0))</f>
        <v>0.13200000000000001</v>
      </c>
      <c r="Z48" s="23">
        <f>EXP(-LN(2)/35)*Z47+(1-EXP(-LN(2)/35))/(LN(2)/35)*V48*W48*VLOOKUP('Données projet'!$B$9,Paramètres!$A$1:$I$89,3,0)*0.475*44/12</f>
        <v>85.663707137165687</v>
      </c>
      <c r="AA48" s="23">
        <f>EXP(-LN(2)/25)*AA47+(1-EXP(-LN(2)/25))/(LN(2)/25)*Calculateur!V48*Calculateur!X48*VLOOKUP('Données projet'!$B$9,Paramètres!$A$1:$I$89,3,0)*0.475*44/12</f>
        <v>23.962611013957659</v>
      </c>
      <c r="AB48" s="23">
        <f>EXP(-LN(2)/2)*AB47+(1-EXP(-LN(2)/2))/(LN(2)/2)*V48*Y48*VLOOKUP('Données projet'!$B$9,Paramètres!$A$1:$I$89,3,0)*0.475*44/12</f>
        <v>6.7205668934303624</v>
      </c>
      <c r="AC48" s="24">
        <f t="shared" si="3"/>
        <v>116.3468850445537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17.666666666666668</v>
      </c>
      <c r="AI48" s="14">
        <f>IF('Données projet'!$A$62&gt;35,AI47+AH48-AQ47,IF(A48&lt;'Données projet'!$A$62,$AF$205^A48,IF(A48='Données projet'!$A$62,'Données projet'!$B$62,AI47+AH48-AQ47)))</f>
        <v>546.99999999999977</v>
      </c>
      <c r="AJ48" s="14">
        <f>AI48*VLOOKUP('Données projet'!$B$10,Paramètres!$A$1:$I$89,3,0)*VLOOKUP('Données projet'!$B$10,Paramètres!$A$1:$I$89,5,0)</f>
        <v>341.32799999999986</v>
      </c>
      <c r="AK48" s="14">
        <f t="shared" si="35"/>
        <v>79.774257349132355</v>
      </c>
      <c r="AL48" s="22">
        <f t="shared" si="4"/>
        <v>733.41976488307193</v>
      </c>
      <c r="AM48" s="62">
        <f t="shared" si="5"/>
        <v>1026.7530982164053</v>
      </c>
      <c r="AN48" s="62">
        <f ca="1">AVERAGE(OFFSET($AM$3,0,0,'Données projet'!$E$10+1,1))-AVERAGE(OFFSET($H$3,0,0,'Données projet'!$E$10+1,1))</f>
        <v>482.28841373508675</v>
      </c>
      <c r="AO48" s="62">
        <f t="shared" si="36"/>
        <v>746.97309214631684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101.89869009551602</v>
      </c>
      <c r="AV48" s="23">
        <f>EXP(-LN(2)/25)*AV47+(1-EXP(-LN(2)/25))/(LN(2)/25)*Calculateur!AQ48*Calculateur!AS48*VLOOKUP('Données projet'!$B$10,Paramètres!$A$1:$I$89,3,0)*0.475*44/12</f>
        <v>22.827099672150261</v>
      </c>
      <c r="AW48" s="23">
        <f>EXP(-LN(2)/2)*AW47+(1-EXP(-LN(2)/2))/(LN(2)/2)*AQ48*AT48*VLOOKUP('Données projet'!$B$10,Paramètres!$A$1:$I$89,3,0)*0.475*44/12</f>
        <v>4.535234988215433</v>
      </c>
      <c r="AX48" s="23">
        <f t="shared" si="6"/>
        <v>129.26102475588169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456</v>
      </c>
      <c r="BB48" s="13">
        <f>VLOOKUP(A48,'Données projet'!$A$87:$I$107,9,0)</f>
        <v>18</v>
      </c>
      <c r="BC48" s="13">
        <f t="array" ref="BC48">INDEX(BB:BB,MIN(IF(ISNUMBER(BB48:BB244),ROW(BB48:BB244),"")))</f>
        <v>18</v>
      </c>
      <c r="BD48" s="13">
        <f>IF('Données projet'!$A$88&gt;35,BD47+BC48-BL47,IF(A48&lt;'Données projet'!$A$88,$BA$205^A48,IF(A48='Données projet'!$A$88,'Données projet'!$B$88,BD47+BC48-BL47)))</f>
        <v>456</v>
      </c>
      <c r="BE48" s="14">
        <f>BD48*VLOOKUP('Données projet'!$B$11,Paramètres!$A$1:$I$89,3,0)*VLOOKUP('Données projet'!$B$11,Paramètres!$A$1:$I$89,5,0)</f>
        <v>334.33920000000001</v>
      </c>
      <c r="BF48" s="14">
        <f t="shared" si="37"/>
        <v>78.32924892122405</v>
      </c>
      <c r="BG48" s="22">
        <f t="shared" si="7"/>
        <v>718.73088187113183</v>
      </c>
      <c r="BH48" s="62">
        <f t="shared" si="8"/>
        <v>1012.0642152044652</v>
      </c>
      <c r="BI48" s="62">
        <f ca="1">AVERAGE(OFFSET($BH$3,0,0,'Données projet'!$E$11+1,1))-AVERAGE(OFFSET($H$3,0,0,'Données projet'!$E$11+1,1))</f>
        <v>350.22629663422435</v>
      </c>
      <c r="BJ48" s="62">
        <f t="shared" si="38"/>
        <v>375.98044319336645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76</v>
      </c>
      <c r="BM48" s="17">
        <f>IF(ISNA(VLOOKUP(A48,'Données projet'!$A$87:$I$107,5,0)),0%,VLOOKUP(A48,'Données projet'!$A$87:$I$107,5,0)*VLOOKUP('Données projet'!$B$11,Paramètres!$A$1:$I$89,7,0))</f>
        <v>0.38700000000000001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40.757333917133479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40.757333917133479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303.83340277777774</v>
      </c>
      <c r="BW48" s="13">
        <f>VLOOKUP(A48,'Données projet'!$A$113:$I$133,9,0)</f>
        <v>11.926499999999994</v>
      </c>
      <c r="BX48" s="13">
        <f t="array" ref="BX48">INDEX(BW:BW,MIN(IF(ISNUMBER(BW48:BW244),ROW(BW48:BW244),"")))</f>
        <v>11.926499999999994</v>
      </c>
      <c r="BY48" s="13">
        <f>IF('Données projet'!$A$114&gt;35,BY47+BX48-CG47,IF(A48&lt;'Données projet'!$A$114,$BV$205^A48,IF(A48='Données projet'!$A$114,'Données projet'!$B$114,BY47+BX48-CG47)))</f>
        <v>303.83340277777774</v>
      </c>
      <c r="BZ48" s="14">
        <f>BY48*VLOOKUP('Données projet'!$B$12,Paramètres!$A$1:$I$89,3,0)*VLOOKUP('Données projet'!$B$12,Paramètres!$A$1:$I$89,5,0)</f>
        <v>241.72985524999999</v>
      </c>
      <c r="CA48" s="14">
        <f t="shared" si="39"/>
        <v>58.811561554642985</v>
      </c>
      <c r="CB48" s="22">
        <f t="shared" si="10"/>
        <v>523.44296760141981</v>
      </c>
      <c r="CC48" s="62">
        <f t="shared" si="11"/>
        <v>816.77630093475318</v>
      </c>
      <c r="CD48" s="62">
        <f ca="1">AVERAGE(OFFSET($CC$3,0,0,'Données projet'!$E$12+1,1))-AVERAGE(OFFSET($H$3,0,0,'Données projet'!$E$12+1,1))</f>
        <v>248.15263300983543</v>
      </c>
      <c r="CE48" s="62">
        <f t="shared" si="40"/>
        <v>266.46511459244618</v>
      </c>
      <c r="CF48" s="16">
        <f>IF(ISNA(VLOOKUP(A48,'Données projet'!$A$113:$I$133,3,0)),0,VLOOKUP(A48,'Données projet'!$A$113:$I$133,3,0))</f>
        <v>4</v>
      </c>
      <c r="CG48" s="16">
        <f>IF(ISNA(VLOOKUP(A48,'Données projet'!$A$113:$I$133,4,0)),0,VLOOKUP(A48,'Données projet'!$A$113:$I$133,4,0))</f>
        <v>50.638900462962958</v>
      </c>
      <c r="CH48" s="17">
        <f>IF(ISNA(VLOOKUP(A48,'Données projet'!$A$113:$I$133,5,0)),0%,VLOOKUP(A48,'Données projet'!$A$113:$I$133,5,0)*VLOOKUP('Données projet'!$B$12,Paramètres!$A$1:$I$89,7,0))</f>
        <v>0.371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31.774273646752462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31.774273646752462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303.83340277777774</v>
      </c>
      <c r="CR48" s="13">
        <f>VLOOKUP(A48,'Données projet'!$A$139:$I$159,9,0)</f>
        <v>11.926499999999994</v>
      </c>
      <c r="CS48" s="13">
        <f t="array" ref="CS48">INDEX(CR:CR,MIN(IF(ISNUMBER(CR48:CR244),ROW(CR48:CR244),"")))</f>
        <v>11.926499999999994</v>
      </c>
      <c r="CT48" s="13">
        <f>IF('Données projet'!$A$140&gt;35,CT47+CS48-DB47,IF(A48&lt;'Données projet'!$A$140,$CQ$205^A48,IF(A48='Données projet'!$A$140,'Données projet'!$B$140,CT47+CS48-DB47)))</f>
        <v>303.83340277777774</v>
      </c>
      <c r="CU48" s="18">
        <f>CT48*VLOOKUP('Données projet'!$B$13,Paramètres!$A$1:$I$89,3,0)*VLOOKUP('Données projet'!$B$13,Paramètres!$A$1:$I$89,5,0)</f>
        <v>203.81144658333329</v>
      </c>
      <c r="CV48" s="14">
        <f t="shared" si="41"/>
        <v>50.580885793302279</v>
      </c>
      <c r="CW48" s="22">
        <f t="shared" si="13"/>
        <v>443.06664555597359</v>
      </c>
      <c r="CX48" s="62">
        <f t="shared" si="14"/>
        <v>736.39997888930691</v>
      </c>
      <c r="CY48" s="62">
        <f ca="1">AVERAGE(OFFSET($CX$3,0,0,'Données projet'!$E$13+1,1))-AVERAGE(OFFSET($H$3,0,0,'Données projet'!$E$13+1,1))</f>
        <v>205.35893113421139</v>
      </c>
      <c r="CZ48" s="62">
        <f t="shared" si="42"/>
        <v>220.4399811285175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50.638900462962958</v>
      </c>
      <c r="DC48" s="17">
        <f>IF(ISNA(VLOOKUP(A48,'Données projet'!$A$139:$I$159,5,0)),0%,VLOOKUP(A48,'Données projet'!$A$139:$I$159,5,0)*VLOOKUP('Données projet'!$B$13,Paramètres!$A$1:$I$89,7,0))</f>
        <v>0.371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26.790073859026592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26.790073859026592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642.39999999999964</v>
      </c>
      <c r="O49" s="14">
        <f>N49*VLOOKUP('Données projet'!$B$9,Paramètres!$A$1:$I$89,3,0)*VLOOKUP('Données projet'!$B$9,Paramètres!$A$1:$I$89,5,0)</f>
        <v>359.10159999999985</v>
      </c>
      <c r="P49" s="14">
        <f t="shared" si="33"/>
        <v>83.433815871723468</v>
      </c>
      <c r="Q49" s="22">
        <f t="shared" si="53"/>
        <v>770.74918264325152</v>
      </c>
      <c r="R49" s="62">
        <f t="shared" si="0"/>
        <v>1064.0825159765848</v>
      </c>
      <c r="S49" s="62">
        <f ca="1">AVERAGE(OFFSET($R$3,0,0,'Données projet'!$E$9+1,1))-AVERAGE(OFFSET($H$3,0,0,'Données projet'!$E$9+1,1))</f>
        <v>490.96084572840579</v>
      </c>
      <c r="T49" s="62">
        <f t="shared" si="34"/>
        <v>597.91658789908263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83.983894089907992</v>
      </c>
      <c r="AA49" s="23">
        <f>EXP(-LN(2)/25)*AA48+(1-EXP(-LN(2)/25))/(LN(2)/25)*Calculateur!V49*Calculateur!X49*VLOOKUP('Données projet'!$B$9,Paramètres!$A$1:$I$89,3,0)*0.475*44/12</f>
        <v>23.30735215564204</v>
      </c>
      <c r="AB49" s="23">
        <f>EXP(-LN(2)/2)*AB48+(1-EXP(-LN(2)/2))/(LN(2)/2)*V49*Y49*VLOOKUP('Données projet'!$B$9,Paramètres!$A$1:$I$89,3,0)*0.475*44/12</f>
        <v>4.7521584237624195</v>
      </c>
      <c r="AC49" s="24">
        <f t="shared" si="3"/>
        <v>112.04340466931245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17.666666666666668</v>
      </c>
      <c r="AI49" s="14">
        <f>IF('Données projet'!$A$62&gt;35,AI48+AH49-AQ48,IF(A49&lt;'Données projet'!$A$62,$AF$205^A49,IF(A49='Données projet'!$A$62,'Données projet'!$B$62,AI48+AH49-AQ48)))</f>
        <v>564.6666666666664</v>
      </c>
      <c r="AJ49" s="14">
        <f>AI49*VLOOKUP('Données projet'!$B$10,Paramètres!$A$1:$I$89,3,0)*VLOOKUP('Données projet'!$B$10,Paramètres!$A$1:$I$89,5,0)</f>
        <v>352.3519999999998</v>
      </c>
      <c r="AK49" s="14">
        <f t="shared" si="35"/>
        <v>82.046623524629794</v>
      </c>
      <c r="AL49" s="22">
        <f t="shared" si="4"/>
        <v>756.57760263872979</v>
      </c>
      <c r="AM49" s="62">
        <f t="shared" si="5"/>
        <v>1049.910935972063</v>
      </c>
      <c r="AN49" s="62">
        <f ca="1">AVERAGE(OFFSET($AM$3,0,0,'Données projet'!$E$10+1,1))-AVERAGE(OFFSET($H$3,0,0,'Données projet'!$E$10+1,1))</f>
        <v>482.28841373508675</v>
      </c>
      <c r="AO49" s="62">
        <f t="shared" si="36"/>
        <v>746.97309214631684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99.900518934806897</v>
      </c>
      <c r="AV49" s="23">
        <f>EXP(-LN(2)/25)*AV48+(1-EXP(-LN(2)/25))/(LN(2)/25)*Calculateur!AQ49*Calculateur!AS49*VLOOKUP('Données projet'!$B$10,Paramètres!$A$1:$I$89,3,0)*0.475*44/12</f>
        <v>22.202891431190313</v>
      </c>
      <c r="AW49" s="23">
        <f>EXP(-LN(2)/2)*AW48+(1-EXP(-LN(2)/2))/(LN(2)/2)*AQ49*AT49*VLOOKUP('Données projet'!$B$10,Paramètres!$A$1:$I$89,3,0)*0.475*44/12</f>
        <v>3.2068954144416248</v>
      </c>
      <c r="AX49" s="23">
        <f t="shared" si="6"/>
        <v>125.31030578043882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21.1</v>
      </c>
      <c r="BD49" s="13">
        <f>IF('Données projet'!$A$88&gt;35,BD48+BC49-BL48,IF(A49&lt;'Données projet'!$A$88,$BA$205^A49,IF(A49='Données projet'!$A$88,'Données projet'!$B$88,BD48+BC49-BL48)))</f>
        <v>401.1</v>
      </c>
      <c r="BE49" s="14">
        <f>BD49*VLOOKUP('Données projet'!$B$11,Paramètres!$A$1:$I$89,3,0)*VLOOKUP('Données projet'!$B$11,Paramètres!$A$1:$I$89,5,0)</f>
        <v>294.08652000000001</v>
      </c>
      <c r="BF49" s="14">
        <f t="shared" si="37"/>
        <v>69.935338191942179</v>
      </c>
      <c r="BG49" s="22">
        <f t="shared" si="7"/>
        <v>634.00473635096603</v>
      </c>
      <c r="BH49" s="62">
        <f t="shared" si="8"/>
        <v>927.3380696842994</v>
      </c>
      <c r="BI49" s="62">
        <f ca="1">AVERAGE(OFFSET($BH$3,0,0,'Données projet'!$E$11+1,1))-AVERAGE(OFFSET($H$3,0,0,'Données projet'!$E$11+1,1))</f>
        <v>350.22629663422435</v>
      </c>
      <c r="BJ49" s="62">
        <f t="shared" si="38"/>
        <v>375.98044319336645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39.958107458537505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39.958107458537505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13.93250000000001</v>
      </c>
      <c r="BY49" s="13">
        <f>IF('Données projet'!$A$114&gt;35,BY48+BX49-CG48,IF(A49&lt;'Données projet'!$A$114,$BV$205^A49,IF(A49='Données projet'!$A$114,'Données projet'!$B$114,BY48+BX49-CG48)))</f>
        <v>267.12700231481477</v>
      </c>
      <c r="BZ49" s="14">
        <f>BY49*VLOOKUP('Données projet'!$B$12,Paramètres!$A$1:$I$89,3,0)*VLOOKUP('Données projet'!$B$12,Paramètres!$A$1:$I$89,5,0)</f>
        <v>212.52624304166662</v>
      </c>
      <c r="CA49" s="14">
        <f t="shared" si="39"/>
        <v>52.487248576327396</v>
      </c>
      <c r="CB49" s="22">
        <f t="shared" si="10"/>
        <v>461.5651645680062</v>
      </c>
      <c r="CC49" s="62">
        <f t="shared" si="11"/>
        <v>754.89849790133951</v>
      </c>
      <c r="CD49" s="62">
        <f ca="1">AVERAGE(OFFSET($CC$3,0,0,'Données projet'!$E$12+1,1))-AVERAGE(OFFSET($H$3,0,0,'Données projet'!$E$12+1,1))</f>
        <v>248.15263300983543</v>
      </c>
      <c r="CE49" s="62">
        <f t="shared" si="40"/>
        <v>266.46511459244618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31.151199520932916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31.151199520932916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13.93250000000001</v>
      </c>
      <c r="CT49" s="13">
        <f>IF('Données projet'!$A$140&gt;35,CT48+CS49-DB48,IF(A49&lt;'Données projet'!$A$140,$CQ$205^A49,IF(A49='Données projet'!$A$140,'Données projet'!$B$140,CT48+CS49-DB48)))</f>
        <v>267.12700231481477</v>
      </c>
      <c r="CU49" s="18">
        <f>CT49*VLOOKUP('Données projet'!$B$13,Paramètres!$A$1:$I$89,3,0)*VLOOKUP('Données projet'!$B$13,Paramètres!$A$1:$I$89,5,0)</f>
        <v>179.18879315277775</v>
      </c>
      <c r="CV49" s="14">
        <f t="shared" si="41"/>
        <v>45.141660171311834</v>
      </c>
      <c r="CW49" s="22">
        <f t="shared" si="13"/>
        <v>390.7088728727893</v>
      </c>
      <c r="CX49" s="62">
        <f t="shared" si="14"/>
        <v>684.04220620612261</v>
      </c>
      <c r="CY49" s="62">
        <f ca="1">AVERAGE(OFFSET($CX$3,0,0,'Données projet'!$E$13+1,1))-AVERAGE(OFFSET($H$3,0,0,'Données projet'!$E$13+1,1))</f>
        <v>205.35893113421139</v>
      </c>
      <c r="CZ49" s="62">
        <f t="shared" si="42"/>
        <v>220.4399811285175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26.264736850982661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26.264736850982661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662.79999999999961</v>
      </c>
      <c r="O50" s="14">
        <f>N50*VLOOKUP('Données projet'!$B$9,Paramètres!$A$1:$I$89,3,0)*VLOOKUP('Données projet'!$B$9,Paramètres!$A$1:$I$89,5,0)</f>
        <v>370.50519999999983</v>
      </c>
      <c r="P50" s="14">
        <f t="shared" si="33"/>
        <v>85.770652719303072</v>
      </c>
      <c r="Q50" s="22">
        <f t="shared" si="53"/>
        <v>794.6804434861192</v>
      </c>
      <c r="R50" s="62">
        <f t="shared" si="0"/>
        <v>1088.0137768194525</v>
      </c>
      <c r="S50" s="62">
        <f ca="1">AVERAGE(OFFSET($R$3,0,0,'Données projet'!$E$9+1,1))-AVERAGE(OFFSET($H$3,0,0,'Données projet'!$E$9+1,1))</f>
        <v>490.96084572840579</v>
      </c>
      <c r="T50" s="62">
        <f t="shared" si="34"/>
        <v>597.91658789908263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82.337021151922229</v>
      </c>
      <c r="AA50" s="23">
        <f>EXP(-LN(2)/25)*AA49+(1-EXP(-LN(2)/25))/(LN(2)/25)*Calculateur!V50*Calculateur!X50*VLOOKUP('Données projet'!$B$9,Paramètres!$A$1:$I$89,3,0)*0.475*44/12</f>
        <v>22.670011385265628</v>
      </c>
      <c r="AB50" s="23">
        <f>EXP(-LN(2)/2)*AB49+(1-EXP(-LN(2)/2))/(LN(2)/2)*V50*Y50*VLOOKUP('Données projet'!$B$9,Paramètres!$A$1:$I$89,3,0)*0.475*44/12</f>
        <v>3.3602834467151821</v>
      </c>
      <c r="AC50" s="24">
        <f t="shared" si="3"/>
        <v>108.36731598390304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17.666666666666668</v>
      </c>
      <c r="AI50" s="14">
        <f>IF('Données projet'!$A$62&gt;35,AI49+AH50-AQ49,IF(A50&lt;'Données projet'!$A$62,$AF$205^A50,IF(A50='Données projet'!$A$62,'Données projet'!$B$62,AI49+AH50-AQ49)))</f>
        <v>582.33333333333303</v>
      </c>
      <c r="AJ50" s="14">
        <f>AI50*VLOOKUP('Données projet'!$B$10,Paramètres!$A$1:$I$89,3,0)*VLOOKUP('Données projet'!$B$10,Paramètres!$A$1:$I$89,5,0)</f>
        <v>363.37599999999986</v>
      </c>
      <c r="AK50" s="14">
        <f t="shared" si="35"/>
        <v>84.310727835802666</v>
      </c>
      <c r="AL50" s="22">
        <f t="shared" si="4"/>
        <v>779.72105098068926</v>
      </c>
      <c r="AM50" s="62">
        <f t="shared" si="5"/>
        <v>1073.0543843140226</v>
      </c>
      <c r="AN50" s="62">
        <f ca="1">AVERAGE(OFFSET($AM$3,0,0,'Données projet'!$E$10+1,1))-AVERAGE(OFFSET($H$3,0,0,'Données projet'!$E$10+1,1))</f>
        <v>482.28841373508675</v>
      </c>
      <c r="AO50" s="62">
        <f t="shared" si="36"/>
        <v>746.97309214631684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97.941530691795222</v>
      </c>
      <c r="AV50" s="23">
        <f>EXP(-LN(2)/25)*AV49+(1-EXP(-LN(2)/25))/(LN(2)/25)*Calculateur!AQ50*Calculateur!AS50*VLOOKUP('Données projet'!$B$10,Paramètres!$A$1:$I$89,3,0)*0.475*44/12</f>
        <v>21.595752197405098</v>
      </c>
      <c r="AW50" s="23">
        <f>EXP(-LN(2)/2)*AW49+(1-EXP(-LN(2)/2))/(LN(2)/2)*AQ50*AT50*VLOOKUP('Données projet'!$B$10,Paramètres!$A$1:$I$89,3,0)*0.475*44/12</f>
        <v>2.267617494107717</v>
      </c>
      <c r="AX50" s="23">
        <f t="shared" si="6"/>
        <v>121.80490038330804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21.1</v>
      </c>
      <c r="BD50" s="13">
        <f>IF('Données projet'!$A$88&gt;35,BD49+BC50-BL49,IF(A50&lt;'Données projet'!$A$88,$BA$205^A50,IF(A50='Données projet'!$A$88,'Données projet'!$B$88,BD49+BC50-BL49)))</f>
        <v>422.20000000000005</v>
      </c>
      <c r="BE50" s="14">
        <f>BD50*VLOOKUP('Données projet'!$B$11,Paramètres!$A$1:$I$89,3,0)*VLOOKUP('Données projet'!$B$11,Paramètres!$A$1:$I$89,5,0)</f>
        <v>309.55704000000003</v>
      </c>
      <c r="BF50" s="14">
        <f t="shared" si="37"/>
        <v>73.17631479625436</v>
      </c>
      <c r="BG50" s="22">
        <f t="shared" si="7"/>
        <v>666.59392627014302</v>
      </c>
      <c r="BH50" s="62">
        <f t="shared" si="8"/>
        <v>959.92725960347639</v>
      </c>
      <c r="BI50" s="62">
        <f ca="1">AVERAGE(OFFSET($BH$3,0,0,'Données projet'!$E$11+1,1))-AVERAGE(OFFSET($H$3,0,0,'Données projet'!$E$11+1,1))</f>
        <v>350.22629663422435</v>
      </c>
      <c r="BJ50" s="62">
        <f t="shared" si="38"/>
        <v>375.98044319336645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39.174553343314592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39.174553343314592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13.93250000000001</v>
      </c>
      <c r="BY50" s="13">
        <f>IF('Données projet'!$A$114&gt;35,BY49+BX50-CG49,IF(A50&lt;'Données projet'!$A$114,$BV$205^A50,IF(A50='Données projet'!$A$114,'Données projet'!$B$114,BY49+BX50-CG49)))</f>
        <v>281.05950231481478</v>
      </c>
      <c r="BZ50" s="14">
        <f>BY50*VLOOKUP('Données projet'!$B$12,Paramètres!$A$1:$I$89,3,0)*VLOOKUP('Données projet'!$B$12,Paramètres!$A$1:$I$89,5,0)</f>
        <v>223.61094004166665</v>
      </c>
      <c r="CA50" s="14">
        <f t="shared" si="39"/>
        <v>54.89896053211951</v>
      </c>
      <c r="CB50" s="22">
        <f t="shared" si="10"/>
        <v>485.07141016601082</v>
      </c>
      <c r="CC50" s="62">
        <f t="shared" si="11"/>
        <v>778.40474349934414</v>
      </c>
      <c r="CD50" s="62">
        <f ca="1">AVERAGE(OFFSET($CC$3,0,0,'Données projet'!$E$12+1,1))-AVERAGE(OFFSET($H$3,0,0,'Données projet'!$E$12+1,1))</f>
        <v>248.15263300983543</v>
      </c>
      <c r="CE50" s="62">
        <f t="shared" si="40"/>
        <v>266.46511459244618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30.540343498683001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30.540343498683001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13.93250000000001</v>
      </c>
      <c r="CT50" s="13">
        <f>IF('Données projet'!$A$140&gt;35,CT49+CS50-DB49,IF(A50&lt;'Données projet'!$A$140,$CQ$205^A50,IF(A50='Données projet'!$A$140,'Données projet'!$B$140,CT49+CS50-DB49)))</f>
        <v>281.05950231481478</v>
      </c>
      <c r="CU50" s="18">
        <f>CT50*VLOOKUP('Données projet'!$B$13,Paramètres!$A$1:$I$89,3,0)*VLOOKUP('Données projet'!$B$13,Paramètres!$A$1:$I$89,5,0)</f>
        <v>188.53471415277775</v>
      </c>
      <c r="CV50" s="14">
        <f t="shared" si="41"/>
        <v>47.215853132315338</v>
      </c>
      <c r="CW50" s="22">
        <f t="shared" si="13"/>
        <v>410.59890468820385</v>
      </c>
      <c r="CX50" s="62">
        <f t="shared" si="14"/>
        <v>703.93223802153716</v>
      </c>
      <c r="CY50" s="62">
        <f ca="1">AVERAGE(OFFSET($CX$3,0,0,'Données projet'!$E$13+1,1))-AVERAGE(OFFSET($H$3,0,0,'Données projet'!$E$13+1,1))</f>
        <v>205.35893113421139</v>
      </c>
      <c r="CZ50" s="62">
        <f t="shared" si="42"/>
        <v>220.4399811285175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25.749701381242534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25.749701381242534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683.19999999999959</v>
      </c>
      <c r="O51" s="14">
        <f>N51*VLOOKUP('Données projet'!$B$9,Paramètres!$A$1:$I$89,3,0)*VLOOKUP('Données projet'!$B$9,Paramètres!$A$1:$I$89,5,0)</f>
        <v>381.90879999999981</v>
      </c>
      <c r="P51" s="14">
        <f t="shared" si="33"/>
        <v>88.099131154986978</v>
      </c>
      <c r="Q51" s="22">
        <f t="shared" si="53"/>
        <v>818.59714676160195</v>
      </c>
      <c r="R51" s="62">
        <f t="shared" si="0"/>
        <v>1111.9304800949353</v>
      </c>
      <c r="S51" s="62">
        <f ca="1">AVERAGE(OFFSET($R$3,0,0,'Données projet'!$E$9+1,1))-AVERAGE(OFFSET($H$3,0,0,'Données projet'!$E$9+1,1))</f>
        <v>490.96084572840579</v>
      </c>
      <c r="T51" s="62">
        <f t="shared" si="34"/>
        <v>597.91658789908263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80.722442387757056</v>
      </c>
      <c r="AA51" s="23">
        <f>EXP(-LN(2)/25)*AA50+(1-EXP(-LN(2)/25))/(LN(2)/25)*Calculateur!V51*Calculateur!X51*VLOOKUP('Données projet'!$B$9,Paramètres!$A$1:$I$89,3,0)*0.475*44/12</f>
        <v>22.050098731771453</v>
      </c>
      <c r="AB51" s="23">
        <f>EXP(-LN(2)/2)*AB50+(1-EXP(-LN(2)/2))/(LN(2)/2)*V51*Y51*VLOOKUP('Données projet'!$B$9,Paramètres!$A$1:$I$89,3,0)*0.475*44/12</f>
        <v>2.3760792118812102</v>
      </c>
      <c r="AC51" s="24">
        <f t="shared" si="3"/>
        <v>105.14862033140972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600</v>
      </c>
      <c r="AG51" s="13">
        <f>VLOOKUP(A51,'Données projet'!$A$61:$I$81,9,0)</f>
        <v>17.666666666666668</v>
      </c>
      <c r="AH51" s="13">
        <f t="array" ref="AH51">INDEX(AG:AG,MIN(IF(ISNUMBER(AG51:AG247),ROW(AG51:AG247),"")))</f>
        <v>17.666666666666668</v>
      </c>
      <c r="AI51" s="14">
        <f>IF('Données projet'!$A$62&gt;35,AI50+AH51-AQ50,IF(A51&lt;'Données projet'!$A$62,$AF$205^A51,IF(A51='Données projet'!$A$62,'Données projet'!$B$62,AI50+AH51-AQ50)))</f>
        <v>599.99999999999966</v>
      </c>
      <c r="AJ51" s="14">
        <f>AI51*VLOOKUP('Données projet'!$B$10,Paramètres!$A$1:$I$89,3,0)*VLOOKUP('Données projet'!$B$10,Paramètres!$A$1:$I$89,5,0)</f>
        <v>374.39999999999981</v>
      </c>
      <c r="AK51" s="14">
        <f t="shared" si="35"/>
        <v>86.56684969744741</v>
      </c>
      <c r="AL51" s="22">
        <f t="shared" si="4"/>
        <v>802.85059655638725</v>
      </c>
      <c r="AM51" s="62">
        <f t="shared" si="5"/>
        <v>1096.1839298897205</v>
      </c>
      <c r="AN51" s="62">
        <f ca="1">AVERAGE(OFFSET($AM$3,0,0,'Données projet'!$E$10+1,1))-AVERAGE(OFFSET($H$3,0,0,'Données projet'!$E$10+1,1))</f>
        <v>482.28841373508675</v>
      </c>
      <c r="AO51" s="62">
        <f t="shared" si="36"/>
        <v>746.97309214631684</v>
      </c>
      <c r="AP51" s="16">
        <f>IF(ISNA(VLOOKUP(A51,'Données projet'!$A$61:$I$81,3,0)),0,VLOOKUP(A51,'Données projet'!$A$61:$I$81,3,0))</f>
        <v>4</v>
      </c>
      <c r="AQ51" s="16">
        <f>IF(ISNA(VLOOKUP(A51,'Données projet'!$A$61:$I$81,4,0)),0,VLOOKUP(A51,'Données projet'!$A$61:$I$81,4,0))</f>
        <v>123</v>
      </c>
      <c r="AR51" s="17">
        <f>IF(ISNA(VLOOKUP(A51,'Données projet'!$A$61:$I$81,5,0)),0%,VLOOKUP(A51,'Données projet'!$A$61:$I$81,5,0)*VLOOKUP('Données projet'!$B$10,Paramètres!$A$1:$I$89,7,0))</f>
        <v>0.42</v>
      </c>
      <c r="AS51" s="17">
        <f>IF(ISNA(VLOOKUP(A51,'Données projet'!$A$61:$I$81,6,0)),0%,VLOOKUP(A51,'Données projet'!$A$61:$I$81,6,0)*VLOOKUP('Données projet'!$B$10,Paramètres!$A$1:$I$89,7,0))</f>
        <v>0.1008</v>
      </c>
      <c r="AT51" s="17">
        <f>IF(ISNA(VLOOKUP(A51,'Données projet'!$A$61:$I$81,7,0)),0%,VLOOKUP(A51,'Données projet'!$A$61:$I$81,7,0))</f>
        <v>0.13200000000000001</v>
      </c>
      <c r="AU51" s="23">
        <f>EXP(-LN(2)/35)*AU50+(1-EXP(-LN(2)/35))/(LN(2)/35)*AQ51*AR51*VLOOKUP('Données projet'!$B$10,Paramètres!$A$1:$I$89,3,0)*0.475*44/12</f>
        <v>138.78387654860029</v>
      </c>
      <c r="AV51" s="23">
        <f>EXP(-LN(2)/25)*AV50+(1-EXP(-LN(2)/25))/(LN(2)/25)*Calculateur!AQ51*Calculateur!AS51*VLOOKUP('Données projet'!$B$10,Paramètres!$A$1:$I$89,3,0)*0.475*44/12</f>
        <v>31.227906168394085</v>
      </c>
      <c r="AW51" s="23">
        <f>EXP(-LN(2)/2)*AW50+(1-EXP(-LN(2)/2))/(LN(2)/2)*AQ51*AT51*VLOOKUP('Données projet'!$B$10,Paramètres!$A$1:$I$89,3,0)*0.475*44/12</f>
        <v>13.074392022787984</v>
      </c>
      <c r="AX51" s="23">
        <f t="shared" si="6"/>
        <v>183.08617473978236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21.1</v>
      </c>
      <c r="BD51" s="13">
        <f>IF('Données projet'!$A$88&gt;35,BD50+BC51-BL50,IF(A51&lt;'Données projet'!$A$88,$BA$205^A51,IF(A51='Données projet'!$A$88,'Données projet'!$B$88,BD50+BC51-BL50)))</f>
        <v>443.30000000000007</v>
      </c>
      <c r="BE51" s="14">
        <f>BD51*VLOOKUP('Données projet'!$B$11,Paramètres!$A$1:$I$89,3,0)*VLOOKUP('Données projet'!$B$11,Paramètres!$A$1:$I$89,5,0)</f>
        <v>325.02756000000005</v>
      </c>
      <c r="BF51" s="14">
        <f t="shared" si="37"/>
        <v>76.398484318281476</v>
      </c>
      <c r="BG51" s="22">
        <f t="shared" si="7"/>
        <v>699.15036052100697</v>
      </c>
      <c r="BH51" s="62">
        <f t="shared" si="8"/>
        <v>992.48369385434034</v>
      </c>
      <c r="BI51" s="62">
        <f ca="1">AVERAGE(OFFSET($BH$3,0,0,'Données projet'!$E$11+1,1))-AVERAGE(OFFSET($H$3,0,0,'Données projet'!$E$11+1,1))</f>
        <v>350.22629663422435</v>
      </c>
      <c r="BJ51" s="62">
        <f t="shared" si="38"/>
        <v>375.98044319336645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38.406364246370387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38.406364246370387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13.93250000000001</v>
      </c>
      <c r="BY51" s="13">
        <f>IF('Données projet'!$A$114&gt;35,BY50+BX51-CG50,IF(A51&lt;'Données projet'!$A$114,$BV$205^A51,IF(A51='Données projet'!$A$114,'Données projet'!$B$114,BY50+BX51-CG50)))</f>
        <v>294.99200231481478</v>
      </c>
      <c r="BZ51" s="14">
        <f>BY51*VLOOKUP('Données projet'!$B$12,Paramètres!$A$1:$I$89,3,0)*VLOOKUP('Données projet'!$B$12,Paramètres!$A$1:$I$89,5,0)</f>
        <v>234.69563704166663</v>
      </c>
      <c r="CA51" s="14">
        <f t="shared" si="39"/>
        <v>57.296790723681049</v>
      </c>
      <c r="CB51" s="22">
        <f t="shared" si="10"/>
        <v>508.55347835798051</v>
      </c>
      <c r="CC51" s="62">
        <f t="shared" si="11"/>
        <v>801.88681169131382</v>
      </c>
      <c r="CD51" s="62">
        <f ca="1">AVERAGE(OFFSET($CC$3,0,0,'Données projet'!$E$12+1,1))-AVERAGE(OFFSET($H$3,0,0,'Données projet'!$E$12+1,1))</f>
        <v>248.15263300983543</v>
      </c>
      <c r="CE51" s="62">
        <f t="shared" si="40"/>
        <v>266.46511459244618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29.941465990444023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29.941465990444023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13.93250000000001</v>
      </c>
      <c r="CT51" s="13">
        <f>IF('Données projet'!$A$140&gt;35,CT50+CS51-DB50,IF(A51&lt;'Données projet'!$A$140,$CQ$205^A51,IF(A51='Données projet'!$A$140,'Données projet'!$B$140,CT50+CS51-DB50)))</f>
        <v>294.99200231481478</v>
      </c>
      <c r="CU51" s="18">
        <f>CT51*VLOOKUP('Données projet'!$B$13,Paramètres!$A$1:$I$89,3,0)*VLOOKUP('Données projet'!$B$13,Paramètres!$A$1:$I$89,5,0)</f>
        <v>197.88063515277776</v>
      </c>
      <c r="CV51" s="14">
        <f t="shared" si="41"/>
        <v>49.27810708145455</v>
      </c>
      <c r="CW51" s="22">
        <f t="shared" si="13"/>
        <v>430.4681427246212</v>
      </c>
      <c r="CX51" s="62">
        <f t="shared" si="14"/>
        <v>723.80147605795446</v>
      </c>
      <c r="CY51" s="62">
        <f ca="1">AVERAGE(OFFSET($CX$3,0,0,'Données projet'!$E$13+1,1))-AVERAGE(OFFSET($H$3,0,0,'Données projet'!$E$13+1,1))</f>
        <v>205.35893113421139</v>
      </c>
      <c r="CZ51" s="62">
        <f t="shared" si="42"/>
        <v>220.4399811285175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25.244765442923395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25.244765442923395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703.59999999999957</v>
      </c>
      <c r="O52" s="14">
        <f>N52*VLOOKUP('Données projet'!$B$9,Paramètres!$A$1:$I$89,3,0)*VLOOKUP('Données projet'!$B$9,Paramètres!$A$1:$I$89,5,0)</f>
        <v>393.3123999999998</v>
      </c>
      <c r="P52" s="14">
        <f t="shared" si="33"/>
        <v>90.419529407700907</v>
      </c>
      <c r="Q52" s="22">
        <f t="shared" si="53"/>
        <v>842.49977705174535</v>
      </c>
      <c r="R52" s="62">
        <f t="shared" si="0"/>
        <v>1135.8331103850787</v>
      </c>
      <c r="S52" s="62">
        <f ca="1">AVERAGE(OFFSET($R$3,0,0,'Données projet'!$E$9+1,1))-AVERAGE(OFFSET($H$3,0,0,'Données projet'!$E$9+1,1))</f>
        <v>490.96084572840579</v>
      </c>
      <c r="T52" s="62">
        <f t="shared" si="34"/>
        <v>597.91658789908263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79.139524528361363</v>
      </c>
      <c r="AA52" s="23">
        <f>EXP(-LN(2)/25)*AA51+(1-EXP(-LN(2)/25))/(LN(2)/25)*Calculateur!V52*Calculateur!X52*VLOOKUP('Données projet'!$B$9,Paramètres!$A$1:$I$89,3,0)*0.475*44/12</f>
        <v>21.447137622386865</v>
      </c>
      <c r="AB52" s="23">
        <f>EXP(-LN(2)/2)*AB51+(1-EXP(-LN(2)/2))/(LN(2)/2)*V52*Y52*VLOOKUP('Données projet'!$B$9,Paramètres!$A$1:$I$89,3,0)*0.475*44/12</f>
        <v>1.6801417233575913</v>
      </c>
      <c r="AC52" s="24">
        <f t="shared" si="3"/>
        <v>102.26680387410582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16</v>
      </c>
      <c r="AI52" s="14">
        <f>IF('Données projet'!$A$62&gt;35,AI51+AH52-AQ51,IF(A52&lt;'Données projet'!$A$62,$AF$205^A52,IF(A52='Données projet'!$A$62,'Données projet'!$B$62,AI51+AH52-AQ51)))</f>
        <v>492.99999999999966</v>
      </c>
      <c r="AJ52" s="14">
        <f>AI52*VLOOKUP('Données projet'!$B$10,Paramètres!$A$1:$I$89,3,0)*VLOOKUP('Données projet'!$B$10,Paramètres!$A$1:$I$89,5,0)</f>
        <v>307.63199999999978</v>
      </c>
      <c r="AK52" s="14">
        <f t="shared" si="35"/>
        <v>72.774077039465496</v>
      </c>
      <c r="AL52" s="22">
        <f t="shared" si="4"/>
        <v>662.54058417706869</v>
      </c>
      <c r="AM52" s="62">
        <f t="shared" si="5"/>
        <v>955.87391751040195</v>
      </c>
      <c r="AN52" s="62">
        <f ca="1">AVERAGE(OFFSET($AM$3,0,0,'Données projet'!$E$10+1,1))-AVERAGE(OFFSET($H$3,0,0,'Données projet'!$E$10+1,1))</f>
        <v>482.28841373508675</v>
      </c>
      <c r="AO52" s="62">
        <f t="shared" si="36"/>
        <v>746.97309214631684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136.06240937928845</v>
      </c>
      <c r="AV52" s="23">
        <f>EXP(-LN(2)/25)*AV51+(1-EXP(-LN(2)/25))/(LN(2)/25)*Calculateur!AQ52*Calculateur!AS52*VLOOKUP('Données projet'!$B$10,Paramètres!$A$1:$I$89,3,0)*0.475*44/12</f>
        <v>30.373977432015135</v>
      </c>
      <c r="AW52" s="23">
        <f>EXP(-LN(2)/2)*AW51+(1-EXP(-LN(2)/2))/(LN(2)/2)*AQ52*AT52*VLOOKUP('Données projet'!$B$10,Paramètres!$A$1:$I$89,3,0)*0.475*44/12</f>
        <v>9.2449912592046868</v>
      </c>
      <c r="AX52" s="23">
        <f t="shared" si="6"/>
        <v>175.68137807050826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21.1</v>
      </c>
      <c r="BD52" s="13">
        <f>IF('Données projet'!$A$88&gt;35,BD51+BC52-BL51,IF(A52&lt;'Données projet'!$A$88,$BA$205^A52,IF(A52='Données projet'!$A$88,'Données projet'!$B$88,BD51+BC52-BL51)))</f>
        <v>464.40000000000009</v>
      </c>
      <c r="BE52" s="14">
        <f>BD52*VLOOKUP('Données projet'!$B$11,Paramètres!$A$1:$I$89,3,0)*VLOOKUP('Données projet'!$B$11,Paramètres!$A$1:$I$89,5,0)</f>
        <v>340.49808000000007</v>
      </c>
      <c r="BF52" s="14">
        <f t="shared" si="37"/>
        <v>79.602844134329573</v>
      </c>
      <c r="BG52" s="22">
        <f t="shared" si="7"/>
        <v>731.67577620062411</v>
      </c>
      <c r="BH52" s="62">
        <f t="shared" si="8"/>
        <v>1025.0091095339574</v>
      </c>
      <c r="BI52" s="62">
        <f ca="1">AVERAGE(OFFSET($BH$3,0,0,'Données projet'!$E$11+1,1))-AVERAGE(OFFSET($H$3,0,0,'Données projet'!$E$11+1,1))</f>
        <v>350.22629663422435</v>
      </c>
      <c r="BJ52" s="62">
        <f t="shared" si="38"/>
        <v>375.98044319336645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37.653238869068169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37.653238869068169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13.93250000000001</v>
      </c>
      <c r="BY52" s="13">
        <f>IF('Données projet'!$A$114&gt;35,BY51+BX52-CG51,IF(A52&lt;'Données projet'!$A$114,$BV$205^A52,IF(A52='Données projet'!$A$114,'Données projet'!$B$114,BY51+BX52-CG51)))</f>
        <v>308.92450231481479</v>
      </c>
      <c r="BZ52" s="14">
        <f>BY52*VLOOKUP('Données projet'!$B$12,Paramètres!$A$1:$I$89,3,0)*VLOOKUP('Données projet'!$B$12,Paramètres!$A$1:$I$89,5,0)</f>
        <v>245.78033404166666</v>
      </c>
      <c r="CA52" s="14">
        <f t="shared" si="39"/>
        <v>59.681469651358206</v>
      </c>
      <c r="CB52" s="22">
        <f t="shared" si="10"/>
        <v>532.01264143201831</v>
      </c>
      <c r="CC52" s="62">
        <f t="shared" si="11"/>
        <v>825.34597476535168</v>
      </c>
      <c r="CD52" s="62">
        <f ca="1">AVERAGE(OFFSET($CC$3,0,0,'Données projet'!$E$12+1,1))-AVERAGE(OFFSET($H$3,0,0,'Données projet'!$E$12+1,1))</f>
        <v>248.15263300983543</v>
      </c>
      <c r="CE52" s="62">
        <f t="shared" si="40"/>
        <v>266.46511459244618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29.354332104862397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29.354332104862397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13.93250000000001</v>
      </c>
      <c r="CT52" s="13">
        <f>IF('Données projet'!$A$140&gt;35,CT51+CS52-DB51,IF(A52&lt;'Données projet'!$A$140,$CQ$205^A52,IF(A52='Données projet'!$A$140,'Données projet'!$B$140,CT51+CS52-DB51)))</f>
        <v>308.92450231481479</v>
      </c>
      <c r="CU52" s="18">
        <f>CT52*VLOOKUP('Données projet'!$B$13,Paramètres!$A$1:$I$89,3,0)*VLOOKUP('Données projet'!$B$13,Paramètres!$A$1:$I$89,5,0)</f>
        <v>207.22655615277776</v>
      </c>
      <c r="CV52" s="14">
        <f t="shared" si="41"/>
        <v>51.32905028558055</v>
      </c>
      <c r="CW52" s="22">
        <f t="shared" si="13"/>
        <v>450.31768121347403</v>
      </c>
      <c r="CX52" s="62">
        <f t="shared" si="14"/>
        <v>743.65101454680735</v>
      </c>
      <c r="CY52" s="62">
        <f ca="1">AVERAGE(OFFSET($CX$3,0,0,'Données projet'!$E$13+1,1))-AVERAGE(OFFSET($H$3,0,0,'Données projet'!$E$13+1,1))</f>
        <v>205.35893113421139</v>
      </c>
      <c r="CZ52" s="62">
        <f t="shared" si="42"/>
        <v>220.4399811285175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24.749730990374182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24.749730990374182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724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723.99999999999955</v>
      </c>
      <c r="O53" s="14">
        <f>N53*VLOOKUP('Données projet'!$B$9,Paramètres!$A$1:$I$89,3,0)*VLOOKUP('Données projet'!$B$9,Paramètres!$A$1:$I$89,5,0)</f>
        <v>404.71599999999978</v>
      </c>
      <c r="P53" s="14">
        <f t="shared" si="33"/>
        <v>92.732108655131142</v>
      </c>
      <c r="Q53" s="22">
        <f t="shared" si="53"/>
        <v>866.38878924101971</v>
      </c>
      <c r="R53" s="62">
        <f t="shared" si="0"/>
        <v>1159.7221225743531</v>
      </c>
      <c r="S53" s="62">
        <f ca="1">AVERAGE(OFFSET($R$3,0,0,'Données projet'!$E$9+1,1))-AVERAGE(OFFSET($H$3,0,0,'Données projet'!$E$9+1,1))</f>
        <v>490.96084572840579</v>
      </c>
      <c r="T53" s="62">
        <f t="shared" si="34"/>
        <v>597.91658789908263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projet'!$B$9,Paramètres!$A$1:$I$89,7,0))</f>
        <v>0.38500000000000001</v>
      </c>
      <c r="X53" s="17">
        <f>IF(ISNA(VLOOKUP(A53,'Données projet'!$A$35:$I$55,6,0)),0%,VLOOKUP(A53,'Données projet'!$A$35:$I$55,6,0)*VLOOKUP('Données projet'!$B$9,Paramètres!$A$1:$I$89,7,0))</f>
        <v>9.240000000000001E-2</v>
      </c>
      <c r="Y53" s="17">
        <f>IF(ISNA(VLOOKUP(A53,'Données projet'!$A$35:$I$55,7,0)),0%,VLOOKUP(A53,'Données projet'!$A$35:$I$55,7,0))</f>
        <v>0.13200000000000001</v>
      </c>
      <c r="Z53" s="23">
        <f>EXP(-LN(2)/35)*Z52+(1-EXP(-LN(2)/35))/(LN(2)/35)*V53*W53*VLOOKUP('Données projet'!$B$9,Paramètres!$A$1:$I$89,3,0)*0.475*44/12</f>
        <v>95.288434017903938</v>
      </c>
      <c r="AA53" s="23">
        <f>EXP(-LN(2)/25)*AA52+(1-EXP(-LN(2)/25))/(LN(2)/25)*Calculateur!V53*Calculateur!X53*VLOOKUP('Données projet'!$B$9,Paramètres!$A$1:$I$89,3,0)*0.475*44/12</f>
        <v>25.092126728508383</v>
      </c>
      <c r="AB53" s="23">
        <f>EXP(-LN(2)/2)*AB52+(1-EXP(-LN(2)/2))/(LN(2)/2)*V53*Y53*VLOOKUP('Données projet'!$B$9,Paramètres!$A$1:$I$89,3,0)*0.475*44/12</f>
        <v>6.3678393256733425</v>
      </c>
      <c r="AC53" s="24">
        <f t="shared" si="3"/>
        <v>126.74840007208567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16</v>
      </c>
      <c r="AI53" s="14">
        <f>IF('Données projet'!$A$62&gt;35,AI52+AH53-AQ52,IF(A53&lt;'Données projet'!$A$62,$AF$205^A53,IF(A53='Données projet'!$A$62,'Données projet'!$B$62,AI52+AH53-AQ52)))</f>
        <v>508.99999999999966</v>
      </c>
      <c r="AJ53" s="14">
        <f>AI53*VLOOKUP('Données projet'!$B$10,Paramètres!$A$1:$I$89,3,0)*VLOOKUP('Données projet'!$B$10,Paramètres!$A$1:$I$89,5,0)</f>
        <v>317.61599999999976</v>
      </c>
      <c r="AK53" s="14">
        <f t="shared" si="35"/>
        <v>74.857100423703955</v>
      </c>
      <c r="AL53" s="22">
        <f t="shared" si="4"/>
        <v>683.55731657128399</v>
      </c>
      <c r="AM53" s="62">
        <f t="shared" si="5"/>
        <v>976.89064990461725</v>
      </c>
      <c r="AN53" s="62">
        <f ca="1">AVERAGE(OFFSET($AM$3,0,0,'Données projet'!$E$10+1,1))-AVERAGE(OFFSET($H$3,0,0,'Données projet'!$E$10+1,1))</f>
        <v>482.28841373508675</v>
      </c>
      <c r="AO53" s="62">
        <f t="shared" si="36"/>
        <v>746.97309214631684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133.39430852123576</v>
      </c>
      <c r="AV53" s="23">
        <f>EXP(-LN(2)/25)*AV52+(1-EXP(-LN(2)/25))/(LN(2)/25)*Calculateur!AQ53*Calculateur!AS53*VLOOKUP('Données projet'!$B$10,Paramètres!$A$1:$I$89,3,0)*0.475*44/12</f>
        <v>29.543399421838629</v>
      </c>
      <c r="AW53" s="23">
        <f>EXP(-LN(2)/2)*AW52+(1-EXP(-LN(2)/2))/(LN(2)/2)*AQ53*AT53*VLOOKUP('Données projet'!$B$10,Paramètres!$A$1:$I$89,3,0)*0.475*44/12</f>
        <v>6.5371960113939931</v>
      </c>
      <c r="AX53" s="23">
        <f t="shared" si="6"/>
        <v>169.47490395446837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21.1</v>
      </c>
      <c r="BD53" s="13">
        <f>IF('Données projet'!$A$88&gt;35,BD52+BC53-BL52,IF(A53&lt;'Données projet'!$A$88,$BA$205^A53,IF(A53='Données projet'!$A$88,'Données projet'!$B$88,BD52+BC53-BL52)))</f>
        <v>485.50000000000011</v>
      </c>
      <c r="BE53" s="14">
        <f>BD53*VLOOKUP('Données projet'!$B$11,Paramètres!$A$1:$I$89,3,0)*VLOOKUP('Données projet'!$B$11,Paramètres!$A$1:$I$89,5,0)</f>
        <v>355.96860000000004</v>
      </c>
      <c r="BF53" s="14">
        <f t="shared" si="37"/>
        <v>82.790295866098276</v>
      </c>
      <c r="BG53" s="22">
        <f t="shared" si="7"/>
        <v>764.17174363345441</v>
      </c>
      <c r="BH53" s="62">
        <f t="shared" si="8"/>
        <v>1057.5050769667878</v>
      </c>
      <c r="BI53" s="62">
        <f ca="1">AVERAGE(OFFSET($BH$3,0,0,'Données projet'!$E$11+1,1))-AVERAGE(OFFSET($H$3,0,0,'Données projet'!$E$11+1,1))</f>
        <v>350.22629663422435</v>
      </c>
      <c r="BJ53" s="62">
        <f t="shared" si="38"/>
        <v>375.98044319336645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36.914881821053726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36.914881821053726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13.93250000000001</v>
      </c>
      <c r="BY53" s="13">
        <f>IF('Données projet'!$A$114&gt;35,BY52+BX53-CG52,IF(A53&lt;'Données projet'!$A$114,$BV$205^A53,IF(A53='Données projet'!$A$114,'Données projet'!$B$114,BY52+BX53-CG52)))</f>
        <v>322.85700231481479</v>
      </c>
      <c r="BZ53" s="14">
        <f>BY53*VLOOKUP('Données projet'!$B$12,Paramètres!$A$1:$I$89,3,0)*VLOOKUP('Données projet'!$B$12,Paramètres!$A$1:$I$89,5,0)</f>
        <v>256.86503104166667</v>
      </c>
      <c r="CA53" s="14">
        <f t="shared" si="39"/>
        <v>62.053658199502841</v>
      </c>
      <c r="CB53" s="22">
        <f t="shared" si="10"/>
        <v>555.45005042837022</v>
      </c>
      <c r="CC53" s="62">
        <f t="shared" si="11"/>
        <v>848.78338376170359</v>
      </c>
      <c r="CD53" s="62">
        <f ca="1">AVERAGE(OFFSET($CC$3,0,0,'Données projet'!$E$12+1,1))-AVERAGE(OFFSET($H$3,0,0,'Données projet'!$E$12+1,1))</f>
        <v>248.15263300983543</v>
      </c>
      <c r="CE53" s="62">
        <f t="shared" si="40"/>
        <v>266.46511459244618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28.778711556660721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28.778711556660721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13.93250000000001</v>
      </c>
      <c r="CT53" s="13">
        <f>IF('Données projet'!$A$140&gt;35,CT52+CS53-DB52,IF(A53&lt;'Données projet'!$A$140,$CQ$205^A53,IF(A53='Données projet'!$A$140,'Données projet'!$B$140,CT52+CS53-DB52)))</f>
        <v>322.85700231481479</v>
      </c>
      <c r="CU53" s="18">
        <f>CT53*VLOOKUP('Données projet'!$B$13,Paramètres!$A$1:$I$89,3,0)*VLOOKUP('Données projet'!$B$13,Paramètres!$A$1:$I$89,5,0)</f>
        <v>216.57247715277776</v>
      </c>
      <c r="CV53" s="14">
        <f t="shared" si="41"/>
        <v>53.3692511383057</v>
      </c>
      <c r="CW53" s="22">
        <f t="shared" si="13"/>
        <v>470.14851010697026</v>
      </c>
      <c r="CX53" s="62">
        <f t="shared" si="14"/>
        <v>763.48184344030358</v>
      </c>
      <c r="CY53" s="62">
        <f ca="1">AVERAGE(OFFSET($CX$3,0,0,'Données projet'!$E$13+1,1))-AVERAGE(OFFSET($H$3,0,0,'Données projet'!$E$13+1,1))</f>
        <v>205.35893113421139</v>
      </c>
      <c r="CZ53" s="62">
        <f t="shared" si="42"/>
        <v>220.4399811285175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24.264403861498259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24.264403861498259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15.4</v>
      </c>
      <c r="N54" s="14">
        <f>IF('Données projet'!$A$36&gt;35,N53+M54-V53,IF(A54&lt;'Données projet'!$A$36,$K$205^A54,IF(A54='Données projet'!$A$36,'Données projet'!$B$36,N53+M54-V53)))</f>
        <v>677.39999999999952</v>
      </c>
      <c r="O54" s="14">
        <f>N54*VLOOKUP('Données projet'!$B$9,Paramètres!$A$1:$I$89,3,0)*VLOOKUP('Données projet'!$B$9,Paramètres!$A$1:$I$89,5,0)</f>
        <v>378.66659999999979</v>
      </c>
      <c r="P54" s="14">
        <f t="shared" si="33"/>
        <v>87.437946637883755</v>
      </c>
      <c r="Q54" s="22">
        <f t="shared" si="53"/>
        <v>811.79875206098052</v>
      </c>
      <c r="R54" s="62">
        <f t="shared" si="0"/>
        <v>1105.1320853943139</v>
      </c>
      <c r="S54" s="62">
        <f ca="1">AVERAGE(OFFSET($R$3,0,0,'Données projet'!$E$9+1,1))-AVERAGE(OFFSET($H$3,0,0,'Données projet'!$E$9+1,1))</f>
        <v>490.96084572840579</v>
      </c>
      <c r="T54" s="62">
        <f t="shared" si="34"/>
        <v>597.91658789908263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93.419885947018699</v>
      </c>
      <c r="AA54" s="23">
        <f>EXP(-LN(2)/25)*AA53+(1-EXP(-LN(2)/25))/(LN(2)/25)*Calculateur!V54*Calculateur!X54*VLOOKUP('Données projet'!$B$9,Paramètres!$A$1:$I$89,3,0)*0.475*44/12</f>
        <v>24.405981203579724</v>
      </c>
      <c r="AB54" s="23">
        <f>EXP(-LN(2)/2)*AB53+(1-EXP(-LN(2)/2))/(LN(2)/2)*V54*Y54*VLOOKUP('Données projet'!$B$9,Paramètres!$A$1:$I$89,3,0)*0.475*44/12</f>
        <v>4.5027423686899928</v>
      </c>
      <c r="AC54" s="24">
        <f t="shared" si="3"/>
        <v>122.32860951928842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16</v>
      </c>
      <c r="AI54" s="14">
        <f>IF('Données projet'!$A$62&gt;35,AI53+AH54-AQ53,IF(A54&lt;'Données projet'!$A$62,$AF$205^A54,IF(A54='Données projet'!$A$62,'Données projet'!$B$62,AI53+AH54-AQ53)))</f>
        <v>524.99999999999966</v>
      </c>
      <c r="AJ54" s="14">
        <f>AI54*VLOOKUP('Données projet'!$B$10,Paramètres!$A$1:$I$89,3,0)*VLOOKUP('Données projet'!$B$10,Paramètres!$A$1:$I$89,5,0)</f>
        <v>327.5999999999998</v>
      </c>
      <c r="AK54" s="14">
        <f t="shared" si="35"/>
        <v>76.932514754922536</v>
      </c>
      <c r="AL54" s="22">
        <f t="shared" si="4"/>
        <v>704.5607965314897</v>
      </c>
      <c r="AM54" s="62">
        <f t="shared" si="5"/>
        <v>997.89412986482307</v>
      </c>
      <c r="AN54" s="62">
        <f ca="1">AVERAGE(OFFSET($AM$3,0,0,'Données projet'!$E$10+1,1))-AVERAGE(OFFSET($H$3,0,0,'Données projet'!$E$10+1,1))</f>
        <v>482.28841373508675</v>
      </c>
      <c r="AO54" s="62">
        <f t="shared" si="36"/>
        <v>746.97309214631684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130.77852749362864</v>
      </c>
      <c r="AV54" s="23">
        <f>EXP(-LN(2)/25)*AV53+(1-EXP(-LN(2)/25))/(LN(2)/25)*Calculateur!AQ54*Calculateur!AS54*VLOOKUP('Données projet'!$B$10,Paramètres!$A$1:$I$89,3,0)*0.475*44/12</f>
        <v>28.735533611028597</v>
      </c>
      <c r="AW54" s="23">
        <f>EXP(-LN(2)/2)*AW53+(1-EXP(-LN(2)/2))/(LN(2)/2)*AQ54*AT54*VLOOKUP('Données projet'!$B$10,Paramètres!$A$1:$I$89,3,0)*0.475*44/12</f>
        <v>4.6224956296023434</v>
      </c>
      <c r="AX54" s="23">
        <f t="shared" si="6"/>
        <v>164.13655673425959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21.1</v>
      </c>
      <c r="BD54" s="13">
        <f>IF('Données projet'!$A$88&gt;35,BD53+BC54-BL53,IF(A54&lt;'Données projet'!$A$88,$BA$205^A54,IF(A54='Données projet'!$A$88,'Données projet'!$B$88,BD53+BC54-BL53)))</f>
        <v>506.60000000000014</v>
      </c>
      <c r="BE54" s="14">
        <f>BD54*VLOOKUP('Données projet'!$B$11,Paramètres!$A$1:$I$89,3,0)*VLOOKUP('Données projet'!$B$11,Paramètres!$A$1:$I$89,5,0)</f>
        <v>371.43912000000012</v>
      </c>
      <c r="BF54" s="14">
        <f t="shared" si="37"/>
        <v>85.961658333875548</v>
      </c>
      <c r="BG54" s="22">
        <f t="shared" si="7"/>
        <v>796.63968893150013</v>
      </c>
      <c r="BH54" s="62">
        <f t="shared" si="8"/>
        <v>1089.9730222648334</v>
      </c>
      <c r="BI54" s="62">
        <f ca="1">AVERAGE(OFFSET($BH$3,0,0,'Données projet'!$E$11+1,1))-AVERAGE(OFFSET($H$3,0,0,'Données projet'!$E$11+1,1))</f>
        <v>350.22629663422435</v>
      </c>
      <c r="BJ54" s="62">
        <f t="shared" si="38"/>
        <v>375.98044319336645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36.191003504397514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36.191003504397514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13.93250000000001</v>
      </c>
      <c r="BY54" s="13">
        <f>IF('Données projet'!$A$114&gt;35,BY53+BX54-CG53,IF(A54&lt;'Données projet'!$A$114,$BV$205^A54,IF(A54='Données projet'!$A$114,'Données projet'!$B$114,BY53+BX54-CG53)))</f>
        <v>336.7895023148148</v>
      </c>
      <c r="BZ54" s="14">
        <f>BY54*VLOOKUP('Données projet'!$B$12,Paramètres!$A$1:$I$89,3,0)*VLOOKUP('Données projet'!$B$12,Paramètres!$A$1:$I$89,5,0)</f>
        <v>267.94972804166667</v>
      </c>
      <c r="CA54" s="14">
        <f t="shared" si="39"/>
        <v>64.413956987327367</v>
      </c>
      <c r="CB54" s="22">
        <f t="shared" si="10"/>
        <v>578.86675142549791</v>
      </c>
      <c r="CC54" s="62">
        <f t="shared" si="11"/>
        <v>872.20008475883128</v>
      </c>
      <c r="CD54" s="62">
        <f ca="1">AVERAGE(OFFSET($CC$3,0,0,'Données projet'!$E$12+1,1))-AVERAGE(OFFSET($H$3,0,0,'Données projet'!$E$12+1,1))</f>
        <v>248.15263300983543</v>
      </c>
      <c r="CE54" s="62">
        <f t="shared" si="40"/>
        <v>266.46511459244618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28.214378576315411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28.214378576315411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13.93250000000001</v>
      </c>
      <c r="CT54" s="13">
        <f>IF('Données projet'!$A$140&gt;35,CT53+CS54-DB53,IF(A54&lt;'Données projet'!$A$140,$CQ$205^A54,IF(A54='Données projet'!$A$140,'Données projet'!$B$140,CT53+CS54-DB53)))</f>
        <v>336.7895023148148</v>
      </c>
      <c r="CU54" s="18">
        <f>CT54*VLOOKUP('Données projet'!$B$13,Paramètres!$A$1:$I$89,3,0)*VLOOKUP('Données projet'!$B$13,Paramètres!$A$1:$I$89,5,0)</f>
        <v>225.9183981527778</v>
      </c>
      <c r="CV54" s="14">
        <f t="shared" si="41"/>
        <v>55.399226202207011</v>
      </c>
      <c r="CW54" s="22">
        <f t="shared" si="13"/>
        <v>489.96152908493178</v>
      </c>
      <c r="CX54" s="62">
        <f t="shared" si="14"/>
        <v>783.2948624182651</v>
      </c>
      <c r="CY54" s="62">
        <f ca="1">AVERAGE(OFFSET($CX$3,0,0,'Données projet'!$E$13+1,1))-AVERAGE(OFFSET($H$3,0,0,'Données projet'!$E$13+1,1))</f>
        <v>205.35893113421139</v>
      </c>
      <c r="CZ54" s="62">
        <f t="shared" si="42"/>
        <v>220.4399811285175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23.788593701599272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23.788593701599272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15.4</v>
      </c>
      <c r="N55" s="14">
        <f>IF('Données projet'!$A$36&gt;35,N54+M55-V54,IF(A55&lt;'Données projet'!$A$36,$K$205^A55,IF(A55='Données projet'!$A$36,'Données projet'!$B$36,N54+M55-V54)))</f>
        <v>692.7999999999995</v>
      </c>
      <c r="O55" s="14">
        <f>N55*VLOOKUP('Données projet'!$B$9,Paramètres!$A$1:$I$89,3,0)*VLOOKUP('Données projet'!$B$9,Paramètres!$A$1:$I$89,5,0)</f>
        <v>387.2751999999997</v>
      </c>
      <c r="P55" s="14">
        <f t="shared" si="33"/>
        <v>89.192073473767834</v>
      </c>
      <c r="Q55" s="22">
        <f t="shared" si="53"/>
        <v>829.84716796681175</v>
      </c>
      <c r="R55" s="62">
        <f t="shared" si="0"/>
        <v>1123.1805013001451</v>
      </c>
      <c r="S55" s="62">
        <f ca="1">AVERAGE(OFFSET($R$3,0,0,'Données projet'!$E$9+1,1))-AVERAGE(OFFSET($H$3,0,0,'Données projet'!$E$9+1,1))</f>
        <v>490.96084572840579</v>
      </c>
      <c r="T55" s="62">
        <f t="shared" si="34"/>
        <v>597.91658789908263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91.587978964101737</v>
      </c>
      <c r="AA55" s="23">
        <f>EXP(-LN(2)/25)*AA54+(1-EXP(-LN(2)/25))/(LN(2)/25)*Calculateur!V55*Calculateur!X55*VLOOKUP('Données projet'!$B$9,Paramètres!$A$1:$I$89,3,0)*0.475*44/12</f>
        <v>23.738598364113066</v>
      </c>
      <c r="AB55" s="23">
        <f>EXP(-LN(2)/2)*AB54+(1-EXP(-LN(2)/2))/(LN(2)/2)*V55*Y55*VLOOKUP('Données projet'!$B$9,Paramètres!$A$1:$I$89,3,0)*0.475*44/12</f>
        <v>3.1839196628366717</v>
      </c>
      <c r="AC55" s="24">
        <f t="shared" si="3"/>
        <v>118.51049699105147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16</v>
      </c>
      <c r="AI55" s="14">
        <f>IF('Données projet'!$A$62&gt;35,AI54+AH55-AQ54,IF(A55&lt;'Données projet'!$A$62,$AF$205^A55,IF(A55='Données projet'!$A$62,'Données projet'!$B$62,AI54+AH55-AQ54)))</f>
        <v>540.99999999999966</v>
      </c>
      <c r="AJ55" s="14">
        <f>AI55*VLOOKUP('Données projet'!$B$10,Paramètres!$A$1:$I$89,3,0)*VLOOKUP('Données projet'!$B$10,Paramètres!$A$1:$I$89,5,0)</f>
        <v>337.58399999999978</v>
      </c>
      <c r="AK55" s="14">
        <f t="shared" si="35"/>
        <v>79.000578543161197</v>
      </c>
      <c r="AL55" s="22">
        <f t="shared" si="4"/>
        <v>725.55147429600538</v>
      </c>
      <c r="AM55" s="62">
        <f t="shared" si="5"/>
        <v>1018.8848076293386</v>
      </c>
      <c r="AN55" s="62">
        <f ca="1">AVERAGE(OFFSET($AM$3,0,0,'Données projet'!$E$10+1,1))-AVERAGE(OFFSET($H$3,0,0,'Données projet'!$E$10+1,1))</f>
        <v>482.28841373508675</v>
      </c>
      <c r="AO55" s="62">
        <f t="shared" si="36"/>
        <v>746.97309214631684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128.21404033650401</v>
      </c>
      <c r="AV55" s="23">
        <f>EXP(-LN(2)/25)*AV54+(1-EXP(-LN(2)/25))/(LN(2)/25)*Calculateur!AQ55*Calculateur!AS55*VLOOKUP('Données projet'!$B$10,Paramètres!$A$1:$I$89,3,0)*0.475*44/12</f>
        <v>27.949758933298984</v>
      </c>
      <c r="AW55" s="23">
        <f>EXP(-LN(2)/2)*AW54+(1-EXP(-LN(2)/2))/(LN(2)/2)*AQ55*AT55*VLOOKUP('Données projet'!$B$10,Paramètres!$A$1:$I$89,3,0)*0.475*44/12</f>
        <v>3.2685980056969965</v>
      </c>
      <c r="AX55" s="23">
        <f t="shared" si="6"/>
        <v>159.43239727549999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21.1</v>
      </c>
      <c r="BD55" s="13">
        <f>IF('Données projet'!$A$88&gt;35,BD54+BC55-BL54,IF(A55&lt;'Données projet'!$A$88,$BA$205^A55,IF(A55='Données projet'!$A$88,'Données projet'!$B$88,BD54+BC55-BL54)))</f>
        <v>527.70000000000016</v>
      </c>
      <c r="BE55" s="14">
        <f>BD55*VLOOKUP('Données projet'!$B$11,Paramètres!$A$1:$I$89,3,0)*VLOOKUP('Données projet'!$B$11,Paramètres!$A$1:$I$89,5,0)</f>
        <v>386.90964000000014</v>
      </c>
      <c r="BF55" s="14">
        <f t="shared" si="37"/>
        <v>89.11767829091049</v>
      </c>
      <c r="BG55" s="22">
        <f t="shared" si="7"/>
        <v>829.08091269000261</v>
      </c>
      <c r="BH55" s="62">
        <f t="shared" si="8"/>
        <v>1122.4142460233359</v>
      </c>
      <c r="BI55" s="62">
        <f ca="1">AVERAGE(OFFSET($BH$3,0,0,'Données projet'!$E$11+1,1))-AVERAGE(OFFSET($H$3,0,0,'Données projet'!$E$11+1,1))</f>
        <v>350.22629663422435</v>
      </c>
      <c r="BJ55" s="62">
        <f t="shared" si="38"/>
        <v>375.98044319336645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35.481320000008758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35.481320000008758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13.93250000000001</v>
      </c>
      <c r="BY55" s="13">
        <f>IF('Données projet'!$A$114&gt;35,BY54+BX55-CG54,IF(A55&lt;'Données projet'!$A$114,$BV$205^A55,IF(A55='Données projet'!$A$114,'Données projet'!$B$114,BY54+BX55-CG54)))</f>
        <v>350.7220023148148</v>
      </c>
      <c r="BZ55" s="14">
        <f>BY55*VLOOKUP('Données projet'!$B$12,Paramètres!$A$1:$I$89,3,0)*VLOOKUP('Données projet'!$B$12,Paramètres!$A$1:$I$89,5,0)</f>
        <v>279.03442504166668</v>
      </c>
      <c r="CA55" s="14">
        <f t="shared" si="39"/>
        <v>66.762914128841388</v>
      </c>
      <c r="CB55" s="22">
        <f t="shared" si="10"/>
        <v>602.26369905530157</v>
      </c>
      <c r="CC55" s="62">
        <f t="shared" si="11"/>
        <v>895.59703238863494</v>
      </c>
      <c r="CD55" s="62">
        <f ca="1">AVERAGE(OFFSET($CC$3,0,0,'Données projet'!$E$12+1,1))-AVERAGE(OFFSET($H$3,0,0,'Données projet'!$E$12+1,1))</f>
        <v>248.15263300983543</v>
      </c>
      <c r="CE55" s="62">
        <f t="shared" si="40"/>
        <v>266.46511459244618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27.661111821505543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27.661111821505543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13.93250000000001</v>
      </c>
      <c r="CT55" s="13">
        <f>IF('Données projet'!$A$140&gt;35,CT54+CS55-DB54,IF(A55&lt;'Données projet'!$A$140,$CQ$205^A55,IF(A55='Données projet'!$A$140,'Données projet'!$B$140,CT54+CS55-DB54)))</f>
        <v>350.7220023148148</v>
      </c>
      <c r="CU55" s="18">
        <f>CT55*VLOOKUP('Données projet'!$B$13,Paramètres!$A$1:$I$89,3,0)*VLOOKUP('Données projet'!$B$13,Paramètres!$A$1:$I$89,5,0)</f>
        <v>235.26431915277777</v>
      </c>
      <c r="CV55" s="14">
        <f t="shared" si="41"/>
        <v>57.419446882759672</v>
      </c>
      <c r="CW55" s="22">
        <f t="shared" si="13"/>
        <v>509.75755917856105</v>
      </c>
      <c r="CX55" s="62">
        <f t="shared" si="14"/>
        <v>803.09089251189437</v>
      </c>
      <c r="CY55" s="62">
        <f ca="1">AVERAGE(OFFSET($CX$3,0,0,'Données projet'!$E$13+1,1))-AVERAGE(OFFSET($H$3,0,0,'Données projet'!$E$13+1,1))</f>
        <v>205.35893113421139</v>
      </c>
      <c r="CZ55" s="62">
        <f t="shared" si="42"/>
        <v>220.4399811285175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23.322113888720363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23.322113888720363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15.4</v>
      </c>
      <c r="N56" s="14">
        <f>IF('Données projet'!$A$36&gt;35,N55+M56-V55,IF(A56&lt;'Données projet'!$A$36,$K$205^A56,IF(A56='Données projet'!$A$36,'Données projet'!$B$36,N55+M56-V55)))</f>
        <v>708.19999999999948</v>
      </c>
      <c r="O56" s="14">
        <f>N56*VLOOKUP('Données projet'!$B$9,Paramètres!$A$1:$I$89,3,0)*VLOOKUP('Données projet'!$B$9,Paramètres!$A$1:$I$89,5,0)</f>
        <v>395.88379999999972</v>
      </c>
      <c r="P56" s="14">
        <f t="shared" si="33"/>
        <v>90.941667130422957</v>
      </c>
      <c r="Q56" s="22">
        <f t="shared" si="53"/>
        <v>847.8876885854861</v>
      </c>
      <c r="R56" s="62">
        <f t="shared" si="0"/>
        <v>1141.2210219188194</v>
      </c>
      <c r="S56" s="62">
        <f ca="1">AVERAGE(OFFSET($R$3,0,0,'Données projet'!$E$9+1,1))-AVERAGE(OFFSET($H$3,0,0,'Données projet'!$E$9+1,1))</f>
        <v>490.96084572840579</v>
      </c>
      <c r="T56" s="62">
        <f t="shared" si="34"/>
        <v>597.91658789908263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89.791994559766849</v>
      </c>
      <c r="AA56" s="23">
        <f>EXP(-LN(2)/25)*AA55+(1-EXP(-LN(2)/25))/(LN(2)/25)*Calculateur!V56*Calculateur!X56*VLOOKUP('Données projet'!$B$9,Paramètres!$A$1:$I$89,3,0)*0.475*44/12</f>
        <v>23.089465143487761</v>
      </c>
      <c r="AB56" s="23">
        <f>EXP(-LN(2)/2)*AB55+(1-EXP(-LN(2)/2))/(LN(2)/2)*V56*Y56*VLOOKUP('Données projet'!$B$9,Paramètres!$A$1:$I$89,3,0)*0.475*44/12</f>
        <v>2.2513711843449968</v>
      </c>
      <c r="AC56" s="24">
        <f t="shared" si="3"/>
        <v>115.1328308875996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16</v>
      </c>
      <c r="AI56" s="14">
        <f>IF('Données projet'!$A$62&gt;35,AI55+AH56-AQ55,IF(A56&lt;'Données projet'!$A$62,$AF$205^A56,IF(A56='Données projet'!$A$62,'Données projet'!$B$62,AI55+AH56-AQ55)))</f>
        <v>556.99999999999966</v>
      </c>
      <c r="AJ56" s="14">
        <f>AI56*VLOOKUP('Données projet'!$B$10,Paramètres!$A$1:$I$89,3,0)*VLOOKUP('Données projet'!$B$10,Paramètres!$A$1:$I$89,5,0)</f>
        <v>347.56799999999981</v>
      </c>
      <c r="AK56" s="14">
        <f t="shared" si="35"/>
        <v>81.061534138422132</v>
      </c>
      <c r="AL56" s="22">
        <f t="shared" si="4"/>
        <v>746.52977195775156</v>
      </c>
      <c r="AM56" s="62">
        <f t="shared" si="5"/>
        <v>1039.8631052910848</v>
      </c>
      <c r="AN56" s="62">
        <f ca="1">AVERAGE(OFFSET($AM$3,0,0,'Données projet'!$E$10+1,1))-AVERAGE(OFFSET($H$3,0,0,'Données projet'!$E$10+1,1))</f>
        <v>482.28841373508675</v>
      </c>
      <c r="AO56" s="62">
        <f t="shared" si="36"/>
        <v>746.97309214631684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125.69984120834789</v>
      </c>
      <c r="AV56" s="23">
        <f>EXP(-LN(2)/25)*AV55+(1-EXP(-LN(2)/25))/(LN(2)/25)*Calculateur!AQ56*Calculateur!AS56*VLOOKUP('Données projet'!$B$10,Paramètres!$A$1:$I$89,3,0)*0.475*44/12</f>
        <v>27.18547130545398</v>
      </c>
      <c r="AW56" s="23">
        <f>EXP(-LN(2)/2)*AW55+(1-EXP(-LN(2)/2))/(LN(2)/2)*AQ56*AT56*VLOOKUP('Données projet'!$B$10,Paramètres!$A$1:$I$89,3,0)*0.475*44/12</f>
        <v>2.3112478148011717</v>
      </c>
      <c r="AX56" s="23">
        <f t="shared" si="6"/>
        <v>155.19656032860303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21.1</v>
      </c>
      <c r="BD56" s="13">
        <f>IF('Données projet'!$A$88&gt;35,BD55+BC56-BL55,IF(A56&lt;'Données projet'!$A$88,$BA$205^A56,IF(A56='Données projet'!$A$88,'Données projet'!$B$88,BD55+BC56-BL55)))</f>
        <v>548.80000000000018</v>
      </c>
      <c r="BE56" s="14">
        <f>BD56*VLOOKUP('Données projet'!$B$11,Paramètres!$A$1:$I$89,3,0)*VLOOKUP('Données projet'!$B$11,Paramètres!$A$1:$I$89,5,0)</f>
        <v>402.38016000000016</v>
      </c>
      <c r="BF56" s="14">
        <f t="shared" si="37"/>
        <v>92.259039392610134</v>
      </c>
      <c r="BG56" s="22">
        <f t="shared" si="7"/>
        <v>861.49660560879636</v>
      </c>
      <c r="BH56" s="62">
        <f t="shared" si="8"/>
        <v>1154.8299389421297</v>
      </c>
      <c r="BI56" s="62">
        <f ca="1">AVERAGE(OFFSET($BH$3,0,0,'Données projet'!$E$11+1,1))-AVERAGE(OFFSET($H$3,0,0,'Données projet'!$E$11+1,1))</f>
        <v>350.22629663422435</v>
      </c>
      <c r="BJ56" s="62">
        <f t="shared" si="38"/>
        <v>375.98044319336645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34.785552956276867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34.785552956276867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13.93250000000001</v>
      </c>
      <c r="BY56" s="13">
        <f>IF('Données projet'!$A$114&gt;35,BY55+BX56-CG55,IF(A56&lt;'Données projet'!$A$114,$BV$205^A56,IF(A56='Données projet'!$A$114,'Données projet'!$B$114,BY55+BX56-CG55)))</f>
        <v>364.65450231481481</v>
      </c>
      <c r="BZ56" s="14">
        <f>BY56*VLOOKUP('Données projet'!$B$12,Paramètres!$A$1:$I$89,3,0)*VLOOKUP('Données projet'!$B$12,Paramètres!$A$1:$I$89,5,0)</f>
        <v>290.11912204166669</v>
      </c>
      <c r="CA56" s="14">
        <f t="shared" si="39"/>
        <v>69.101031725024427</v>
      </c>
      <c r="CB56" s="22">
        <f t="shared" si="10"/>
        <v>625.64176781032029</v>
      </c>
      <c r="CC56" s="62">
        <f t="shared" si="11"/>
        <v>918.97510114365355</v>
      </c>
      <c r="CD56" s="62">
        <f ca="1">AVERAGE(OFFSET($CC$3,0,0,'Données projet'!$E$12+1,1))-AVERAGE(OFFSET($H$3,0,0,'Données projet'!$E$12+1,1))</f>
        <v>248.15263300983543</v>
      </c>
      <c r="CE56" s="62">
        <f t="shared" si="40"/>
        <v>266.46511459244618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27.118694290298098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27.118694290298098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13.93250000000001</v>
      </c>
      <c r="CT56" s="13">
        <f>IF('Données projet'!$A$140&gt;35,CT55+CS56-DB55,IF(A56&lt;'Données projet'!$A$140,$CQ$205^A56,IF(A56='Données projet'!$A$140,'Données projet'!$B$140,CT55+CS56-DB55)))</f>
        <v>364.65450231481481</v>
      </c>
      <c r="CU56" s="18">
        <f>CT56*VLOOKUP('Données projet'!$B$13,Paramètres!$A$1:$I$89,3,0)*VLOOKUP('Données projet'!$B$13,Paramètres!$A$1:$I$89,5,0)</f>
        <v>244.61024015277775</v>
      </c>
      <c r="CV56" s="14">
        <f t="shared" si="41"/>
        <v>59.430345011930463</v>
      </c>
      <c r="CW56" s="22">
        <f t="shared" si="13"/>
        <v>529.53735249520003</v>
      </c>
      <c r="CX56" s="62">
        <f t="shared" si="14"/>
        <v>822.8706858285334</v>
      </c>
      <c r="CY56" s="62">
        <f ca="1">AVERAGE(OFFSET($CX$3,0,0,'Données projet'!$E$13+1,1))-AVERAGE(OFFSET($H$3,0,0,'Données projet'!$E$13+1,1))</f>
        <v>205.35893113421139</v>
      </c>
      <c r="CZ56" s="62">
        <f t="shared" si="42"/>
        <v>220.4399811285175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22.864781460447418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22.864781460447418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15.4</v>
      </c>
      <c r="N57" s="14">
        <f>IF('Données projet'!$A$36&gt;35,N56+M57-V56,IF(A57&lt;'Données projet'!$A$36,$K$205^A57,IF(A57='Données projet'!$A$36,'Données projet'!$B$36,N56+M57-V56)))</f>
        <v>723.59999999999945</v>
      </c>
      <c r="O57" s="14">
        <f>N57*VLOOKUP('Données projet'!$B$9,Paramètres!$A$1:$I$89,3,0)*VLOOKUP('Données projet'!$B$9,Paramètres!$A$1:$I$89,5,0)</f>
        <v>404.49239999999969</v>
      </c>
      <c r="P57" s="14">
        <f t="shared" si="33"/>
        <v>92.686837535548761</v>
      </c>
      <c r="Q57" s="22">
        <f t="shared" si="53"/>
        <v>865.92050537441344</v>
      </c>
      <c r="R57" s="62">
        <f t="shared" si="0"/>
        <v>1159.2538387077468</v>
      </c>
      <c r="S57" s="62">
        <f ca="1">AVERAGE(OFFSET($R$3,0,0,'Données projet'!$E$9+1,1))-AVERAGE(OFFSET($H$3,0,0,'Données projet'!$E$9+1,1))</f>
        <v>490.96084572840579</v>
      </c>
      <c r="T57" s="62">
        <f t="shared" si="34"/>
        <v>597.91658789908263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88.031228314158639</v>
      </c>
      <c r="AA57" s="23">
        <f>EXP(-LN(2)/25)*AA56+(1-EXP(-LN(2)/25))/(LN(2)/25)*Calculateur!V57*Calculateur!X57*VLOOKUP('Données projet'!$B$9,Paramètres!$A$1:$I$89,3,0)*0.475*44/12</f>
        <v>22.458082504916888</v>
      </c>
      <c r="AB57" s="23">
        <f>EXP(-LN(2)/2)*AB56+(1-EXP(-LN(2)/2))/(LN(2)/2)*V57*Y57*VLOOKUP('Données projet'!$B$9,Paramètres!$A$1:$I$89,3,0)*0.475*44/12</f>
        <v>1.5919598314183361</v>
      </c>
      <c r="AC57" s="24">
        <f t="shared" si="3"/>
        <v>112.08127065049386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573</v>
      </c>
      <c r="AG57" s="13">
        <f>VLOOKUP(A57,'Données projet'!$A$61:$I$81,9,0)</f>
        <v>16</v>
      </c>
      <c r="AH57" s="13">
        <f t="array" ref="AH57">INDEX(AG:AG,MIN(IF(ISNUMBER(AG57:AG253),ROW(AG57:AG253),"")))</f>
        <v>16</v>
      </c>
      <c r="AI57" s="14">
        <f>IF('Données projet'!$A$62&gt;35,AI56+AH57-AQ56,IF(A57&lt;'Données projet'!$A$62,$AF$205^A57,IF(A57='Données projet'!$A$62,'Données projet'!$B$62,AI56+AH57-AQ56)))</f>
        <v>572.99999999999966</v>
      </c>
      <c r="AJ57" s="14">
        <f>AI57*VLOOKUP('Données projet'!$B$10,Paramètres!$A$1:$I$89,3,0)*VLOOKUP('Données projet'!$B$10,Paramètres!$A$1:$I$89,5,0)</f>
        <v>357.55199999999979</v>
      </c>
      <c r="AK57" s="14">
        <f t="shared" si="35"/>
        <v>83.115609175699532</v>
      </c>
      <c r="AL57" s="22">
        <f t="shared" si="4"/>
        <v>767.49608598100974</v>
      </c>
      <c r="AM57" s="62">
        <f t="shared" si="5"/>
        <v>1060.8294193143431</v>
      </c>
      <c r="AN57" s="62">
        <f ca="1">AVERAGE(OFFSET($AM$3,0,0,'Données projet'!$E$10+1,1))-AVERAGE(OFFSET($H$3,0,0,'Données projet'!$E$10+1,1))</f>
        <v>482.28841373508675</v>
      </c>
      <c r="AO57" s="62">
        <f t="shared" si="36"/>
        <v>746.97309214631684</v>
      </c>
      <c r="AP57" s="16">
        <f>IF(ISNA(VLOOKUP(A57,'Données projet'!$A$61:$I$81,3,0)),0,VLOOKUP(A57,'Données projet'!$A$61:$I$81,3,0))</f>
        <v>5</v>
      </c>
      <c r="AQ57" s="16">
        <f>IF(ISNA(VLOOKUP(A57,'Données projet'!$A$61:$I$81,4,0)),0,VLOOKUP(A57,'Données projet'!$A$61:$I$81,4,0))</f>
        <v>119</v>
      </c>
      <c r="AR57" s="17">
        <f>IF(ISNA(VLOOKUP(A57,'Données projet'!$A$61:$I$81,5,0)),0%,VLOOKUP(A57,'Données projet'!$A$61:$I$81,5,0)*VLOOKUP('Données projet'!$B$10,Paramètres!$A$1:$I$89,7,0))</f>
        <v>0.42</v>
      </c>
      <c r="AS57" s="17">
        <f>IF(ISNA(VLOOKUP(A57,'Données projet'!$A$61:$I$81,6,0)),0%,VLOOKUP(A57,'Données projet'!$A$61:$I$81,6,0)*VLOOKUP('Données projet'!$B$10,Paramètres!$A$1:$I$89,7,0))</f>
        <v>0.1008</v>
      </c>
      <c r="AT57" s="17">
        <f>IF(ISNA(VLOOKUP(A57,'Données projet'!$A$61:$I$81,7,0)),0%,VLOOKUP(A57,'Données projet'!$A$61:$I$81,7,0))</f>
        <v>0.13200000000000001</v>
      </c>
      <c r="AU57" s="23">
        <f>EXP(-LN(2)/35)*AU56+(1-EXP(-LN(2)/35))/(LN(2)/35)*AQ57*AR57*VLOOKUP('Données projet'!$B$10,Paramètres!$A$1:$I$89,3,0)*0.475*44/12</f>
        <v>164.60719947689461</v>
      </c>
      <c r="AV57" s="23">
        <f>EXP(-LN(2)/25)*AV56+(1-EXP(-LN(2)/25))/(LN(2)/25)*Calculateur!AQ57*Calculateur!AS57*VLOOKUP('Données projet'!$B$10,Paramètres!$A$1:$I$89,3,0)*0.475*44/12</f>
        <v>36.332328879320272</v>
      </c>
      <c r="AW57" s="23">
        <f>EXP(-LN(2)/2)*AW56+(1-EXP(-LN(2)/2))/(LN(2)/2)*AQ57*AT57*VLOOKUP('Données projet'!$B$10,Paramètres!$A$1:$I$89,3,0)*0.475*44/12</f>
        <v>12.732204478885031</v>
      </c>
      <c r="AX57" s="23">
        <f t="shared" si="6"/>
        <v>213.6717328350999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21.1</v>
      </c>
      <c r="BD57" s="13">
        <f>IF('Données projet'!$A$88&gt;35,BD56+BC57-BL56,IF(A57&lt;'Données projet'!$A$88,$BA$205^A57,IF(A57='Données projet'!$A$88,'Données projet'!$B$88,BD56+BC57-BL56)))</f>
        <v>569.9000000000002</v>
      </c>
      <c r="BE57" s="14">
        <f>BD57*VLOOKUP('Données projet'!$B$11,Paramètres!$A$1:$I$89,3,0)*VLOOKUP('Données projet'!$B$11,Paramètres!$A$1:$I$89,5,0)</f>
        <v>417.85068000000012</v>
      </c>
      <c r="BF57" s="14">
        <f t="shared" si="37"/>
        <v>95.38636974756605</v>
      </c>
      <c r="BG57" s="22">
        <f t="shared" si="7"/>
        <v>893.88786164367775</v>
      </c>
      <c r="BH57" s="62">
        <f t="shared" si="8"/>
        <v>1187.221194977011</v>
      </c>
      <c r="BI57" s="62">
        <f ca="1">AVERAGE(OFFSET($BH$3,0,0,'Données projet'!$E$11+1,1))-AVERAGE(OFFSET($H$3,0,0,'Données projet'!$E$11+1,1))</f>
        <v>350.22629663422435</v>
      </c>
      <c r="BJ57" s="62">
        <f t="shared" si="38"/>
        <v>375.98044319336645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34.103429479896569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34.103429479896569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13.93250000000001</v>
      </c>
      <c r="BY57" s="13">
        <f>IF('Données projet'!$A$114&gt;35,BY56+BX57-CG56,IF(A57&lt;'Données projet'!$A$114,$BV$205^A57,IF(A57='Données projet'!$A$114,'Données projet'!$B$114,BY56+BX57-CG56)))</f>
        <v>378.58700231481481</v>
      </c>
      <c r="BZ57" s="14">
        <f>BY57*VLOOKUP('Données projet'!$B$12,Paramètres!$A$1:$I$89,3,0)*VLOOKUP('Données projet'!$B$12,Paramètres!$A$1:$I$89,5,0)</f>
        <v>301.20381904166669</v>
      </c>
      <c r="CA57" s="14">
        <f t="shared" si="39"/>
        <v>71.428771335897864</v>
      </c>
      <c r="CB57" s="22">
        <f t="shared" si="10"/>
        <v>649.00176157425824</v>
      </c>
      <c r="CC57" s="62">
        <f t="shared" si="11"/>
        <v>942.33509490759161</v>
      </c>
      <c r="CD57" s="62">
        <f ca="1">AVERAGE(OFFSET($CC$3,0,0,'Données projet'!$E$12+1,1))-AVERAGE(OFFSET($H$3,0,0,'Données projet'!$E$12+1,1))</f>
        <v>248.15263300983543</v>
      </c>
      <c r="CE57" s="62">
        <f t="shared" si="40"/>
        <v>266.46511459244618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26.586913236035603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26.586913236035603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13.93250000000001</v>
      </c>
      <c r="CT57" s="13">
        <f>IF('Données projet'!$A$140&gt;35,CT56+CS57-DB56,IF(A57&lt;'Données projet'!$A$140,$CQ$205^A57,IF(A57='Données projet'!$A$140,'Données projet'!$B$140,CT56+CS57-DB56)))</f>
        <v>378.58700231481481</v>
      </c>
      <c r="CU57" s="18">
        <f>CT57*VLOOKUP('Données projet'!$B$13,Paramètres!$A$1:$I$89,3,0)*VLOOKUP('Données projet'!$B$13,Paramètres!$A$1:$I$89,5,0)</f>
        <v>253.95616115277778</v>
      </c>
      <c r="CV57" s="14">
        <f t="shared" si="41"/>
        <v>61.432317554433659</v>
      </c>
      <c r="CW57" s="22">
        <f t="shared" si="13"/>
        <v>549.30160041505997</v>
      </c>
      <c r="CX57" s="62">
        <f t="shared" si="14"/>
        <v>842.63493374839322</v>
      </c>
      <c r="CY57" s="62">
        <f ca="1">AVERAGE(OFFSET($CX$3,0,0,'Données projet'!$E$13+1,1))-AVERAGE(OFFSET($H$3,0,0,'Données projet'!$E$13+1,1))</f>
        <v>205.35893113421139</v>
      </c>
      <c r="CZ57" s="62">
        <f t="shared" si="42"/>
        <v>220.4399811285175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22.416417042147668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22.416417042147668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739</v>
      </c>
      <c r="L58" s="13">
        <f>VLOOKUP(A58,'Données projet'!$A$35:$I$55,9,0)</f>
        <v>15.4</v>
      </c>
      <c r="M58" s="13">
        <f t="array" ref="M58">INDEX(L:L,MIN(IF(ISNUMBER(L58:L254),ROW(L58:L254),"")))</f>
        <v>15.4</v>
      </c>
      <c r="N58" s="14">
        <f>IF('Données projet'!$A$36&gt;35,N57+M58-V57,IF(A58&lt;'Données projet'!$A$36,$K$205^A58,IF(A58='Données projet'!$A$36,'Données projet'!$B$36,N57+M58-V57)))</f>
        <v>738.99999999999943</v>
      </c>
      <c r="O58" s="14">
        <f>N58*VLOOKUP('Données projet'!$B$9,Paramètres!$A$1:$I$89,3,0)*VLOOKUP('Données projet'!$B$9,Paramètres!$A$1:$I$89,5,0)</f>
        <v>413.10099999999971</v>
      </c>
      <c r="P58" s="14">
        <f t="shared" si="33"/>
        <v>94.427689670462271</v>
      </c>
      <c r="Q58" s="22">
        <f t="shared" si="53"/>
        <v>883.94580117605472</v>
      </c>
      <c r="R58" s="62">
        <f t="shared" si="0"/>
        <v>1177.2791345093881</v>
      </c>
      <c r="S58" s="62">
        <f ca="1">AVERAGE(OFFSET($R$3,0,0,'Données projet'!$E$9+1,1))-AVERAGE(OFFSET($H$3,0,0,'Données projet'!$E$9+1,1))</f>
        <v>490.96084572840579</v>
      </c>
      <c r="T58" s="62">
        <f t="shared" si="34"/>
        <v>597.91658789908263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46</v>
      </c>
      <c r="W58" s="17">
        <f>IF(ISNA(VLOOKUP(A58,'Données projet'!$A$35:$I$55,5,0)),0%,VLOOKUP(A58,'Données projet'!$A$35:$I$55,5,0)*VLOOKUP('Données projet'!$B$9,Paramètres!$A$1:$I$89,7,0))</f>
        <v>0.38500000000000001</v>
      </c>
      <c r="X58" s="17">
        <f>IF(ISNA(VLOOKUP(A58,'Données projet'!$A$35:$I$55,6,0)),0%,VLOOKUP(A58,'Données projet'!$A$35:$I$55,6,0)*VLOOKUP('Données projet'!$B$9,Paramètres!$A$1:$I$89,7,0))</f>
        <v>9.240000000000001E-2</v>
      </c>
      <c r="Y58" s="17">
        <f>IF(ISNA(VLOOKUP(A58,'Données projet'!$A$35:$I$55,7,0)),0%,VLOOKUP(A58,'Données projet'!$A$35:$I$55,7,0))</f>
        <v>0.13200000000000001</v>
      </c>
      <c r="Z58" s="23">
        <f>EXP(-LN(2)/35)*Z57+(1-EXP(-LN(2)/35))/(LN(2)/35)*V58*W58*VLOOKUP('Données projet'!$B$9,Paramètres!$A$1:$I$89,3,0)*0.475*44/12</f>
        <v>99.43783180742679</v>
      </c>
      <c r="AA58" s="23">
        <f>EXP(-LN(2)/25)*AA57+(1-EXP(-LN(2)/25))/(LN(2)/25)*Calculateur!V58*Calculateur!X58*VLOOKUP('Données projet'!$B$9,Paramètres!$A$1:$I$89,3,0)*0.475*44/12</f>
        <v>24.983437021736759</v>
      </c>
      <c r="AB58" s="23">
        <f>EXP(-LN(2)/2)*AB57+(1-EXP(-LN(2)/2))/(LN(2)/2)*V58*Y58*VLOOKUP('Données projet'!$B$9,Paramètres!$A$1:$I$89,3,0)*0.475*44/12</f>
        <v>4.9687628035871096</v>
      </c>
      <c r="AC58" s="24">
        <f t="shared" si="3"/>
        <v>129.39003163275066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13.333333333333334</v>
      </c>
      <c r="AI58" s="14">
        <f>IF('Données projet'!$A$62&gt;35,AI57+AH58-AQ57,IF(A58&lt;'Données projet'!$A$62,$AF$205^A58,IF(A58='Données projet'!$A$62,'Données projet'!$B$62,AI57+AH58-AQ57)))</f>
        <v>467.33333333333303</v>
      </c>
      <c r="AJ58" s="14">
        <f>AI58*VLOOKUP('Données projet'!$B$10,Paramètres!$A$1:$I$89,3,0)*VLOOKUP('Données projet'!$B$10,Paramètres!$A$1:$I$89,5,0)</f>
        <v>291.61599999999981</v>
      </c>
      <c r="AK58" s="14">
        <f t="shared" si="35"/>
        <v>69.415966121585768</v>
      </c>
      <c r="AL58" s="22">
        <f t="shared" si="4"/>
        <v>628.79734099509483</v>
      </c>
      <c r="AM58" s="62">
        <f t="shared" si="5"/>
        <v>922.13067432842809</v>
      </c>
      <c r="AN58" s="62">
        <f ca="1">AVERAGE(OFFSET($AM$3,0,0,'Données projet'!$E$10+1,1))-AVERAGE(OFFSET($H$3,0,0,'Données projet'!$E$10+1,1))</f>
        <v>482.28841373508675</v>
      </c>
      <c r="AO58" s="62">
        <f t="shared" si="36"/>
        <v>746.97309214631684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161.37935269563067</v>
      </c>
      <c r="AV58" s="23">
        <f>EXP(-LN(2)/25)*AV57+(1-EXP(-LN(2)/25))/(LN(2)/25)*Calculateur!AQ58*Calculateur!AS58*VLOOKUP('Données projet'!$B$10,Paramètres!$A$1:$I$89,3,0)*0.475*44/12</f>
        <v>35.33881943548112</v>
      </c>
      <c r="AW58" s="23">
        <f>EXP(-LN(2)/2)*AW57+(1-EXP(-LN(2)/2))/(LN(2)/2)*AQ58*AT58*VLOOKUP('Données projet'!$B$10,Paramètres!$A$1:$I$89,3,0)*0.475*44/12</f>
        <v>9.0030281264733389</v>
      </c>
      <c r="AX58" s="23">
        <f t="shared" si="6"/>
        <v>205.72120025758514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591</v>
      </c>
      <c r="BB58" s="13">
        <f>VLOOKUP(A58,'Données projet'!$A$87:$I$107,9,0)</f>
        <v>21.1</v>
      </c>
      <c r="BC58" s="13">
        <f t="array" ref="BC58">INDEX(BB:BB,MIN(IF(ISNUMBER(BB58:BB254),ROW(BB58:BB254),"")))</f>
        <v>21.1</v>
      </c>
      <c r="BD58" s="13">
        <f>IF('Données projet'!$A$88&gt;35,BD57+BC58-BL57,IF(A58&lt;'Données projet'!$A$88,$BA$205^A58,IF(A58='Données projet'!$A$88,'Données projet'!$B$88,BD57+BC58-BL57)))</f>
        <v>591.00000000000023</v>
      </c>
      <c r="BE58" s="14">
        <f>BD58*VLOOKUP('Données projet'!$B$11,Paramètres!$A$1:$I$89,3,0)*VLOOKUP('Données projet'!$B$11,Paramètres!$A$1:$I$89,5,0)</f>
        <v>433.32120000000015</v>
      </c>
      <c r="BF58" s="14">
        <f t="shared" si="37"/>
        <v>98.500248318865118</v>
      </c>
      <c r="BG58" s="22">
        <f t="shared" si="7"/>
        <v>926.25568915535689</v>
      </c>
      <c r="BH58" s="62">
        <f t="shared" si="8"/>
        <v>1219.5890224886903</v>
      </c>
      <c r="BI58" s="62">
        <f ca="1">AVERAGE(OFFSET($BH$3,0,0,'Données projet'!$E$11+1,1))-AVERAGE(OFFSET($H$3,0,0,'Données projet'!$E$11+1,1))</f>
        <v>350.22629663422435</v>
      </c>
      <c r="BJ58" s="62">
        <f t="shared" si="38"/>
        <v>375.98044319336645</v>
      </c>
      <c r="BK58" s="16" t="str">
        <f>IF(ISNA(VLOOKUP(A58,'Données projet'!$A$87:$I$107,3,0)),0,VLOOKUP(A58,'Données projet'!$A$87:$I$107,3,0))</f>
        <v>CR</v>
      </c>
      <c r="BL58" s="16">
        <f>IF(ISNA(VLOOKUP(A58,'Données projet'!$A$87:$I$107,4,0)),0,VLOOKUP(A58,'Données projet'!$A$87:$I$107,4,0))</f>
        <v>591</v>
      </c>
      <c r="BM58" s="17">
        <f>IF(ISNA(VLOOKUP(A58,'Données projet'!$A$87:$I$107,5,0)),0%,VLOOKUP(A58,'Données projet'!$A$87:$I$107,5,0)*VLOOKUP('Données projet'!$B$11,Paramètres!$A$1:$I$89,7,0))</f>
        <v>0.38700000000000001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218.81687382979544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218.81687382979544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392.51950231481487</v>
      </c>
      <c r="BW58" s="13">
        <f>VLOOKUP(A58,'Données projet'!$A$113:$I$133,9,0)</f>
        <v>13.93250000000001</v>
      </c>
      <c r="BX58" s="13">
        <f t="array" ref="BX58">INDEX(BW:BW,MIN(IF(ISNUMBER(BW58:BW254),ROW(BW58:BW254),"")))</f>
        <v>13.93250000000001</v>
      </c>
      <c r="BY58" s="13">
        <f>IF('Données projet'!$A$114&gt;35,BY57+BX58-CG57,IF(A58&lt;'Données projet'!$A$114,$BV$205^A58,IF(A58='Données projet'!$A$114,'Données projet'!$B$114,BY57+BX58-CG57)))</f>
        <v>392.51950231481482</v>
      </c>
      <c r="BZ58" s="14">
        <f>BY58*VLOOKUP('Données projet'!$B$12,Paramètres!$A$1:$I$89,3,0)*VLOOKUP('Données projet'!$B$12,Paramètres!$A$1:$I$89,5,0)</f>
        <v>312.2885160416667</v>
      </c>
      <c r="CA58" s="14">
        <f t="shared" si="39"/>
        <v>73.746558624436219</v>
      </c>
      <c r="CB58" s="22">
        <f t="shared" si="10"/>
        <v>672.34442171012915</v>
      </c>
      <c r="CC58" s="62">
        <f t="shared" si="11"/>
        <v>965.67775504346241</v>
      </c>
      <c r="CD58" s="62">
        <f ca="1">AVERAGE(OFFSET($CC$3,0,0,'Données projet'!$E$12+1,1))-AVERAGE(OFFSET($H$3,0,0,'Données projet'!$E$12+1,1))</f>
        <v>248.15263300983543</v>
      </c>
      <c r="CE58" s="62">
        <f t="shared" si="40"/>
        <v>266.46511459244618</v>
      </c>
      <c r="CF58" s="16" t="str">
        <f>IF(ISNA(VLOOKUP(A58,'Données projet'!$A$113:$I$133,3,0)),0,VLOOKUP(A58,'Données projet'!$A$113:$I$133,3,0))</f>
        <v>CR</v>
      </c>
      <c r="CG58" s="16">
        <f>IF(ISNA(VLOOKUP(A58,'Données projet'!$A$113:$I$133,4,0)),0,VLOOKUP(A58,'Données projet'!$A$113:$I$133,4,0))</f>
        <v>392.51950231481487</v>
      </c>
      <c r="CH58" s="17">
        <f>IF(ISNA(VLOOKUP(A58,'Données projet'!$A$113:$I$133,5,0)),0%,VLOOKUP(A58,'Données projet'!$A$113:$I$133,5,0)*VLOOKUP('Données projet'!$B$12,Paramètres!$A$1:$I$89,7,0))</f>
        <v>0.371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154.1442963986195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154.1442963986195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392.51950231481487</v>
      </c>
      <c r="CR58" s="13">
        <f>VLOOKUP(A58,'Données projet'!$A$139:$I$159,9,0)</f>
        <v>13.93250000000001</v>
      </c>
      <c r="CS58" s="13">
        <f t="array" ref="CS58">INDEX(CR:CR,MIN(IF(ISNUMBER(CR58:CR254),ROW(CR58:CR254),"")))</f>
        <v>13.93250000000001</v>
      </c>
      <c r="CT58" s="13">
        <f>IF('Données projet'!$A$140&gt;35,CT57+CS58-DB57,IF(A58&lt;'Données projet'!$A$140,$CQ$205^A58,IF(A58='Données projet'!$A$140,'Données projet'!$B$140,CT57+CS58-DB57)))</f>
        <v>392.51950231481482</v>
      </c>
      <c r="CU58" s="18">
        <f>CT58*VLOOKUP('Données projet'!$B$13,Paramètres!$A$1:$I$89,3,0)*VLOOKUP('Données projet'!$B$13,Paramètres!$A$1:$I$89,5,0)</f>
        <v>263.30208215277776</v>
      </c>
      <c r="CV58" s="14">
        <f t="shared" si="41"/>
        <v>63.425730601727153</v>
      </c>
      <c r="CW58" s="22">
        <f t="shared" si="13"/>
        <v>569.05094054742926</v>
      </c>
      <c r="CX58" s="62">
        <f t="shared" si="14"/>
        <v>862.38427388076252</v>
      </c>
      <c r="CY58" s="62">
        <f ca="1">AVERAGE(OFFSET($CX$3,0,0,'Données projet'!$E$13+1,1))-AVERAGE(OFFSET($H$3,0,0,'Données projet'!$E$13+1,1))</f>
        <v>205.35893113421139</v>
      </c>
      <c r="CZ58" s="62">
        <f t="shared" si="42"/>
        <v>220.4399811285175</v>
      </c>
      <c r="DA58" s="16" t="str">
        <f>IF(ISNA(VLOOKUP(A58,'Données projet'!$A$139:$I$159,3,0)),0,VLOOKUP(A58,'Données projet'!$A$139:$I$159,3,0))</f>
        <v>CR</v>
      </c>
      <c r="DB58" s="16">
        <f>IF(ISNA(VLOOKUP(A58,'Données projet'!$A$139:$I$159,4,0)),0,VLOOKUP(A58,'Données projet'!$A$139:$I$159,4,0))</f>
        <v>392.51950231481487</v>
      </c>
      <c r="DC58" s="17">
        <f>IF(ISNA(VLOOKUP(A58,'Données projet'!$A$139:$I$159,5,0)),0%,VLOOKUP(A58,'Données projet'!$A$139:$I$159,5,0)*VLOOKUP('Données projet'!$B$13,Paramètres!$A$1:$I$89,7,0))</f>
        <v>0.371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129.96479892432623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129.96479892432623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12.2</v>
      </c>
      <c r="N59" s="14">
        <f>IF('Données projet'!$A$36&gt;35,N58+M59-V58,IF(A59&lt;'Données projet'!$A$36,$K$205^A59,IF(A59='Données projet'!$A$36,'Données projet'!$B$36,N58+M59-V58)))</f>
        <v>705.19999999999948</v>
      </c>
      <c r="O59" s="14">
        <f>N59*VLOOKUP('Données projet'!$B$9,Paramètres!$A$1:$I$89,3,0)*VLOOKUP('Données projet'!$B$9,Paramètres!$A$1:$I$89,5,0)</f>
        <v>394.2067999999997</v>
      </c>
      <c r="P59" s="14">
        <f t="shared" si="33"/>
        <v>90.601187466199292</v>
      </c>
      <c r="Q59" s="22">
        <f t="shared" si="53"/>
        <v>844.37391150362998</v>
      </c>
      <c r="R59" s="62">
        <f t="shared" si="0"/>
        <v>1137.7072448369634</v>
      </c>
      <c r="S59" s="62">
        <f ca="1">AVERAGE(OFFSET($R$3,0,0,'Données projet'!$E$9+1,1))-AVERAGE(OFFSET($H$3,0,0,'Données projet'!$E$9+1,1))</f>
        <v>490.96084572840579</v>
      </c>
      <c r="T59" s="62">
        <f t="shared" si="34"/>
        <v>597.91658789908263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97.487916576771752</v>
      </c>
      <c r="AA59" s="23">
        <f>EXP(-LN(2)/25)*AA58+(1-EXP(-LN(2)/25))/(LN(2)/25)*Calculateur!V59*Calculateur!X59*VLOOKUP('Données projet'!$B$9,Paramètres!$A$1:$I$89,3,0)*0.475*44/12</f>
        <v>24.300263622555516</v>
      </c>
      <c r="AB59" s="23">
        <f>EXP(-LN(2)/2)*AB58+(1-EXP(-LN(2)/2))/(LN(2)/2)*V59*Y59*VLOOKUP('Données projet'!$B$9,Paramètres!$A$1:$I$89,3,0)*0.475*44/12</f>
        <v>3.5134458725239268</v>
      </c>
      <c r="AC59" s="24">
        <f t="shared" si="3"/>
        <v>125.3016260718512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13.333333333333334</v>
      </c>
      <c r="AI59" s="14">
        <f>IF('Données projet'!$A$62&gt;35,AI58+AH59-AQ58,IF(A59&lt;'Données projet'!$A$62,$AF$205^A59,IF(A59='Données projet'!$A$62,'Données projet'!$B$62,AI58+AH59-AQ58)))</f>
        <v>480.66666666666634</v>
      </c>
      <c r="AJ59" s="14">
        <f>AI59*VLOOKUP('Données projet'!$B$10,Paramètres!$A$1:$I$89,3,0)*VLOOKUP('Données projet'!$B$10,Paramètres!$A$1:$I$89,5,0)</f>
        <v>299.93599999999981</v>
      </c>
      <c r="AK59" s="14">
        <f t="shared" si="35"/>
        <v>71.16304645082424</v>
      </c>
      <c r="AL59" s="22">
        <f t="shared" si="4"/>
        <v>646.33083923518518</v>
      </c>
      <c r="AM59" s="62">
        <f t="shared" si="5"/>
        <v>939.66417256851855</v>
      </c>
      <c r="AN59" s="62">
        <f ca="1">AVERAGE(OFFSET($AM$3,0,0,'Données projet'!$E$10+1,1))-AVERAGE(OFFSET($H$3,0,0,'Données projet'!$E$10+1,1))</f>
        <v>482.28841373508675</v>
      </c>
      <c r="AO59" s="62">
        <f t="shared" si="36"/>
        <v>746.97309214631684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158.21480202095518</v>
      </c>
      <c r="AV59" s="23">
        <f>EXP(-LN(2)/25)*AV58+(1-EXP(-LN(2)/25))/(LN(2)/25)*Calculateur!AQ59*Calculateur!AS59*VLOOKUP('Données projet'!$B$10,Paramètres!$A$1:$I$89,3,0)*0.475*44/12</f>
        <v>34.372477559630141</v>
      </c>
      <c r="AW59" s="23">
        <f>EXP(-LN(2)/2)*AW58+(1-EXP(-LN(2)/2))/(LN(2)/2)*AQ59*AT59*VLOOKUP('Données projet'!$B$10,Paramètres!$A$1:$I$89,3,0)*0.475*44/12</f>
        <v>6.3661022394425162</v>
      </c>
      <c r="AX59" s="23">
        <f t="shared" si="6"/>
        <v>198.95338182002783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2.2737367544323206E-13</v>
      </c>
      <c r="BE59" s="14">
        <f>BD59*VLOOKUP('Données projet'!$B$11,Paramètres!$A$1:$I$89,3,0)*VLOOKUP('Données projet'!$B$11,Paramètres!$A$1:$I$89,5,0)</f>
        <v>1.6671037883497774E-13</v>
      </c>
      <c r="BF59" s="14">
        <f t="shared" si="37"/>
        <v>2.3598166018346595E-12</v>
      </c>
      <c r="BG59" s="22">
        <f t="shared" si="7"/>
        <v>4.400367824666284E-12</v>
      </c>
      <c r="BH59" s="62">
        <f t="shared" si="8"/>
        <v>293.33333333333769</v>
      </c>
      <c r="BI59" s="62">
        <f ca="1">AVERAGE(OFFSET($BH$3,0,0,'Données projet'!$E$11+1,1))-AVERAGE(OFFSET($H$3,0,0,'Données projet'!$E$11+1,1))</f>
        <v>350.22629663422435</v>
      </c>
      <c r="BJ59" s="62">
        <f t="shared" si="38"/>
        <v>375.98044319336645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214.52600839910761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214.52600839910761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>
        <f>BY59*VLOOKUP('Données projet'!$B$12,Paramètres!$A$1:$I$89,3,0)*VLOOKUP('Données projet'!$B$12,Paramètres!$A$1:$I$89,5,0)</f>
        <v>-4.5224624045658861E-14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248.15263300983543</v>
      </c>
      <c r="CE59" s="62">
        <f t="shared" si="40"/>
        <v>266.46511459244618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151.12162076497981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151.12162076497981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-3.813056537183002E-14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205.35893113421139</v>
      </c>
      <c r="CZ59" s="62">
        <f t="shared" si="42"/>
        <v>220.4399811285175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127.41626848812021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127.41626848812021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12.2</v>
      </c>
      <c r="N60" s="14">
        <f>IF('Données projet'!$A$36&gt;35,N59+M60-V59,IF(A60&lt;'Données projet'!$A$36,$K$205^A60,IF(A60='Données projet'!$A$36,'Données projet'!$B$36,N59+M60-V59)))</f>
        <v>717.39999999999952</v>
      </c>
      <c r="O60" s="14">
        <f>N60*VLOOKUP('Données projet'!$B$9,Paramètres!$A$1:$I$89,3,0)*VLOOKUP('Données projet'!$B$9,Paramètres!$A$1:$I$89,5,0)</f>
        <v>401.02659999999975</v>
      </c>
      <c r="P60" s="14">
        <f t="shared" si="33"/>
        <v>91.984761558101539</v>
      </c>
      <c r="Q60" s="22">
        <f t="shared" si="53"/>
        <v>858.66145471369293</v>
      </c>
      <c r="R60" s="62">
        <f t="shared" si="0"/>
        <v>1151.9947880470263</v>
      </c>
      <c r="S60" s="62">
        <f ca="1">AVERAGE(OFFSET($R$3,0,0,'Données projet'!$E$9+1,1))-AVERAGE(OFFSET($H$3,0,0,'Données projet'!$E$9+1,1))</f>
        <v>490.96084572840579</v>
      </c>
      <c r="T60" s="62">
        <f t="shared" si="34"/>
        <v>597.91658789908263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95.576237994459007</v>
      </c>
      <c r="AA60" s="23">
        <f>EXP(-LN(2)/25)*AA59+(1-EXP(-LN(2)/25))/(LN(2)/25)*Calculateur!V60*Calculateur!X60*VLOOKUP('Données projet'!$B$9,Paramètres!$A$1:$I$89,3,0)*0.475*44/12</f>
        <v>23.63577163590141</v>
      </c>
      <c r="AB60" s="23">
        <f>EXP(-LN(2)/2)*AB59+(1-EXP(-LN(2)/2))/(LN(2)/2)*V60*Y60*VLOOKUP('Données projet'!$B$9,Paramètres!$A$1:$I$89,3,0)*0.475*44/12</f>
        <v>2.4843814017935548</v>
      </c>
      <c r="AC60" s="24">
        <f t="shared" si="3"/>
        <v>121.69639103215397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13.333333333333334</v>
      </c>
      <c r="AI60" s="14">
        <f>IF('Données projet'!$A$62&gt;35,AI59+AH60-AQ59,IF(A60&lt;'Données projet'!$A$62,$AF$205^A60,IF(A60='Données projet'!$A$62,'Données projet'!$B$62,AI59+AH60-AQ59)))</f>
        <v>493.99999999999966</v>
      </c>
      <c r="AJ60" s="14">
        <f>AI60*VLOOKUP('Données projet'!$B$10,Paramètres!$A$1:$I$89,3,0)*VLOOKUP('Données projet'!$B$10,Paramètres!$A$1:$I$89,5,0)</f>
        <v>308.2559999999998</v>
      </c>
      <c r="AK60" s="14">
        <f t="shared" si="35"/>
        <v>72.904494055753887</v>
      </c>
      <c r="AL60" s="22">
        <f t="shared" si="4"/>
        <v>663.85452714710436</v>
      </c>
      <c r="AM60" s="62">
        <f t="shared" si="5"/>
        <v>957.18786048043762</v>
      </c>
      <c r="AN60" s="62">
        <f ca="1">AVERAGE(OFFSET($AM$3,0,0,'Données projet'!$E$10+1,1))-AVERAGE(OFFSET($H$3,0,0,'Données projet'!$E$10+1,1))</f>
        <v>482.28841373508675</v>
      </c>
      <c r="AO60" s="62">
        <f t="shared" si="36"/>
        <v>746.97309214631684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155.11230625482474</v>
      </c>
      <c r="AV60" s="23">
        <f>EXP(-LN(2)/25)*AV59+(1-EXP(-LN(2)/25))/(LN(2)/25)*Calculateur!AQ60*Calculateur!AS60*VLOOKUP('Données projet'!$B$10,Paramètres!$A$1:$I$89,3,0)*0.475*44/12</f>
        <v>33.432560353192017</v>
      </c>
      <c r="AW60" s="23">
        <f>EXP(-LN(2)/2)*AW59+(1-EXP(-LN(2)/2))/(LN(2)/2)*AQ60*AT60*VLOOKUP('Données projet'!$B$10,Paramètres!$A$1:$I$89,3,0)*0.475*44/12</f>
        <v>4.5015140632366695</v>
      </c>
      <c r="AX60" s="23">
        <f t="shared" si="6"/>
        <v>193.04638067125344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2.2737367544323206E-13</v>
      </c>
      <c r="BE60" s="14">
        <f>BD60*VLOOKUP('Données projet'!$B$11,Paramètres!$A$1:$I$89,3,0)*VLOOKUP('Données projet'!$B$11,Paramètres!$A$1:$I$89,5,0)</f>
        <v>1.6671037883497774E-13</v>
      </c>
      <c r="BF60" s="14">
        <f t="shared" si="37"/>
        <v>2.3598166018346595E-12</v>
      </c>
      <c r="BG60" s="22">
        <f t="shared" si="7"/>
        <v>4.400367824666284E-12</v>
      </c>
      <c r="BH60" s="62">
        <f t="shared" si="8"/>
        <v>293.33333333333769</v>
      </c>
      <c r="BI60" s="62">
        <f ca="1">AVERAGE(OFFSET($BH$3,0,0,'Données projet'!$E$11+1,1))-AVERAGE(OFFSET($H$3,0,0,'Données projet'!$E$11+1,1))</f>
        <v>350.22629663422435</v>
      </c>
      <c r="BJ60" s="62">
        <f t="shared" si="38"/>
        <v>375.98044319336645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210.31928422234608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210.31928422234608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>
        <f>BY60*VLOOKUP('Données projet'!$B$12,Paramètres!$A$1:$I$89,3,0)*VLOOKUP('Données projet'!$B$12,Paramètres!$A$1:$I$89,5,0)</f>
        <v>-4.5224624045658861E-14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248.15263300983543</v>
      </c>
      <c r="CE60" s="62">
        <f t="shared" si="40"/>
        <v>266.46511459244618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148.15821795686568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148.15821795686568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-3.813056537183002E-14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205.35893113421139</v>
      </c>
      <c r="CZ60" s="62">
        <f t="shared" si="42"/>
        <v>220.4399811285175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124.91771317931811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124.91771317931811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12.2</v>
      </c>
      <c r="N61" s="14">
        <f>IF('Données projet'!$A$36&gt;35,N60+M61-V60,IF(A61&lt;'Données projet'!$A$36,$K$205^A61,IF(A61='Données projet'!$A$36,'Données projet'!$B$36,N60+M61-V60)))</f>
        <v>729.59999999999957</v>
      </c>
      <c r="O61" s="14">
        <f>N61*VLOOKUP('Données projet'!$B$9,Paramètres!$A$1:$I$89,3,0)*VLOOKUP('Données projet'!$B$9,Paramètres!$A$1:$I$89,5,0)</f>
        <v>407.84639999999973</v>
      </c>
      <c r="P61" s="14">
        <f t="shared" si="33"/>
        <v>93.365599460181741</v>
      </c>
      <c r="Q61" s="22">
        <f t="shared" si="53"/>
        <v>872.94423239314926</v>
      </c>
      <c r="R61" s="62">
        <f t="shared" si="0"/>
        <v>1166.2775657264826</v>
      </c>
      <c r="S61" s="62">
        <f ca="1">AVERAGE(OFFSET($R$3,0,0,'Données projet'!$E$9+1,1))-AVERAGE(OFFSET($H$3,0,0,'Données projet'!$E$9+1,1))</f>
        <v>490.96084572840579</v>
      </c>
      <c r="T61" s="62">
        <f t="shared" si="34"/>
        <v>597.91658789908263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93.702046263136609</v>
      </c>
      <c r="AA61" s="23">
        <f>EXP(-LN(2)/25)*AA60+(1-EXP(-LN(2)/25))/(LN(2)/25)*Calculateur!V61*Calculateur!X61*VLOOKUP('Données projet'!$B$9,Paramètres!$A$1:$I$89,3,0)*0.475*44/12</f>
        <v>22.989450217566475</v>
      </c>
      <c r="AB61" s="23">
        <f>EXP(-LN(2)/2)*AB60+(1-EXP(-LN(2)/2))/(LN(2)/2)*V61*Y61*VLOOKUP('Données projet'!$B$9,Paramètres!$A$1:$I$89,3,0)*0.475*44/12</f>
        <v>1.7567229362619634</v>
      </c>
      <c r="AC61" s="24">
        <f t="shared" si="3"/>
        <v>118.44821941696505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13.333333333333334</v>
      </c>
      <c r="AI61" s="14">
        <f>IF('Données projet'!$A$62&gt;35,AI60+AH61-AQ60,IF(A61&lt;'Données projet'!$A$62,$AF$205^A61,IF(A61='Données projet'!$A$62,'Données projet'!$B$62,AI60+AH61-AQ60)))</f>
        <v>507.33333333333297</v>
      </c>
      <c r="AJ61" s="14">
        <f>AI61*VLOOKUP('Données projet'!$B$10,Paramètres!$A$1:$I$89,3,0)*VLOOKUP('Données projet'!$B$10,Paramètres!$A$1:$I$89,5,0)</f>
        <v>316.57599999999974</v>
      </c>
      <c r="AK61" s="14">
        <f t="shared" si="35"/>
        <v>74.640478438390105</v>
      </c>
      <c r="AL61" s="22">
        <f t="shared" si="4"/>
        <v>681.36869994686231</v>
      </c>
      <c r="AM61" s="62">
        <f t="shared" si="5"/>
        <v>974.70203328019556</v>
      </c>
      <c r="AN61" s="62">
        <f ca="1">AVERAGE(OFFSET($AM$3,0,0,'Données projet'!$E$10+1,1))-AVERAGE(OFFSET($H$3,0,0,'Données projet'!$E$10+1,1))</f>
        <v>482.28841373508675</v>
      </c>
      <c r="AO61" s="62">
        <f t="shared" si="36"/>
        <v>746.97309214631684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152.07064853833256</v>
      </c>
      <c r="AV61" s="23">
        <f>EXP(-LN(2)/25)*AV60+(1-EXP(-LN(2)/25))/(LN(2)/25)*Calculateur!AQ61*Calculateur!AS61*VLOOKUP('Données projet'!$B$10,Paramètres!$A$1:$I$89,3,0)*0.475*44/12</f>
        <v>32.51834523219204</v>
      </c>
      <c r="AW61" s="23">
        <f>EXP(-LN(2)/2)*AW60+(1-EXP(-LN(2)/2))/(LN(2)/2)*AQ61*AT61*VLOOKUP('Données projet'!$B$10,Paramètres!$A$1:$I$89,3,0)*0.475*44/12</f>
        <v>3.1830511197212581</v>
      </c>
      <c r="AX61" s="23">
        <f t="shared" si="6"/>
        <v>187.77204489024587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2.2737367544323206E-13</v>
      </c>
      <c r="BE61" s="14">
        <f>BD61*VLOOKUP('Données projet'!$B$11,Paramètres!$A$1:$I$89,3,0)*VLOOKUP('Données projet'!$B$11,Paramètres!$A$1:$I$89,5,0)</f>
        <v>1.6671037883497774E-13</v>
      </c>
      <c r="BF61" s="14">
        <f t="shared" si="37"/>
        <v>2.3598166018346595E-12</v>
      </c>
      <c r="BG61" s="22">
        <f t="shared" si="7"/>
        <v>4.400367824666284E-12</v>
      </c>
      <c r="BH61" s="62">
        <f t="shared" si="8"/>
        <v>293.33333333333769</v>
      </c>
      <c r="BI61" s="62">
        <f ca="1">AVERAGE(OFFSET($BH$3,0,0,'Données projet'!$E$11+1,1))-AVERAGE(OFFSET($H$3,0,0,'Données projet'!$E$11+1,1))</f>
        <v>350.22629663422435</v>
      </c>
      <c r="BJ61" s="62">
        <f t="shared" si="38"/>
        <v>375.98044319336645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206.19505134084244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206.19505134084244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>
        <f>BY61*VLOOKUP('Données projet'!$B$12,Paramètres!$A$1:$I$89,3,0)*VLOOKUP('Données projet'!$B$12,Paramètres!$A$1:$I$89,5,0)</f>
        <v>-4.5224624045658861E-14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248.15263300983543</v>
      </c>
      <c r="CE61" s="62">
        <f t="shared" si="40"/>
        <v>266.46511459244618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145.25292567032145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145.25292567032145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-3.813056537183002E-14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205.35893113421139</v>
      </c>
      <c r="CZ61" s="62">
        <f t="shared" si="42"/>
        <v>220.4399811285175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122.46815301615337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122.46815301615337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12.2</v>
      </c>
      <c r="N62" s="14">
        <f>IF('Données projet'!$A$36&gt;35,N61+M62-V61,IF(A62&lt;'Données projet'!$A$36,$K$205^A62,IF(A62='Données projet'!$A$36,'Données projet'!$B$36,N61+M62-V61)))</f>
        <v>741.79999999999961</v>
      </c>
      <c r="O62" s="14">
        <f>N62*VLOOKUP('Données projet'!$B$9,Paramètres!$A$1:$I$89,3,0)*VLOOKUP('Données projet'!$B$9,Paramètres!$A$1:$I$89,5,0)</f>
        <v>414.66619999999978</v>
      </c>
      <c r="P62" s="14">
        <f t="shared" si="33"/>
        <v>94.743752206399009</v>
      </c>
      <c r="Q62" s="22">
        <f t="shared" si="53"/>
        <v>887.22233342614447</v>
      </c>
      <c r="R62" s="62">
        <f t="shared" si="0"/>
        <v>1180.5556667594778</v>
      </c>
      <c r="S62" s="62">
        <f ca="1">AVERAGE(OFFSET($R$3,0,0,'Données projet'!$E$9+1,1))-AVERAGE(OFFSET($H$3,0,0,'Données projet'!$E$9+1,1))</f>
        <v>490.96084572840579</v>
      </c>
      <c r="T62" s="62">
        <f t="shared" si="34"/>
        <v>597.91658789908263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91.864606288521372</v>
      </c>
      <c r="AA62" s="23">
        <f>EXP(-LN(2)/25)*AA61+(1-EXP(-LN(2)/25))/(LN(2)/25)*Calculateur!V62*Calculateur!X62*VLOOKUP('Données projet'!$B$9,Paramètres!$A$1:$I$89,3,0)*0.475*44/12</f>
        <v>22.360802492404474</v>
      </c>
      <c r="AB62" s="23">
        <f>EXP(-LN(2)/2)*AB61+(1-EXP(-LN(2)/2))/(LN(2)/2)*V62*Y62*VLOOKUP('Données projet'!$B$9,Paramètres!$A$1:$I$89,3,0)*0.475*44/12</f>
        <v>1.2421907008967774</v>
      </c>
      <c r="AC62" s="24">
        <f t="shared" si="3"/>
        <v>115.46759948182262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13.333333333333334</v>
      </c>
      <c r="AI62" s="14">
        <f>IF('Données projet'!$A$62&gt;35,AI61+AH62-AQ61,IF(A62&lt;'Données projet'!$A$62,$AF$205^A62,IF(A62='Données projet'!$A$62,'Données projet'!$B$62,AI61+AH62-AQ61)))</f>
        <v>520.66666666666629</v>
      </c>
      <c r="AJ62" s="14">
        <f>AI62*VLOOKUP('Données projet'!$B$10,Paramètres!$A$1:$I$89,3,0)*VLOOKUP('Données projet'!$B$10,Paramètres!$A$1:$I$89,5,0)</f>
        <v>324.89599999999979</v>
      </c>
      <c r="AK62" s="14">
        <f t="shared" si="35"/>
        <v>76.371159683916659</v>
      </c>
      <c r="AL62" s="22">
        <f t="shared" si="4"/>
        <v>698.87363644948789</v>
      </c>
      <c r="AM62" s="62">
        <f t="shared" si="5"/>
        <v>992.20696978282126</v>
      </c>
      <c r="AN62" s="62">
        <f ca="1">AVERAGE(OFFSET($AM$3,0,0,'Données projet'!$E$10+1,1))-AVERAGE(OFFSET($H$3,0,0,'Données projet'!$E$10+1,1))</f>
        <v>482.28841373508675</v>
      </c>
      <c r="AO62" s="62">
        <f t="shared" si="36"/>
        <v>746.97309214631684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149.08863587443278</v>
      </c>
      <c r="AV62" s="23">
        <f>EXP(-LN(2)/25)*AV61+(1-EXP(-LN(2)/25))/(LN(2)/25)*Calculateur!AQ62*Calculateur!AS62*VLOOKUP('Données projet'!$B$10,Paramètres!$A$1:$I$89,3,0)*0.475*44/12</f>
        <v>31.629129371752295</v>
      </c>
      <c r="AW62" s="23">
        <f>EXP(-LN(2)/2)*AW61+(1-EXP(-LN(2)/2))/(LN(2)/2)*AQ62*AT62*VLOOKUP('Données projet'!$B$10,Paramètres!$A$1:$I$89,3,0)*0.475*44/12</f>
        <v>2.2507570316183347</v>
      </c>
      <c r="AX62" s="23">
        <f t="shared" si="6"/>
        <v>182.9685222778034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2.2737367544323206E-13</v>
      </c>
      <c r="BE62" s="14">
        <f>BD62*VLOOKUP('Données projet'!$B$11,Paramètres!$A$1:$I$89,3,0)*VLOOKUP('Données projet'!$B$11,Paramètres!$A$1:$I$89,5,0)</f>
        <v>1.6671037883497774E-13</v>
      </c>
      <c r="BF62" s="14">
        <f t="shared" si="37"/>
        <v>2.3598166018346595E-12</v>
      </c>
      <c r="BG62" s="22">
        <f t="shared" si="7"/>
        <v>4.400367824666284E-12</v>
      </c>
      <c r="BH62" s="62">
        <f t="shared" si="8"/>
        <v>293.33333333333769</v>
      </c>
      <c r="BI62" s="62">
        <f ca="1">AVERAGE(OFFSET($BH$3,0,0,'Données projet'!$E$11+1,1))-AVERAGE(OFFSET($H$3,0,0,'Données projet'!$E$11+1,1))</f>
        <v>350.22629663422435</v>
      </c>
      <c r="BJ62" s="62">
        <f t="shared" si="38"/>
        <v>375.98044319336645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202.15169215061141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202.15169215061141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>
        <f>BY62*VLOOKUP('Données projet'!$B$12,Paramètres!$A$1:$I$89,3,0)*VLOOKUP('Données projet'!$B$12,Paramètres!$A$1:$I$89,5,0)</f>
        <v>-4.5224624045658861E-14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248.15263300983543</v>
      </c>
      <c r="CE62" s="62">
        <f t="shared" si="40"/>
        <v>266.46511459244618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142.40460439346302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142.40460439346302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-3.813056537183002E-14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205.35893113421139</v>
      </c>
      <c r="CZ62" s="62">
        <f t="shared" si="42"/>
        <v>220.4399811285175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120.06662723370411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120.06662723370411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754</v>
      </c>
      <c r="L63" s="13">
        <f>VLOOKUP(A63,'Données projet'!$A$35:$I$55,9,0)</f>
        <v>12.2</v>
      </c>
      <c r="M63" s="13">
        <f t="array" ref="M63">INDEX(L:L,MIN(IF(ISNUMBER(L63:L259),ROW(L63:L259),"")))</f>
        <v>12.2</v>
      </c>
      <c r="N63" s="14">
        <f>IF('Données projet'!$A$36&gt;35,N62+M63-V62,IF(A63&lt;'Données projet'!$A$36,$K$205^A63,IF(A63='Données projet'!$A$36,'Données projet'!$B$36,N62+M63-V62)))</f>
        <v>753.99999999999966</v>
      </c>
      <c r="O63" s="14">
        <f>N63*VLOOKUP('Données projet'!$B$9,Paramètres!$A$1:$I$89,3,0)*VLOOKUP('Données projet'!$B$9,Paramètres!$A$1:$I$89,5,0)</f>
        <v>421.48599999999982</v>
      </c>
      <c r="P63" s="14">
        <f t="shared" si="33"/>
        <v>96.119269055816147</v>
      </c>
      <c r="Q63" s="22">
        <f t="shared" si="53"/>
        <v>901.49584360554616</v>
      </c>
      <c r="R63" s="62">
        <f t="shared" si="0"/>
        <v>1194.8291769388795</v>
      </c>
      <c r="S63" s="62">
        <f ca="1">AVERAGE(OFFSET($R$3,0,0,'Données projet'!$E$9+1,1))-AVERAGE(OFFSET($H$3,0,0,'Données projet'!$E$9+1,1))</f>
        <v>490.96084572840579</v>
      </c>
      <c r="T63" s="62">
        <f t="shared" si="34"/>
        <v>597.91658789908263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35</v>
      </c>
      <c r="W63" s="17">
        <f>IF(ISNA(VLOOKUP(A63,'Données projet'!$A$35:$I$55,5,0)),0%,VLOOKUP(A63,'Données projet'!$A$35:$I$55,5,0)*VLOOKUP('Données projet'!$B$9,Paramètres!$A$1:$I$89,7,0))</f>
        <v>0.38500000000000001</v>
      </c>
      <c r="X63" s="17">
        <f>IF(ISNA(VLOOKUP(A63,'Données projet'!$A$35:$I$55,6,0)),0%,VLOOKUP(A63,'Données projet'!$A$35:$I$55,6,0)*VLOOKUP('Données projet'!$B$9,Paramètres!$A$1:$I$89,7,0))</f>
        <v>9.240000000000001E-2</v>
      </c>
      <c r="Y63" s="17">
        <f>IF(ISNA(VLOOKUP(A63,'Données projet'!$A$35:$I$55,7,0)),0%,VLOOKUP(A63,'Données projet'!$A$35:$I$55,7,0))</f>
        <v>0.13200000000000001</v>
      </c>
      <c r="Z63" s="23">
        <f>EXP(-LN(2)/35)*Z62+(1-EXP(-LN(2)/35))/(LN(2)/35)*V63*W63*VLOOKUP('Données projet'!$B$9,Paramètres!$A$1:$I$89,3,0)*0.475*44/12</f>
        <v>100.05557731579034</v>
      </c>
      <c r="AA63" s="23">
        <f>EXP(-LN(2)/25)*AA62+(1-EXP(-LN(2)/25))/(LN(2)/25)*Calculateur!V63*Calculateur!X63*VLOOKUP('Données projet'!$B$9,Paramètres!$A$1:$I$89,3,0)*0.475*44/12</f>
        <v>24.138073840558391</v>
      </c>
      <c r="AB63" s="23">
        <f>EXP(-LN(2)/2)*AB62+(1-EXP(-LN(2)/2))/(LN(2)/2)*V63*Y63*VLOOKUP('Données projet'!$B$9,Paramètres!$A$1:$I$89,3,0)*0.475*44/12</f>
        <v>3.8024419550768824</v>
      </c>
      <c r="AC63" s="24">
        <f t="shared" si="3"/>
        <v>127.99609311142562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534</v>
      </c>
      <c r="AG63" s="13">
        <f>VLOOKUP(A63,'Données projet'!$A$61:$I$81,9,0)</f>
        <v>13.333333333333334</v>
      </c>
      <c r="AH63" s="13">
        <f t="array" ref="AH63">INDEX(AG:AG,MIN(IF(ISNUMBER(AG63:AG259),ROW(AG63:AG259),"")))</f>
        <v>13.333333333333334</v>
      </c>
      <c r="AI63" s="14">
        <f>IF('Données projet'!$A$62&gt;35,AI62+AH63-AQ62,IF(A63&lt;'Données projet'!$A$62,$AF$205^A63,IF(A63='Données projet'!$A$62,'Données projet'!$B$62,AI62+AH63-AQ62)))</f>
        <v>533.99999999999966</v>
      </c>
      <c r="AJ63" s="14">
        <f>AI63*VLOOKUP('Données projet'!$B$10,Paramètres!$A$1:$I$89,3,0)*VLOOKUP('Données projet'!$B$10,Paramètres!$A$1:$I$89,5,0)</f>
        <v>333.21599999999978</v>
      </c>
      <c r="AK63" s="14">
        <f t="shared" si="35"/>
        <v>78.096689211412567</v>
      </c>
      <c r="AL63" s="22">
        <f t="shared" si="4"/>
        <v>716.36960037654308</v>
      </c>
      <c r="AM63" s="62">
        <f t="shared" si="5"/>
        <v>1009.7029337098763</v>
      </c>
      <c r="AN63" s="62">
        <f ca="1">AVERAGE(OFFSET($AM$3,0,0,'Données projet'!$E$10+1,1))-AVERAGE(OFFSET($H$3,0,0,'Données projet'!$E$10+1,1))</f>
        <v>482.28841373508675</v>
      </c>
      <c r="AO63" s="62">
        <f t="shared" si="36"/>
        <v>746.97309214631684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112</v>
      </c>
      <c r="AR63" s="17">
        <f>IF(ISNA(VLOOKUP(A63,'Données projet'!$A$61:$I$81,5,0)),0%,VLOOKUP(A63,'Données projet'!$A$61:$I$81,5,0)*VLOOKUP('Données projet'!$B$10,Paramètres!$A$1:$I$89,7,0))</f>
        <v>0.42</v>
      </c>
      <c r="AS63" s="17">
        <f>IF(ISNA(VLOOKUP(A63,'Données projet'!$A$61:$I$81,6,0)),0%,VLOOKUP(A63,'Données projet'!$A$61:$I$81,6,0)*VLOOKUP('Données projet'!$B$10,Paramètres!$A$1:$I$89,7,0))</f>
        <v>0.1008</v>
      </c>
      <c r="AT63" s="17">
        <f>IF(ISNA(VLOOKUP(A63,'Données projet'!$A$61:$I$81,7,0)),0%,VLOOKUP(A63,'Données projet'!$A$61:$I$81,7,0))</f>
        <v>0.13200000000000001</v>
      </c>
      <c r="AU63" s="23">
        <f>EXP(-LN(2)/35)*AU62+(1-EXP(-LN(2)/35))/(LN(2)/35)*AQ63*AR63*VLOOKUP('Données projet'!$B$10,Paramètres!$A$1:$I$89,3,0)*0.475*44/12</f>
        <v>185.10369205796255</v>
      </c>
      <c r="AV63" s="23">
        <f>EXP(-LN(2)/25)*AV62+(1-EXP(-LN(2)/25))/(LN(2)/25)*Calculateur!AQ63*Calculateur!AS63*VLOOKUP('Données projet'!$B$10,Paramètres!$A$1:$I$89,3,0)*0.475*44/12</f>
        <v>40.072695722329385</v>
      </c>
      <c r="AW63" s="23">
        <f>EXP(-LN(2)/2)*AW62+(1-EXP(-LN(2)/2))/(LN(2)/2)*AQ63*AT63*VLOOKUP('Données projet'!$B$10,Paramètres!$A$1:$I$89,3,0)*0.475*44/12</f>
        <v>12.036613066718544</v>
      </c>
      <c r="AX63" s="23">
        <f t="shared" si="6"/>
        <v>237.21300084701045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2.2737367544323206E-13</v>
      </c>
      <c r="BE63" s="14">
        <f>BD63*VLOOKUP('Données projet'!$B$11,Paramètres!$A$1:$I$89,3,0)*VLOOKUP('Données projet'!$B$11,Paramètres!$A$1:$I$89,5,0)</f>
        <v>1.6671037883497774E-13</v>
      </c>
      <c r="BF63" s="14">
        <f t="shared" si="37"/>
        <v>2.3598166018346595E-12</v>
      </c>
      <c r="BG63" s="22">
        <f t="shared" si="7"/>
        <v>4.400367824666284E-12</v>
      </c>
      <c r="BH63" s="62">
        <f t="shared" si="8"/>
        <v>293.33333333333769</v>
      </c>
      <c r="BI63" s="62">
        <f ca="1">AVERAGE(OFFSET($BH$3,0,0,'Données projet'!$E$11+1,1))-AVERAGE(OFFSET($H$3,0,0,'Données projet'!$E$11+1,1))</f>
        <v>350.22629663422435</v>
      </c>
      <c r="BJ63" s="62">
        <f t="shared" si="38"/>
        <v>375.98044319336645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198.18762076789523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198.18762076789523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>
        <f>BY63*VLOOKUP('Données projet'!$B$12,Paramètres!$A$1:$I$89,3,0)*VLOOKUP('Données projet'!$B$12,Paramètres!$A$1:$I$89,5,0)</f>
        <v>-4.5224624045658861E-14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248.15263300983543</v>
      </c>
      <c r="CE63" s="62">
        <f t="shared" si="40"/>
        <v>266.46511459244618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139.61213695953936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139.61213695953936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-3.813056537183002E-14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205.35893113421139</v>
      </c>
      <c r="CZ63" s="62">
        <f t="shared" si="42"/>
        <v>220.4399811285175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117.71219390706258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117.71219390706258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</v>
      </c>
      <c r="N64" s="14">
        <f>IF('Données projet'!$A$36&gt;35,N63+M64-V63,IF(A64&lt;'Données projet'!$A$36,$K$205^A64,IF(A64='Données projet'!$A$36,'Données projet'!$B$36,N63+M64-V63)))</f>
        <v>728.99999999999966</v>
      </c>
      <c r="O64" s="14">
        <f>N64*VLOOKUP('Données projet'!$B$9,Paramètres!$A$1:$I$89,3,0)*VLOOKUP('Données projet'!$B$9,Paramètres!$A$1:$I$89,5,0)</f>
        <v>407.51099999999985</v>
      </c>
      <c r="P64" s="14">
        <f t="shared" si="33"/>
        <v>93.297752590617137</v>
      </c>
      <c r="Q64" s="22">
        <f t="shared" si="53"/>
        <v>872.24191076199133</v>
      </c>
      <c r="R64" s="62">
        <f t="shared" si="0"/>
        <v>1165.5752440953247</v>
      </c>
      <c r="S64" s="62">
        <f ca="1">AVERAGE(OFFSET($R$3,0,0,'Données projet'!$E$9+1,1))-AVERAGE(OFFSET($H$3,0,0,'Données projet'!$E$9+1,1))</f>
        <v>490.96084572840579</v>
      </c>
      <c r="T64" s="62">
        <f t="shared" si="34"/>
        <v>597.91658789908263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98.093548472503855</v>
      </c>
      <c r="AA64" s="23">
        <f>EXP(-LN(2)/25)*AA63+(1-EXP(-LN(2)/25))/(LN(2)/25)*Calculateur!V64*Calculateur!X64*VLOOKUP('Données projet'!$B$9,Paramètres!$A$1:$I$89,3,0)*0.475*44/12</f>
        <v>23.478016942022187</v>
      </c>
      <c r="AB64" s="23">
        <f>EXP(-LN(2)/2)*AB63+(1-EXP(-LN(2)/2))/(LN(2)/2)*V64*Y64*VLOOKUP('Données projet'!$B$9,Paramètres!$A$1:$I$89,3,0)*0.475*44/12</f>
        <v>2.6887324915030972</v>
      </c>
      <c r="AC64" s="24">
        <f t="shared" si="3"/>
        <v>124.26029790602915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13.333333333333334</v>
      </c>
      <c r="AI64" s="14">
        <f>IF('Données projet'!$A$62&gt;35,AI63+AH64-AQ63,IF(A64&lt;'Données projet'!$A$62,$AF$205^A64,IF(A64='Données projet'!$A$62,'Données projet'!$B$62,AI63+AH64-AQ63)))</f>
        <v>435.33333333333303</v>
      </c>
      <c r="AJ64" s="14">
        <f>AI64*VLOOKUP('Données projet'!$B$10,Paramètres!$A$1:$I$89,3,0)*VLOOKUP('Données projet'!$B$10,Paramètres!$A$1:$I$89,5,0)</f>
        <v>271.6479999999998</v>
      </c>
      <c r="AK64" s="14">
        <f t="shared" si="35"/>
        <v>65.198892519225097</v>
      </c>
      <c r="AL64" s="22">
        <f t="shared" si="4"/>
        <v>586.67500447098337</v>
      </c>
      <c r="AM64" s="62">
        <f t="shared" si="5"/>
        <v>880.00833780431662</v>
      </c>
      <c r="AN64" s="62">
        <f ca="1">AVERAGE(OFFSET($AM$3,0,0,'Données projet'!$E$10+1,1))-AVERAGE(OFFSET($H$3,0,0,'Données projet'!$E$10+1,1))</f>
        <v>482.28841373508675</v>
      </c>
      <c r="AO64" s="62">
        <f t="shared" si="36"/>
        <v>746.97309214631684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181.47392155880991</v>
      </c>
      <c r="AV64" s="23">
        <f>EXP(-LN(2)/25)*AV63+(1-EXP(-LN(2)/25))/(LN(2)/25)*Calculateur!AQ64*Calculateur!AS64*VLOOKUP('Données projet'!$B$10,Paramètres!$A$1:$I$89,3,0)*0.475*44/12</f>
        <v>38.976905750470806</v>
      </c>
      <c r="AW64" s="23">
        <f>EXP(-LN(2)/2)*AW63+(1-EXP(-LN(2)/2))/(LN(2)/2)*AQ64*AT64*VLOOKUP('Données projet'!$B$10,Paramètres!$A$1:$I$89,3,0)*0.475*44/12</f>
        <v>8.5111707219952883</v>
      </c>
      <c r="AX64" s="23">
        <f t="shared" si="6"/>
        <v>228.96199803127601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2.2737367544323206E-13</v>
      </c>
      <c r="BE64" s="14">
        <f>BD64*VLOOKUP('Données projet'!$B$11,Paramètres!$A$1:$I$89,3,0)*VLOOKUP('Données projet'!$B$11,Paramètres!$A$1:$I$89,5,0)</f>
        <v>1.6671037883497774E-13</v>
      </c>
      <c r="BF64" s="14">
        <f t="shared" si="37"/>
        <v>2.3598166018346595E-12</v>
      </c>
      <c r="BG64" s="22">
        <f t="shared" si="7"/>
        <v>4.400367824666284E-12</v>
      </c>
      <c r="BH64" s="62">
        <f t="shared" si="8"/>
        <v>293.33333333333769</v>
      </c>
      <c r="BI64" s="62">
        <f ca="1">AVERAGE(OFFSET($BH$3,0,0,'Données projet'!$E$11+1,1))-AVERAGE(OFFSET($H$3,0,0,'Données projet'!$E$11+1,1))</f>
        <v>350.22629663422435</v>
      </c>
      <c r="BJ64" s="62">
        <f t="shared" si="38"/>
        <v>375.98044319336645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194.3012824071493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194.3012824071493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>
        <f>BY64*VLOOKUP('Données projet'!$B$12,Paramètres!$A$1:$I$89,3,0)*VLOOKUP('Données projet'!$B$12,Paramètres!$A$1:$I$89,5,0)</f>
        <v>-4.5224624045658861E-14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248.15263300983543</v>
      </c>
      <c r="CE64" s="62">
        <f t="shared" si="40"/>
        <v>266.46511459244618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136.87442810875797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136.87442810875797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-3.813056537183002E-14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205.35893113421139</v>
      </c>
      <c r="CZ64" s="62">
        <f t="shared" si="42"/>
        <v>220.4399811285175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115.40392958189398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115.40392958189398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</v>
      </c>
      <c r="N65" s="14">
        <f>IF('Données projet'!$A$36&gt;35,N64+M65-V64,IF(A65&lt;'Données projet'!$A$36,$K$205^A65,IF(A65='Données projet'!$A$36,'Données projet'!$B$36,N64+M65-V64)))</f>
        <v>738.99999999999966</v>
      </c>
      <c r="O65" s="14">
        <f>N65*VLOOKUP('Données projet'!$B$9,Paramètres!$A$1:$I$89,3,0)*VLOOKUP('Données projet'!$B$9,Paramètres!$A$1:$I$89,5,0)</f>
        <v>413.10099999999983</v>
      </c>
      <c r="P65" s="14">
        <f t="shared" si="33"/>
        <v>94.427689670462357</v>
      </c>
      <c r="Q65" s="22">
        <f t="shared" si="53"/>
        <v>883.94580117605494</v>
      </c>
      <c r="R65" s="62">
        <f t="shared" si="0"/>
        <v>1177.2791345093883</v>
      </c>
      <c r="S65" s="62">
        <f ca="1">AVERAGE(OFFSET($R$3,0,0,'Données projet'!$E$9+1,1))-AVERAGE(OFFSET($H$3,0,0,'Données projet'!$E$9+1,1))</f>
        <v>490.96084572840579</v>
      </c>
      <c r="T65" s="62">
        <f t="shared" si="34"/>
        <v>597.91658789908263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96.16999381811479</v>
      </c>
      <c r="AA65" s="23">
        <f>EXP(-LN(2)/25)*AA64+(1-EXP(-LN(2)/25))/(LN(2)/25)*Calculateur!V65*Calculateur!X65*VLOOKUP('Données projet'!$B$9,Paramètres!$A$1:$I$89,3,0)*0.475*44/12</f>
        <v>22.83600933408734</v>
      </c>
      <c r="AB65" s="23">
        <f>EXP(-LN(2)/2)*AB64+(1-EXP(-LN(2)/2))/(LN(2)/2)*V65*Y65*VLOOKUP('Données projet'!$B$9,Paramètres!$A$1:$I$89,3,0)*0.475*44/12</f>
        <v>1.9012209775384414</v>
      </c>
      <c r="AC65" s="24">
        <f t="shared" si="3"/>
        <v>120.90722412974057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13.333333333333334</v>
      </c>
      <c r="AI65" s="14">
        <f>IF('Données projet'!$A$62&gt;35,AI64+AH65-AQ64,IF(A65&lt;'Données projet'!$A$62,$AF$205^A65,IF(A65='Données projet'!$A$62,'Données projet'!$B$62,AI64+AH65-AQ64)))</f>
        <v>448.66666666666634</v>
      </c>
      <c r="AJ65" s="14">
        <f>AI65*VLOOKUP('Données projet'!$B$10,Paramètres!$A$1:$I$89,3,0)*VLOOKUP('Données projet'!$B$10,Paramètres!$A$1:$I$89,5,0)</f>
        <v>279.96799999999979</v>
      </c>
      <c r="AK65" s="14">
        <f t="shared" si="35"/>
        <v>66.960246316234532</v>
      </c>
      <c r="AL65" s="22">
        <f t="shared" si="4"/>
        <v>604.23336233410805</v>
      </c>
      <c r="AM65" s="62">
        <f t="shared" si="5"/>
        <v>897.56669566744131</v>
      </c>
      <c r="AN65" s="62">
        <f ca="1">AVERAGE(OFFSET($AM$3,0,0,'Données projet'!$E$10+1,1))-AVERAGE(OFFSET($H$3,0,0,'Données projet'!$E$10+1,1))</f>
        <v>482.28841373508675</v>
      </c>
      <c r="AO65" s="62">
        <f t="shared" si="36"/>
        <v>746.97309214631684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177.91532864520426</v>
      </c>
      <c r="AV65" s="23">
        <f>EXP(-LN(2)/25)*AV64+(1-EXP(-LN(2)/25))/(LN(2)/25)*Calculateur!AQ65*Calculateur!AS65*VLOOKUP('Données projet'!$B$10,Paramètres!$A$1:$I$89,3,0)*0.475*44/12</f>
        <v>37.91108021301779</v>
      </c>
      <c r="AW65" s="23">
        <f>EXP(-LN(2)/2)*AW64+(1-EXP(-LN(2)/2))/(LN(2)/2)*AQ65*AT65*VLOOKUP('Données projet'!$B$10,Paramètres!$A$1:$I$89,3,0)*0.475*44/12</f>
        <v>6.0183065333592722</v>
      </c>
      <c r="AX65" s="23">
        <f t="shared" si="6"/>
        <v>221.8447153915813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2.2737367544323206E-13</v>
      </c>
      <c r="BE65" s="14">
        <f>BD65*VLOOKUP('Données projet'!$B$11,Paramètres!$A$1:$I$89,3,0)*VLOOKUP('Données projet'!$B$11,Paramètres!$A$1:$I$89,5,0)</f>
        <v>1.6671037883497774E-13</v>
      </c>
      <c r="BF65" s="14">
        <f t="shared" si="37"/>
        <v>2.3598166018346595E-12</v>
      </c>
      <c r="BG65" s="22">
        <f t="shared" si="7"/>
        <v>4.400367824666284E-12</v>
      </c>
      <c r="BH65" s="62">
        <f t="shared" si="8"/>
        <v>293.33333333333769</v>
      </c>
      <c r="BI65" s="62">
        <f ca="1">AVERAGE(OFFSET($BH$3,0,0,'Données projet'!$E$11+1,1))-AVERAGE(OFFSET($H$3,0,0,'Données projet'!$E$11+1,1))</f>
        <v>350.22629663422435</v>
      </c>
      <c r="BJ65" s="62">
        <f t="shared" si="38"/>
        <v>375.98044319336645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190.49115277122527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190.49115277122527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>
        <f>BY65*VLOOKUP('Données projet'!$B$12,Paramètres!$A$1:$I$89,3,0)*VLOOKUP('Données projet'!$B$12,Paramètres!$A$1:$I$89,5,0)</f>
        <v>-4.5224624045658861E-14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248.15263300983543</v>
      </c>
      <c r="CE65" s="62">
        <f t="shared" si="40"/>
        <v>266.46511459244618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134.19040405870291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134.19040405870291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-3.813056537183002E-14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205.35893113421139</v>
      </c>
      <c r="CZ65" s="62">
        <f t="shared" si="42"/>
        <v>220.4399811285175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113.1409289122397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113.1409289122397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</v>
      </c>
      <c r="N66" s="14">
        <f>IF('Données projet'!$A$36&gt;35,N65+M66-V65,IF(A66&lt;'Données projet'!$A$36,$K$205^A66,IF(A66='Données projet'!$A$36,'Données projet'!$B$36,N65+M66-V65)))</f>
        <v>748.99999999999966</v>
      </c>
      <c r="O66" s="14">
        <f>N66*VLOOKUP('Données projet'!$B$9,Paramètres!$A$1:$I$89,3,0)*VLOOKUP('Données projet'!$B$9,Paramètres!$A$1:$I$89,5,0)</f>
        <v>418.6909999999998</v>
      </c>
      <c r="P66" s="14">
        <f t="shared" si="33"/>
        <v>95.555848328260851</v>
      </c>
      <c r="Q66" s="22">
        <f t="shared" si="53"/>
        <v>895.64659417172061</v>
      </c>
      <c r="R66" s="62">
        <f t="shared" si="0"/>
        <v>1188.9799275050539</v>
      </c>
      <c r="S66" s="62">
        <f ca="1">AVERAGE(OFFSET($R$3,0,0,'Données projet'!$E$9+1,1))-AVERAGE(OFFSET($H$3,0,0,'Données projet'!$E$9+1,1))</f>
        <v>490.96084572840579</v>
      </c>
      <c r="T66" s="62">
        <f t="shared" si="34"/>
        <v>597.91658789908263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94.284158897245803</v>
      </c>
      <c r="AA66" s="23">
        <f>EXP(-LN(2)/25)*AA65+(1-EXP(-LN(2)/25))/(LN(2)/25)*Calculateur!V66*Calculateur!X66*VLOOKUP('Données projet'!$B$9,Paramètres!$A$1:$I$89,3,0)*0.475*44/12</f>
        <v>22.211557457953184</v>
      </c>
      <c r="AB66" s="23">
        <f>EXP(-LN(2)/2)*AB65+(1-EXP(-LN(2)/2))/(LN(2)/2)*V66*Y66*VLOOKUP('Données projet'!$B$9,Paramètres!$A$1:$I$89,3,0)*0.475*44/12</f>
        <v>1.3443662457515488</v>
      </c>
      <c r="AC66" s="24">
        <f t="shared" si="3"/>
        <v>117.84008260095054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13.333333333333334</v>
      </c>
      <c r="AI66" s="14">
        <f>IF('Données projet'!$A$62&gt;35,AI65+AH66-AQ65,IF(A66&lt;'Données projet'!$A$62,$AF$205^A66,IF(A66='Données projet'!$A$62,'Données projet'!$B$62,AI65+AH66-AQ65)))</f>
        <v>461.99999999999966</v>
      </c>
      <c r="AJ66" s="14">
        <f>AI66*VLOOKUP('Données projet'!$B$10,Paramètres!$A$1:$I$89,3,0)*VLOOKUP('Données projet'!$B$10,Paramètres!$A$1:$I$89,5,0)</f>
        <v>288.28799999999978</v>
      </c>
      <c r="AK66" s="14">
        <f t="shared" si="35"/>
        <v>68.715516926722387</v>
      </c>
      <c r="AL66" s="22">
        <f t="shared" si="4"/>
        <v>621.78112531404111</v>
      </c>
      <c r="AM66" s="62">
        <f t="shared" si="5"/>
        <v>915.11445864737448</v>
      </c>
      <c r="AN66" s="62">
        <f ca="1">AVERAGE(OFFSET($AM$3,0,0,'Données projet'!$E$10+1,1))-AVERAGE(OFFSET($H$3,0,0,'Données projet'!$E$10+1,1))</f>
        <v>482.28841373508675</v>
      </c>
      <c r="AO66" s="62">
        <f t="shared" si="36"/>
        <v>746.97309214631684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174.42651756810704</v>
      </c>
      <c r="AV66" s="23">
        <f>EXP(-LN(2)/25)*AV65+(1-EXP(-LN(2)/25))/(LN(2)/25)*Calculateur!AQ66*Calculateur!AS66*VLOOKUP('Données projet'!$B$10,Paramètres!$A$1:$I$89,3,0)*0.475*44/12</f>
        <v>36.874399730935757</v>
      </c>
      <c r="AW66" s="23">
        <f>EXP(-LN(2)/2)*AW65+(1-EXP(-LN(2)/2))/(LN(2)/2)*AQ66*AT66*VLOOKUP('Données projet'!$B$10,Paramètres!$A$1:$I$89,3,0)*0.475*44/12</f>
        <v>4.2555853609976442</v>
      </c>
      <c r="AX66" s="23">
        <f t="shared" si="6"/>
        <v>215.55650266004045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2.2737367544323206E-13</v>
      </c>
      <c r="BE66" s="14">
        <f>BD66*VLOOKUP('Données projet'!$B$11,Paramètres!$A$1:$I$89,3,0)*VLOOKUP('Données projet'!$B$11,Paramètres!$A$1:$I$89,5,0)</f>
        <v>1.6671037883497774E-13</v>
      </c>
      <c r="BF66" s="14">
        <f t="shared" si="37"/>
        <v>2.3598166018346595E-12</v>
      </c>
      <c r="BG66" s="22">
        <f t="shared" si="7"/>
        <v>4.400367824666284E-12</v>
      </c>
      <c r="BH66" s="62">
        <f t="shared" si="8"/>
        <v>293.33333333333769</v>
      </c>
      <c r="BI66" s="62">
        <f ca="1">AVERAGE(OFFSET($BH$3,0,0,'Données projet'!$E$11+1,1))-AVERAGE(OFFSET($H$3,0,0,'Données projet'!$E$11+1,1))</f>
        <v>350.22629663422435</v>
      </c>
      <c r="BJ66" s="62">
        <f t="shared" si="38"/>
        <v>375.98044319336645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186.7557374535121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186.7557374535121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>
        <f>BY66*VLOOKUP('Données projet'!$B$12,Paramètres!$A$1:$I$89,3,0)*VLOOKUP('Données projet'!$B$12,Paramètres!$A$1:$I$89,5,0)</f>
        <v>-4.5224624045658861E-14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248.15263300983543</v>
      </c>
      <c r="CE66" s="62">
        <f t="shared" si="40"/>
        <v>266.46511459244618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131.55901208317638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131.55901208317638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-3.813056537183002E-14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205.35893113421139</v>
      </c>
      <c r="CZ66" s="62">
        <f t="shared" si="42"/>
        <v>220.4399811285175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110.92230430542322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110.92230430542322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</v>
      </c>
      <c r="N67" s="14">
        <f>IF('Données projet'!$A$36&gt;35,N66+M67-V66,IF(A67&lt;'Données projet'!$A$36,$K$205^A67,IF(A67='Données projet'!$A$36,'Données projet'!$B$36,N66+M67-V66)))</f>
        <v>758.99999999999966</v>
      </c>
      <c r="O67" s="14">
        <f>N67*VLOOKUP('Données projet'!$B$9,Paramètres!$A$1:$I$89,3,0)*VLOOKUP('Données projet'!$B$9,Paramètres!$A$1:$I$89,5,0)</f>
        <v>424.28099999999978</v>
      </c>
      <c r="P67" s="14">
        <f t="shared" si="33"/>
        <v>96.682255052757768</v>
      </c>
      <c r="Q67" s="22">
        <f t="shared" ref="Q67:Q98" si="54">(O67+P67)*0.475*44/12</f>
        <v>907.34433588355262</v>
      </c>
      <c r="R67" s="62">
        <f t="shared" ref="R67:R130" si="55">Q67+(I67+J67)*44/12</f>
        <v>1200.677669216886</v>
      </c>
      <c r="S67" s="62">
        <f ca="1">AVERAGE(OFFSET($R$3,0,0,'Données projet'!$E$9+1,1))-AVERAGE(OFFSET($H$3,0,0,'Données projet'!$E$9+1,1))</f>
        <v>490.96084572840579</v>
      </c>
      <c r="T67" s="62">
        <f t="shared" si="34"/>
        <v>597.91658789908263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92.435304048929325</v>
      </c>
      <c r="AA67" s="23">
        <f>EXP(-LN(2)/25)*AA66+(1-EXP(-LN(2)/25))/(LN(2)/25)*Calculateur!V67*Calculateur!X67*VLOOKUP('Données projet'!$B$9,Paramètres!$A$1:$I$89,3,0)*0.475*44/12</f>
        <v>21.604181251210413</v>
      </c>
      <c r="AB67" s="23">
        <f>EXP(-LN(2)/2)*AB66+(1-EXP(-LN(2)/2))/(LN(2)/2)*V67*Y67*VLOOKUP('Données projet'!$B$9,Paramètres!$A$1:$I$89,3,0)*0.475*44/12</f>
        <v>0.95061048876922094</v>
      </c>
      <c r="AC67" s="24">
        <f t="shared" si="3"/>
        <v>114.99009578890896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13.333333333333334</v>
      </c>
      <c r="AI67" s="14">
        <f>IF('Données projet'!$A$62&gt;35,AI66+AH67-AQ66,IF(A67&lt;'Données projet'!$A$62,$AF$205^A67,IF(A67='Données projet'!$A$62,'Données projet'!$B$62,AI66+AH67-AQ66)))</f>
        <v>475.33333333333297</v>
      </c>
      <c r="AJ67" s="14">
        <f>AI67*VLOOKUP('Données projet'!$B$10,Paramètres!$A$1:$I$89,3,0)*VLOOKUP('Données projet'!$B$10,Paramètres!$A$1:$I$89,5,0)</f>
        <v>296.60799999999978</v>
      </c>
      <c r="AK67" s="14">
        <f t="shared" si="35"/>
        <v>70.464900073149323</v>
      </c>
      <c r="AL67" s="22">
        <f t="shared" si="4"/>
        <v>639.31863429406792</v>
      </c>
      <c r="AM67" s="62">
        <f t="shared" si="5"/>
        <v>932.65196762740129</v>
      </c>
      <c r="AN67" s="62">
        <f ca="1">AVERAGE(OFFSET($AM$3,0,0,'Données projet'!$E$10+1,1))-AVERAGE(OFFSET($H$3,0,0,'Données projet'!$E$10+1,1))</f>
        <v>482.28841373508675</v>
      </c>
      <c r="AO67" s="62">
        <f t="shared" si="36"/>
        <v>746.97309214631684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171.00611994826707</v>
      </c>
      <c r="AV67" s="23">
        <f>EXP(-LN(2)/25)*AV66+(1-EXP(-LN(2)/25))/(LN(2)/25)*Calculateur!AQ67*Calculateur!AS67*VLOOKUP('Données projet'!$B$10,Paramètres!$A$1:$I$89,3,0)*0.475*44/12</f>
        <v>35.866067331152912</v>
      </c>
      <c r="AW67" s="23">
        <f>EXP(-LN(2)/2)*AW66+(1-EXP(-LN(2)/2))/(LN(2)/2)*AQ67*AT67*VLOOKUP('Données projet'!$B$10,Paramètres!$A$1:$I$89,3,0)*0.475*44/12</f>
        <v>3.0091532666796361</v>
      </c>
      <c r="AX67" s="23">
        <f t="shared" si="6"/>
        <v>209.88134054609964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2.2737367544323206E-13</v>
      </c>
      <c r="BE67" s="14">
        <f>BD67*VLOOKUP('Données projet'!$B$11,Paramètres!$A$1:$I$89,3,0)*VLOOKUP('Données projet'!$B$11,Paramètres!$A$1:$I$89,5,0)</f>
        <v>1.6671037883497774E-13</v>
      </c>
      <c r="BF67" s="14">
        <f t="shared" si="37"/>
        <v>2.3598166018346595E-12</v>
      </c>
      <c r="BG67" s="22">
        <f t="shared" si="7"/>
        <v>4.400367824666284E-12</v>
      </c>
      <c r="BH67" s="62">
        <f t="shared" si="8"/>
        <v>293.33333333333769</v>
      </c>
      <c r="BI67" s="62">
        <f ca="1">AVERAGE(OFFSET($BH$3,0,0,'Données projet'!$E$11+1,1))-AVERAGE(OFFSET($H$3,0,0,'Données projet'!$E$11+1,1))</f>
        <v>350.22629663422435</v>
      </c>
      <c r="BJ67" s="62">
        <f t="shared" si="38"/>
        <v>375.98044319336645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183.0935713518009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183.0935713518009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>
        <f>BY67*VLOOKUP('Données projet'!$B$12,Paramètres!$A$1:$I$89,3,0)*VLOOKUP('Données projet'!$B$12,Paramètres!$A$1:$I$89,5,0)</f>
        <v>-4.5224624045658861E-14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248.15263300983543</v>
      </c>
      <c r="CE67" s="62">
        <f t="shared" si="40"/>
        <v>266.46511459244618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128.97922009929931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128.97922009929931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-3.813056537183002E-14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205.35893113421139</v>
      </c>
      <c r="CZ67" s="62">
        <f t="shared" si="42"/>
        <v>220.4399811285175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108.74718557391904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108.74718557391904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769</v>
      </c>
      <c r="L68" s="13">
        <f>VLOOKUP(A68,'Données projet'!$A$35:$I$55,9,0)</f>
        <v>10</v>
      </c>
      <c r="M68" s="13">
        <f t="array" ref="M68">INDEX(L:L,MIN(IF(ISNUMBER(L68:L264),ROW(L68:L264),"")))</f>
        <v>10</v>
      </c>
      <c r="N68" s="14">
        <f>IF('Données projet'!$A$36&gt;35,N67+M68-V67,IF(A68&lt;'Données projet'!$A$36,$K$205^A68,IF(A68='Données projet'!$A$36,'Données projet'!$B$36,N67+M68-V67)))</f>
        <v>768.99999999999966</v>
      </c>
      <c r="O68" s="14">
        <f>N68*VLOOKUP('Données projet'!$B$9,Paramètres!$A$1:$I$89,3,0)*VLOOKUP('Données projet'!$B$9,Paramètres!$A$1:$I$89,5,0)</f>
        <v>429.87099999999981</v>
      </c>
      <c r="P68" s="14">
        <f t="shared" si="33"/>
        <v>97.806935594587088</v>
      </c>
      <c r="Q68" s="22">
        <f t="shared" si="54"/>
        <v>919.03907116057201</v>
      </c>
      <c r="R68" s="62">
        <f t="shared" si="55"/>
        <v>1212.3724044939054</v>
      </c>
      <c r="S68" s="62">
        <f ca="1">AVERAGE(OFFSET($R$3,0,0,'Données projet'!$E$9+1,1))-AVERAGE(OFFSET($H$3,0,0,'Données projet'!$E$9+1,1))</f>
        <v>490.96084572840579</v>
      </c>
      <c r="T68" s="62">
        <f t="shared" si="34"/>
        <v>597.91658789908263</v>
      </c>
      <c r="U68" s="16" t="str">
        <f>IF(ISNA(VLOOKUP(A68,'Données projet'!$A$35:$I$55,3,0)),0,VLOOKUP(A68,'Données projet'!$A$35:$I$55,3,0))</f>
        <v>CR</v>
      </c>
      <c r="V68" s="16">
        <f>IF(ISNA(VLOOKUP(A68,'Données projet'!$A$35:$I$55,4,0)),0,VLOOKUP(A68,'Données projet'!$A$35:$I$55,4,0))</f>
        <v>769</v>
      </c>
      <c r="W68" s="17">
        <f>IF(ISNA(VLOOKUP(A68,'Données projet'!$A$35:$I$55,5,0)),0%,VLOOKUP(A68,'Données projet'!$A$35:$I$55,5,0)*VLOOKUP('Données projet'!$B$9,Paramètres!$A$1:$I$89,7,0))</f>
        <v>0.38500000000000001</v>
      </c>
      <c r="X68" s="17">
        <f>IF(ISNA(VLOOKUP(A68,'Données projet'!$A$35:$I$55,6,0)),0%,VLOOKUP(A68,'Données projet'!$A$35:$I$55,6,0)*VLOOKUP('Données projet'!$B$9,Paramètres!$A$1:$I$89,7,0))</f>
        <v>9.240000000000001E-2</v>
      </c>
      <c r="Y68" s="17">
        <f>IF(ISNA(VLOOKUP(A68,'Données projet'!$A$35:$I$55,7,0)),0%,VLOOKUP(A68,'Données projet'!$A$35:$I$55,7,0))</f>
        <v>0.13200000000000001</v>
      </c>
      <c r="Z68" s="23">
        <f>EXP(-LN(2)/35)*Z67+(1-EXP(-LN(2)/35))/(LN(2)/35)*V68*W68*VLOOKUP('Données projet'!$B$9,Paramètres!$A$1:$I$89,3,0)*0.475*44/12</f>
        <v>310.16956589083469</v>
      </c>
      <c r="AA68" s="23">
        <f>EXP(-LN(2)/25)*AA67+(1-EXP(-LN(2)/25))/(LN(2)/25)*Calculateur!V68*Calculateur!X68*VLOOKUP('Données projet'!$B$9,Paramètres!$A$1:$I$89,3,0)*0.475*44/12</f>
        <v>73.497195088929914</v>
      </c>
      <c r="AB68" s="23">
        <f>EXP(-LN(2)/2)*AB67+(1-EXP(-LN(2)/2))/(LN(2)/2)*V68*Y68*VLOOKUP('Données projet'!$B$9,Paramètres!$A$1:$I$89,3,0)*0.475*44/12</f>
        <v>64.918408678915696</v>
      </c>
      <c r="AC68" s="24">
        <f t="shared" ref="AC68:AC131" si="57">SUM(Z68:AB68)</f>
        <v>448.58516965868029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13.333333333333334</v>
      </c>
      <c r="AI68" s="14">
        <f>IF('Données projet'!$A$62&gt;35,AI67+AH68-AQ67,IF(A68&lt;'Données projet'!$A$62,$AF$205^A68,IF(A68='Données projet'!$A$62,'Données projet'!$B$62,AI67+AH68-AQ67)))</f>
        <v>488.66666666666629</v>
      </c>
      <c r="AJ68" s="14">
        <f>AI68*VLOOKUP('Données projet'!$B$10,Paramètres!$A$1:$I$89,3,0)*VLOOKUP('Données projet'!$B$10,Paramètres!$A$1:$I$89,5,0)</f>
        <v>304.92799999999977</v>
      </c>
      <c r="AK68" s="14">
        <f t="shared" si="35"/>
        <v>72.208579873050681</v>
      </c>
      <c r="AL68" s="22">
        <f t="shared" ref="AL68:AL131" si="58">(AJ68+AK68)*0.475*44/12</f>
        <v>656.8462099455628</v>
      </c>
      <c r="AM68" s="62">
        <f t="shared" ref="AM68:AM131" si="59">AL68+(AD68+AE68)*44/12</f>
        <v>950.17954327889606</v>
      </c>
      <c r="AN68" s="62">
        <f ca="1">AVERAGE(OFFSET($AM$3,0,0,'Données projet'!$E$10+1,1))-AVERAGE(OFFSET($H$3,0,0,'Données projet'!$E$10+1,1))</f>
        <v>482.28841373508675</v>
      </c>
      <c r="AO68" s="62">
        <f t="shared" si="36"/>
        <v>746.97309214631684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167.6527942395156</v>
      </c>
      <c r="AV68" s="23">
        <f>EXP(-LN(2)/25)*AV67+(1-EXP(-LN(2)/25))/(LN(2)/25)*Calculateur!AQ68*Calculateur!AS68*VLOOKUP('Données projet'!$B$10,Paramètres!$A$1:$I$89,3,0)*0.475*44/12</f>
        <v>34.885307833868026</v>
      </c>
      <c r="AW68" s="23">
        <f>EXP(-LN(2)/2)*AW67+(1-EXP(-LN(2)/2))/(LN(2)/2)*AQ68*AT68*VLOOKUP('Données projet'!$B$10,Paramètres!$A$1:$I$89,3,0)*0.475*44/12</f>
        <v>2.1277926804988221</v>
      </c>
      <c r="AX68" s="23">
        <f t="shared" ref="AX68:AX131" si="60">SUM(AU68:AW68)</f>
        <v>204.66589475388247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2.2737367544323206E-13</v>
      </c>
      <c r="BE68" s="14">
        <f>BD68*VLOOKUP('Données projet'!$B$11,Paramètres!$A$1:$I$89,3,0)*VLOOKUP('Données projet'!$B$11,Paramètres!$A$1:$I$89,5,0)</f>
        <v>1.6671037883497774E-13</v>
      </c>
      <c r="BF68" s="14">
        <f t="shared" si="37"/>
        <v>2.3598166018346595E-12</v>
      </c>
      <c r="BG68" s="22">
        <f t="shared" ref="BG68:BG131" si="61">(BE68+BF68)*0.475*44/12</f>
        <v>4.400367824666284E-12</v>
      </c>
      <c r="BH68" s="62">
        <f t="shared" ref="BH68:BH131" si="62">BG68+(AY68+AZ68)*44/12</f>
        <v>293.33333333333769</v>
      </c>
      <c r="BI68" s="62">
        <f ca="1">AVERAGE(OFFSET($BH$3,0,0,'Données projet'!$E$11+1,1))-AVERAGE(OFFSET($H$3,0,0,'Données projet'!$E$11+1,1))</f>
        <v>350.22629663422435</v>
      </c>
      <c r="BJ68" s="62">
        <f t="shared" si="38"/>
        <v>375.98044319336645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179.50321809364351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179.50321809364351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>
        <f>BY68*VLOOKUP('Données projet'!$B$12,Paramètres!$A$1:$I$89,3,0)*VLOOKUP('Données projet'!$B$12,Paramètres!$A$1:$I$89,5,0)</f>
        <v>-4.5224624045658861E-14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248.15263300983543</v>
      </c>
      <c r="CE68" s="62">
        <f t="shared" si="40"/>
        <v>266.46511459244618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126.45001626270835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126.45001626270835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-3.813056537183002E-14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205.35893113421139</v>
      </c>
      <c r="CZ68" s="62">
        <f t="shared" si="42"/>
        <v>220.4399811285175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106.61471959404822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106.61471959404822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-3.4106051316484809E-13</v>
      </c>
      <c r="O69" s="14">
        <f>N69*VLOOKUP('Données projet'!$B$9,Paramètres!$A$1:$I$89,3,0)*VLOOKUP('Données projet'!$B$9,Paramètres!$A$1:$I$89,5,0)</f>
        <v>-1.9065282685915009E-13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490.96084572840579</v>
      </c>
      <c r="T69" s="62">
        <f t="shared" ref="T69:T132" si="88">$T$3</f>
        <v>597.91658789908263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304.08732988847015</v>
      </c>
      <c r="AA69" s="23">
        <f>EXP(-LN(2)/25)*AA68+(1-EXP(-LN(2)/25))/(LN(2)/25)*Calculateur!V69*Calculateur!X69*VLOOKUP('Données projet'!$B$9,Paramètres!$A$1:$I$89,3,0)*0.475*44/12</f>
        <v>71.487410424173618</v>
      </c>
      <c r="AB69" s="23">
        <f>EXP(-LN(2)/2)*AB68+(1-EXP(-LN(2)/2))/(LN(2)/2)*V69*Y69*VLOOKUP('Données projet'!$B$9,Paramètres!$A$1:$I$89,3,0)*0.475*44/12</f>
        <v>45.904247000700913</v>
      </c>
      <c r="AC69" s="24">
        <f t="shared" si="57"/>
        <v>421.4789873133447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502</v>
      </c>
      <c r="AG69" s="13">
        <f>VLOOKUP(A69,'Données projet'!$A$61:$I$81,9,0)</f>
        <v>13.333333333333334</v>
      </c>
      <c r="AH69" s="13">
        <f t="array" ref="AH69">INDEX(AG:AG,MIN(IF(ISNUMBER(AG69:AG265),ROW(AG69:AG265),"")))</f>
        <v>13.333333333333334</v>
      </c>
      <c r="AI69" s="14">
        <f>IF('Données projet'!$A$62&gt;35,AI68+AH69-AQ68,IF(A69&lt;'Données projet'!$A$62,$AF$205^A69,IF(A69='Données projet'!$A$62,'Données projet'!$B$62,AI68+AH69-AQ68)))</f>
        <v>501.9999999999996</v>
      </c>
      <c r="AJ69" s="14">
        <f>AI69*VLOOKUP('Données projet'!$B$10,Paramètres!$A$1:$I$89,3,0)*VLOOKUP('Données projet'!$B$10,Paramètres!$A$1:$I$89,5,0)</f>
        <v>313.24799999999976</v>
      </c>
      <c r="AK69" s="14">
        <f t="shared" ref="AK69:AK132" si="89">EXP(-1.0587+0.8836*LN(AJ69)+0.284)</f>
        <v>73.946729824749326</v>
      </c>
      <c r="AL69" s="22">
        <f t="shared" si="58"/>
        <v>674.36415444477132</v>
      </c>
      <c r="AM69" s="62">
        <f t="shared" si="59"/>
        <v>967.69748777810469</v>
      </c>
      <c r="AN69" s="62">
        <f ca="1">AVERAGE(OFFSET($AM$3,0,0,'Données projet'!$E$10+1,1))-AVERAGE(OFFSET($H$3,0,0,'Données projet'!$E$10+1,1))</f>
        <v>482.28841373508675</v>
      </c>
      <c r="AO69" s="62">
        <f t="shared" ref="AO69:AO132" si="90">$AO$3</f>
        <v>746.97309214631684</v>
      </c>
      <c r="AP69" s="16">
        <f>IF(ISNA(VLOOKUP(A69,'Données projet'!$A$61:$I$81,3,0)),0,VLOOKUP(A69,'Données projet'!$A$61:$I$81,3,0))</f>
        <v>7</v>
      </c>
      <c r="AQ69" s="16">
        <f>IF(ISNA(VLOOKUP(A69,'Données projet'!$A$61:$I$81,4,0)),0,VLOOKUP(A69,'Données projet'!$A$61:$I$81,4,0))</f>
        <v>109</v>
      </c>
      <c r="AR69" s="17">
        <f>IF(ISNA(VLOOKUP(A69,'Données projet'!$A$61:$I$81,5,0)),0%,VLOOKUP(A69,'Données projet'!$A$61:$I$81,5,0)*VLOOKUP('Données projet'!$B$10,Paramètres!$A$1:$I$89,7,0))</f>
        <v>0.42</v>
      </c>
      <c r="AS69" s="17">
        <f>IF(ISNA(VLOOKUP(A69,'Données projet'!$A$61:$I$81,6,0)),0%,VLOOKUP(A69,'Données projet'!$A$61:$I$81,6,0)*VLOOKUP('Données projet'!$B$10,Paramètres!$A$1:$I$89,7,0))</f>
        <v>0.1008</v>
      </c>
      <c r="AT69" s="17">
        <f>IF(ISNA(VLOOKUP(A69,'Données projet'!$A$61:$I$81,7,0)),0%,VLOOKUP(A69,'Données projet'!$A$61:$I$81,7,0))</f>
        <v>0.13200000000000001</v>
      </c>
      <c r="AU69" s="23">
        <f>EXP(-LN(2)/35)*AU68+(1-EXP(-LN(2)/35))/(LN(2)/35)*AQ69*AR69*VLOOKUP('Données projet'!$B$10,Paramètres!$A$1:$I$89,3,0)*0.475*44/12</f>
        <v>202.26082056307985</v>
      </c>
      <c r="AV69" s="23">
        <f>EXP(-LN(2)/25)*AV68+(1-EXP(-LN(2)/25))/(LN(2)/25)*Calculateur!AQ69*Calculateur!AS69*VLOOKUP('Données projet'!$B$10,Paramètres!$A$1:$I$89,3,0)*0.475*44/12</f>
        <v>42.990499887541667</v>
      </c>
      <c r="AW69" s="23">
        <f>EXP(-LN(2)/2)*AW68+(1-EXP(-LN(2)/2))/(LN(2)/2)*AQ69*AT69*VLOOKUP('Données projet'!$B$10,Paramètres!$A$1:$I$89,3,0)*0.475*44/12</f>
        <v>11.669885010549752</v>
      </c>
      <c r="AX69" s="23">
        <f t="shared" si="60"/>
        <v>256.92120546117127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2.2737367544323206E-13</v>
      </c>
      <c r="BE69" s="14">
        <f>BD69*VLOOKUP('Données projet'!$B$11,Paramètres!$A$1:$I$89,3,0)*VLOOKUP('Données projet'!$B$11,Paramètres!$A$1:$I$89,5,0)</f>
        <v>1.6671037883497774E-13</v>
      </c>
      <c r="BF69" s="14">
        <f t="shared" ref="BF69:BF132" si="91">EXP(-1.0587+0.8836*LN(BE69)+0.284)</f>
        <v>2.3598166018346595E-12</v>
      </c>
      <c r="BG69" s="22">
        <f t="shared" si="61"/>
        <v>4.400367824666284E-12</v>
      </c>
      <c r="BH69" s="62">
        <f t="shared" si="62"/>
        <v>293.33333333333769</v>
      </c>
      <c r="BI69" s="62">
        <f ca="1">AVERAGE(OFFSET($BH$3,0,0,'Données projet'!$E$11+1,1))-AVERAGE(OFFSET($H$3,0,0,'Données projet'!$E$11+1,1))</f>
        <v>350.22629663422435</v>
      </c>
      <c r="BJ69" s="62">
        <f t="shared" ref="BJ69:BJ132" si="92">$BJ$3</f>
        <v>375.98044319336645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175.98326947297934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175.98326947297934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>
        <f>BY69*VLOOKUP('Données projet'!$B$12,Paramètres!$A$1:$I$89,3,0)*VLOOKUP('Données projet'!$B$12,Paramètres!$A$1:$I$89,5,0)</f>
        <v>-4.5224624045658861E-14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248.15263300983543</v>
      </c>
      <c r="CE69" s="62">
        <f t="shared" ref="CE69:CE132" si="94">$CE$3</f>
        <v>266.46511459244618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123.97040857069091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123.97040857069091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-3.813056537183002E-14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205.35893113421139</v>
      </c>
      <c r="CZ69" s="62">
        <f t="shared" ref="CZ69:CZ132" si="96">$CZ$3</f>
        <v>220.4399811285175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104.52406997136686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104.52406997136686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-3.4106051316484809E-13</v>
      </c>
      <c r="O70" s="14">
        <f>N70*VLOOKUP('Données projet'!$B$9,Paramètres!$A$1:$I$89,3,0)*VLOOKUP('Données projet'!$B$9,Paramètres!$A$1:$I$89,5,0)</f>
        <v>-1.9065282685915009E-13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490.96084572840579</v>
      </c>
      <c r="T70" s="62">
        <f t="shared" si="88"/>
        <v>597.91658789908263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298.12436282431435</v>
      </c>
      <c r="AA70" s="23">
        <f>EXP(-LN(2)/25)*AA69+(1-EXP(-LN(2)/25))/(LN(2)/25)*Calculateur!V70*Calculateur!X70*VLOOKUP('Données projet'!$B$9,Paramètres!$A$1:$I$89,3,0)*0.475*44/12</f>
        <v>69.532583426765058</v>
      </c>
      <c r="AB70" s="23">
        <f>EXP(-LN(2)/2)*AB69+(1-EXP(-LN(2)/2))/(LN(2)/2)*V70*Y70*VLOOKUP('Données projet'!$B$9,Paramètres!$A$1:$I$89,3,0)*0.475*44/12</f>
        <v>32.459204339457855</v>
      </c>
      <c r="AC70" s="24">
        <f t="shared" si="57"/>
        <v>400.11615059053725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11.666666666666666</v>
      </c>
      <c r="AI70" s="14">
        <f>IF('Données projet'!$A$62&gt;35,AI69+AH70-AQ69,IF(A70&lt;'Données projet'!$A$62,$AF$205^A70,IF(A70='Données projet'!$A$62,'Données projet'!$B$62,AI69+AH70-AQ69)))</f>
        <v>404.66666666666629</v>
      </c>
      <c r="AJ70" s="14">
        <f>AI70*VLOOKUP('Données projet'!$B$10,Paramètres!$A$1:$I$89,3,0)*VLOOKUP('Données projet'!$B$10,Paramètres!$A$1:$I$89,5,0)</f>
        <v>252.51199999999977</v>
      </c>
      <c r="AK70" s="14">
        <f t="shared" si="89"/>
        <v>61.123534450545591</v>
      </c>
      <c r="AL70" s="22">
        <f t="shared" si="58"/>
        <v>546.24855583469991</v>
      </c>
      <c r="AM70" s="62">
        <f t="shared" si="59"/>
        <v>839.58188916803329</v>
      </c>
      <c r="AN70" s="62">
        <f ca="1">AVERAGE(OFFSET($AM$3,0,0,'Données projet'!$E$10+1,1))-AVERAGE(OFFSET($H$3,0,0,'Données projet'!$E$10+1,1))</f>
        <v>482.28841373508675</v>
      </c>
      <c r="AO70" s="62">
        <f t="shared" si="90"/>
        <v>746.97309214631684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198.29460923875692</v>
      </c>
      <c r="AV70" s="23">
        <f>EXP(-LN(2)/25)*AV69+(1-EXP(-LN(2)/25))/(LN(2)/25)*Calculateur!AQ70*Calculateur!AS70*VLOOKUP('Données projet'!$B$10,Paramètres!$A$1:$I$89,3,0)*0.475*44/12</f>
        <v>41.81492240734471</v>
      </c>
      <c r="AW70" s="23">
        <f>EXP(-LN(2)/2)*AW69+(1-EXP(-LN(2)/2))/(LN(2)/2)*AQ70*AT70*VLOOKUP('Données projet'!$B$10,Paramètres!$A$1:$I$89,3,0)*0.475*44/12</f>
        <v>8.2518548266269747</v>
      </c>
      <c r="AX70" s="23">
        <f t="shared" si="60"/>
        <v>248.36138647272861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2.2737367544323206E-13</v>
      </c>
      <c r="BE70" s="14">
        <f>BD70*VLOOKUP('Données projet'!$B$11,Paramètres!$A$1:$I$89,3,0)*VLOOKUP('Données projet'!$B$11,Paramètres!$A$1:$I$89,5,0)</f>
        <v>1.6671037883497774E-13</v>
      </c>
      <c r="BF70" s="14">
        <f t="shared" si="91"/>
        <v>2.3598166018346595E-12</v>
      </c>
      <c r="BG70" s="22">
        <f t="shared" si="61"/>
        <v>4.400367824666284E-12</v>
      </c>
      <c r="BH70" s="62">
        <f t="shared" si="62"/>
        <v>293.33333333333769</v>
      </c>
      <c r="BI70" s="62">
        <f ca="1">AVERAGE(OFFSET($BH$3,0,0,'Données projet'!$E$11+1,1))-AVERAGE(OFFSET($H$3,0,0,'Données projet'!$E$11+1,1))</f>
        <v>350.22629663422435</v>
      </c>
      <c r="BJ70" s="62">
        <f t="shared" si="92"/>
        <v>375.98044319336645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172.53234489780974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172.53234489780974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>
        <f>BY70*VLOOKUP('Données projet'!$B$12,Paramètres!$A$1:$I$89,3,0)*VLOOKUP('Données projet'!$B$12,Paramètres!$A$1:$I$89,5,0)</f>
        <v>-4.5224624045658861E-14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248.15263300983543</v>
      </c>
      <c r="CE70" s="62">
        <f t="shared" si="94"/>
        <v>266.46511459244618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121.53942447310257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121.53942447310257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-3.813056537183002E-14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205.35893113421139</v>
      </c>
      <c r="CZ70" s="62">
        <f t="shared" si="96"/>
        <v>220.4399811285175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102.47441671261591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102.47441671261591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-3.4106051316484809E-13</v>
      </c>
      <c r="O71" s="14">
        <f>N71*VLOOKUP('Données projet'!$B$9,Paramètres!$A$1:$I$89,3,0)*VLOOKUP('Données projet'!$B$9,Paramètres!$A$1:$I$89,5,0)</f>
        <v>-1.9065282685915009E-13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490.96084572840579</v>
      </c>
      <c r="T71" s="62">
        <f t="shared" si="88"/>
        <v>597.91658789908263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292.27832590723585</v>
      </c>
      <c r="AA71" s="23">
        <f>EXP(-LN(2)/25)*AA70+(1-EXP(-LN(2)/25))/(LN(2)/25)*Calculateur!V71*Calculateur!X71*VLOOKUP('Données projet'!$B$9,Paramètres!$A$1:$I$89,3,0)*0.475*44/12</f>
        <v>67.631211276400521</v>
      </c>
      <c r="AB71" s="23">
        <f>EXP(-LN(2)/2)*AB70+(1-EXP(-LN(2)/2))/(LN(2)/2)*V71*Y71*VLOOKUP('Données projet'!$B$9,Paramètres!$A$1:$I$89,3,0)*0.475*44/12</f>
        <v>22.95212350035046</v>
      </c>
      <c r="AC71" s="24">
        <f t="shared" si="57"/>
        <v>382.86166068398683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11.666666666666666</v>
      </c>
      <c r="AI71" s="14">
        <f>IF('Données projet'!$A$62&gt;35,AI70+AH71-AQ70,IF(A71&lt;'Données projet'!$A$62,$AF$205^A71,IF(A71='Données projet'!$A$62,'Données projet'!$B$62,AI70+AH71-AQ70)))</f>
        <v>416.33333333333297</v>
      </c>
      <c r="AJ71" s="14">
        <f>AI71*VLOOKUP('Données projet'!$B$10,Paramètres!$A$1:$I$89,3,0)*VLOOKUP('Données projet'!$B$10,Paramètres!$A$1:$I$89,5,0)</f>
        <v>259.7919999999998</v>
      </c>
      <c r="AK71" s="14">
        <f t="shared" si="89"/>
        <v>62.678038696678357</v>
      </c>
      <c r="AL71" s="22">
        <f t="shared" si="58"/>
        <v>561.63531739671441</v>
      </c>
      <c r="AM71" s="62">
        <f t="shared" si="59"/>
        <v>854.96865073004778</v>
      </c>
      <c r="AN71" s="62">
        <f ca="1">AVERAGE(OFFSET($AM$3,0,0,'Données projet'!$E$10+1,1))-AVERAGE(OFFSET($H$3,0,0,'Données projet'!$E$10+1,1))</f>
        <v>482.28841373508675</v>
      </c>
      <c r="AO71" s="62">
        <f t="shared" si="90"/>
        <v>746.97309214631684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194.40617289935392</v>
      </c>
      <c r="AV71" s="23">
        <f>EXP(-LN(2)/25)*AV70+(1-EXP(-LN(2)/25))/(LN(2)/25)*Calculateur!AQ71*Calculateur!AS71*VLOOKUP('Données projet'!$B$10,Paramètres!$A$1:$I$89,3,0)*0.475*44/12</f>
        <v>40.671491155164667</v>
      </c>
      <c r="AW71" s="23">
        <f>EXP(-LN(2)/2)*AW70+(1-EXP(-LN(2)/2))/(LN(2)/2)*AQ71*AT71*VLOOKUP('Données projet'!$B$10,Paramètres!$A$1:$I$89,3,0)*0.475*44/12</f>
        <v>5.8349425052748769</v>
      </c>
      <c r="AX71" s="23">
        <f t="shared" si="60"/>
        <v>240.91260655979346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2.2737367544323206E-13</v>
      </c>
      <c r="BE71" s="14">
        <f>BD71*VLOOKUP('Données projet'!$B$11,Paramètres!$A$1:$I$89,3,0)*VLOOKUP('Données projet'!$B$11,Paramètres!$A$1:$I$89,5,0)</f>
        <v>1.6671037883497774E-13</v>
      </c>
      <c r="BF71" s="14">
        <f t="shared" si="91"/>
        <v>2.3598166018346595E-12</v>
      </c>
      <c r="BG71" s="22">
        <f t="shared" si="61"/>
        <v>4.400367824666284E-12</v>
      </c>
      <c r="BH71" s="62">
        <f t="shared" si="62"/>
        <v>293.33333333333769</v>
      </c>
      <c r="BI71" s="62">
        <f ca="1">AVERAGE(OFFSET($BH$3,0,0,'Données projet'!$E$11+1,1))-AVERAGE(OFFSET($H$3,0,0,'Données projet'!$E$11+1,1))</f>
        <v>350.22629663422435</v>
      </c>
      <c r="BJ71" s="62">
        <f t="shared" si="92"/>
        <v>375.98044319336645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169.14909084870305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169.14909084870305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>
        <f>BY71*VLOOKUP('Données projet'!$B$12,Paramètres!$A$1:$I$89,3,0)*VLOOKUP('Données projet'!$B$12,Paramètres!$A$1:$I$89,5,0)</f>
        <v>-4.5224624045658861E-14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248.15263300983543</v>
      </c>
      <c r="CE71" s="62">
        <f t="shared" si="94"/>
        <v>266.46511459244618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119.15611049091406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119.15611049091406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-3.813056537183002E-14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205.35893113421139</v>
      </c>
      <c r="CZ71" s="62">
        <f t="shared" si="96"/>
        <v>220.4399811285175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100.46495590410402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100.46495590410402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-3.4106051316484809E-13</v>
      </c>
      <c r="O72" s="14">
        <f>N72*VLOOKUP('Données projet'!$B$9,Paramètres!$A$1:$I$89,3,0)*VLOOKUP('Données projet'!$B$9,Paramètres!$A$1:$I$89,5,0)</f>
        <v>-1.9065282685915009E-13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490.96084572840579</v>
      </c>
      <c r="T72" s="62">
        <f t="shared" si="88"/>
        <v>597.91658789908263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286.54692620837085</v>
      </c>
      <c r="AA72" s="23">
        <f>EXP(-LN(2)/25)*AA71+(1-EXP(-LN(2)/25))/(LN(2)/25)*Calculateur!V72*Calculateur!X72*VLOOKUP('Données projet'!$B$9,Paramètres!$A$1:$I$89,3,0)*0.475*44/12</f>
        <v>65.781832247476515</v>
      </c>
      <c r="AB72" s="23">
        <f>EXP(-LN(2)/2)*AB71+(1-EXP(-LN(2)/2))/(LN(2)/2)*V72*Y72*VLOOKUP('Données projet'!$B$9,Paramètres!$A$1:$I$89,3,0)*0.475*44/12</f>
        <v>16.229602169728928</v>
      </c>
      <c r="AC72" s="24">
        <f t="shared" si="57"/>
        <v>368.55836062557631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11.666666666666666</v>
      </c>
      <c r="AI72" s="14">
        <f>IF('Données projet'!$A$62&gt;35,AI71+AH72-AQ71,IF(A72&lt;'Données projet'!$A$62,$AF$205^A72,IF(A72='Données projet'!$A$62,'Données projet'!$B$62,AI71+AH72-AQ71)))</f>
        <v>427.99999999999966</v>
      </c>
      <c r="AJ72" s="14">
        <f>AI72*VLOOKUP('Données projet'!$B$10,Paramètres!$A$1:$I$89,3,0)*VLOOKUP('Données projet'!$B$10,Paramètres!$A$1:$I$89,5,0)</f>
        <v>267.07199999999978</v>
      </c>
      <c r="AK72" s="14">
        <f t="shared" si="89"/>
        <v>64.227480006516515</v>
      </c>
      <c r="AL72" s="22">
        <f t="shared" si="58"/>
        <v>577.01326101134919</v>
      </c>
      <c r="AM72" s="62">
        <f t="shared" si="59"/>
        <v>870.34659434468244</v>
      </c>
      <c r="AN72" s="62">
        <f ca="1">AVERAGE(OFFSET($AM$3,0,0,'Données projet'!$E$10+1,1))-AVERAGE(OFFSET($H$3,0,0,'Données projet'!$E$10+1,1))</f>
        <v>482.28841373508675</v>
      </c>
      <c r="AO72" s="62">
        <f t="shared" si="90"/>
        <v>746.97309214631684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190.59398642485465</v>
      </c>
      <c r="AV72" s="23">
        <f>EXP(-LN(2)/25)*AV71+(1-EXP(-LN(2)/25))/(LN(2)/25)*Calculateur!AQ72*Calculateur!AS72*VLOOKUP('Données projet'!$B$10,Paramètres!$A$1:$I$89,3,0)*0.475*44/12</f>
        <v>39.559327090705928</v>
      </c>
      <c r="AW72" s="23">
        <f>EXP(-LN(2)/2)*AW71+(1-EXP(-LN(2)/2))/(LN(2)/2)*AQ72*AT72*VLOOKUP('Données projet'!$B$10,Paramètres!$A$1:$I$89,3,0)*0.475*44/12</f>
        <v>4.1259274133134882</v>
      </c>
      <c r="AX72" s="23">
        <f t="shared" si="60"/>
        <v>234.27924092887406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2.2737367544323206E-13</v>
      </c>
      <c r="BE72" s="14">
        <f>BD72*VLOOKUP('Données projet'!$B$11,Paramètres!$A$1:$I$89,3,0)*VLOOKUP('Données projet'!$B$11,Paramètres!$A$1:$I$89,5,0)</f>
        <v>1.6671037883497774E-13</v>
      </c>
      <c r="BF72" s="14">
        <f t="shared" si="91"/>
        <v>2.3598166018346595E-12</v>
      </c>
      <c r="BG72" s="22">
        <f t="shared" si="61"/>
        <v>4.400367824666284E-12</v>
      </c>
      <c r="BH72" s="62">
        <f t="shared" si="62"/>
        <v>293.33333333333769</v>
      </c>
      <c r="BI72" s="62">
        <f ca="1">AVERAGE(OFFSET($BH$3,0,0,'Données projet'!$E$11+1,1))-AVERAGE(OFFSET($H$3,0,0,'Données projet'!$E$11+1,1))</f>
        <v>350.22629663422435</v>
      </c>
      <c r="BJ72" s="62">
        <f t="shared" si="92"/>
        <v>375.98044319336645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165.83218034791813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165.83218034791813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>
        <f>BY72*VLOOKUP('Données projet'!$B$12,Paramètres!$A$1:$I$89,3,0)*VLOOKUP('Données projet'!$B$12,Paramètres!$A$1:$I$89,5,0)</f>
        <v>-4.5224624045658861E-14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248.15263300983543</v>
      </c>
      <c r="CE72" s="62">
        <f t="shared" si="94"/>
        <v>266.46511459244618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116.81953184223828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116.81953184223828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-3.813056537183002E-14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205.35893113421139</v>
      </c>
      <c r="CZ72" s="62">
        <f t="shared" si="96"/>
        <v>220.4399811285175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98.494899396396974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98.494899396396974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-3.4106051316484809E-13</v>
      </c>
      <c r="O73" s="14">
        <f>N73*VLOOKUP('Données projet'!$B$9,Paramètres!$A$1:$I$89,3,0)*VLOOKUP('Données projet'!$B$9,Paramètres!$A$1:$I$89,5,0)</f>
        <v>-1.9065282685915009E-13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490.96084572840579</v>
      </c>
      <c r="T73" s="62">
        <f t="shared" si="88"/>
        <v>597.91658789908263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280.92791576179195</v>
      </c>
      <c r="AA73" s="23">
        <f>EXP(-LN(2)/25)*AA72+(1-EXP(-LN(2)/25))/(LN(2)/25)*Calculateur!V73*Calculateur!X73*VLOOKUP('Données projet'!$B$9,Paramètres!$A$1:$I$89,3,0)*0.475*44/12</f>
        <v>63.983024585353057</v>
      </c>
      <c r="AB73" s="23">
        <f>EXP(-LN(2)/2)*AB72+(1-EXP(-LN(2)/2))/(LN(2)/2)*V73*Y73*VLOOKUP('Données projet'!$B$9,Paramètres!$A$1:$I$89,3,0)*0.475*44/12</f>
        <v>11.47606175017523</v>
      </c>
      <c r="AC73" s="24">
        <f t="shared" si="57"/>
        <v>356.38700209732025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11.666666666666666</v>
      </c>
      <c r="AI73" s="14">
        <f>IF('Données projet'!$A$62&gt;35,AI72+AH73-AQ72,IF(A73&lt;'Données projet'!$A$62,$AF$205^A73,IF(A73='Données projet'!$A$62,'Données projet'!$B$62,AI72+AH73-AQ72)))</f>
        <v>439.66666666666634</v>
      </c>
      <c r="AJ73" s="14">
        <f>AI73*VLOOKUP('Données projet'!$B$10,Paramètres!$A$1:$I$89,3,0)*VLOOKUP('Données projet'!$B$10,Paramètres!$A$1:$I$89,5,0)</f>
        <v>274.3519999999998</v>
      </c>
      <c r="AK73" s="14">
        <f t="shared" si="89"/>
        <v>65.772012247044003</v>
      </c>
      <c r="AL73" s="22">
        <f t="shared" si="58"/>
        <v>592.38265466360133</v>
      </c>
      <c r="AM73" s="62">
        <f t="shared" si="59"/>
        <v>885.7159879969347</v>
      </c>
      <c r="AN73" s="62">
        <f ca="1">AVERAGE(OFFSET($AM$3,0,0,'Données projet'!$E$10+1,1))-AVERAGE(OFFSET($H$3,0,0,'Données projet'!$E$10+1,1))</f>
        <v>482.28841373508675</v>
      </c>
      <c r="AO73" s="62">
        <f t="shared" si="90"/>
        <v>746.97309214631684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186.85655460191614</v>
      </c>
      <c r="AV73" s="23">
        <f>EXP(-LN(2)/25)*AV72+(1-EXP(-LN(2)/25))/(LN(2)/25)*Calculateur!AQ73*Calculateur!AS73*VLOOKUP('Données projet'!$B$10,Paramètres!$A$1:$I$89,3,0)*0.475*44/12</f>
        <v>38.47757521107598</v>
      </c>
      <c r="AW73" s="23">
        <f>EXP(-LN(2)/2)*AW72+(1-EXP(-LN(2)/2))/(LN(2)/2)*AQ73*AT73*VLOOKUP('Données projet'!$B$10,Paramètres!$A$1:$I$89,3,0)*0.475*44/12</f>
        <v>2.9174712526374389</v>
      </c>
      <c r="AX73" s="23">
        <f t="shared" si="60"/>
        <v>228.25160106562956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2.2737367544323206E-13</v>
      </c>
      <c r="BE73" s="14">
        <f>BD73*VLOOKUP('Données projet'!$B$11,Paramètres!$A$1:$I$89,3,0)*VLOOKUP('Données projet'!$B$11,Paramètres!$A$1:$I$89,5,0)</f>
        <v>1.6671037883497774E-13</v>
      </c>
      <c r="BF73" s="14">
        <f t="shared" si="91"/>
        <v>2.3598166018346595E-12</v>
      </c>
      <c r="BG73" s="22">
        <f t="shared" si="61"/>
        <v>4.400367824666284E-12</v>
      </c>
      <c r="BH73" s="62">
        <f t="shared" si="62"/>
        <v>293.33333333333769</v>
      </c>
      <c r="BI73" s="62">
        <f ca="1">AVERAGE(OFFSET($BH$3,0,0,'Données projet'!$E$11+1,1))-AVERAGE(OFFSET($H$3,0,0,'Données projet'!$E$11+1,1))</f>
        <v>350.22629663422435</v>
      </c>
      <c r="BJ73" s="62">
        <f t="shared" si="92"/>
        <v>375.98044319336645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162.58031243893797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162.58031243893797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>
        <f>BY73*VLOOKUP('Données projet'!$B$12,Paramètres!$A$1:$I$89,3,0)*VLOOKUP('Données projet'!$B$12,Paramètres!$A$1:$I$89,5,0)</f>
        <v>-4.5224624045658861E-14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248.15263300983543</v>
      </c>
      <c r="CE73" s="62">
        <f t="shared" si="94"/>
        <v>266.46511459244618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114.52877207569077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114.52877207569077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-3.813056537183002E-14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205.35893113421139</v>
      </c>
      <c r="CZ73" s="62">
        <f t="shared" si="96"/>
        <v>220.4399811285175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96.563474495190249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96.563474495190249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490.96084572840579</v>
      </c>
      <c r="T74" s="62">
        <f t="shared" si="88"/>
        <v>597.91658789908263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275.41909068281251</v>
      </c>
      <c r="AA74" s="23">
        <f>EXP(-LN(2)/25)*AA73+(1-EXP(-LN(2)/25))/(LN(2)/25)*Calculateur!V74*Calculateur!X74*VLOOKUP('Données projet'!$B$9,Paramètres!$A$1:$I$89,3,0)*0.475*44/12</f>
        <v>62.233405413345551</v>
      </c>
      <c r="AB74" s="23">
        <f>EXP(-LN(2)/2)*AB73+(1-EXP(-LN(2)/2))/(LN(2)/2)*V74*Y74*VLOOKUP('Données projet'!$B$9,Paramètres!$A$1:$I$89,3,0)*0.475*44/12</f>
        <v>8.1148010848644638</v>
      </c>
      <c r="AC74" s="24">
        <f t="shared" si="57"/>
        <v>345.76729718102251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11.666666666666666</v>
      </c>
      <c r="AI74" s="14">
        <f>IF('Données projet'!$A$62&gt;35,AI73+AH74-AQ73,IF(A74&lt;'Données projet'!$A$62,$AF$205^A74,IF(A74='Données projet'!$A$62,'Données projet'!$B$62,AI73+AH74-AQ73)))</f>
        <v>451.33333333333303</v>
      </c>
      <c r="AJ74" s="14">
        <f>AI74*VLOOKUP('Données projet'!$B$10,Paramètres!$A$1:$I$89,3,0)*VLOOKUP('Données projet'!$B$10,Paramètres!$A$1:$I$89,5,0)</f>
        <v>281.63199999999983</v>
      </c>
      <c r="AK74" s="14">
        <f t="shared" si="89"/>
        <v>67.31178065446916</v>
      </c>
      <c r="AL74" s="22">
        <f t="shared" si="58"/>
        <v>607.74375130653345</v>
      </c>
      <c r="AM74" s="62">
        <f t="shared" si="59"/>
        <v>901.07708463986683</v>
      </c>
      <c r="AN74" s="62">
        <f ca="1">AVERAGE(OFFSET($AM$3,0,0,'Données projet'!$E$10+1,1))-AVERAGE(OFFSET($H$3,0,0,'Données projet'!$E$10+1,1))</f>
        <v>482.28841373508675</v>
      </c>
      <c r="AO74" s="62">
        <f t="shared" si="90"/>
        <v>746.97309214631684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183.19241153741714</v>
      </c>
      <c r="AV74" s="23">
        <f>EXP(-LN(2)/25)*AV73+(1-EXP(-LN(2)/25))/(LN(2)/25)*Calculateur!AQ74*Calculateur!AS74*VLOOKUP('Données projet'!$B$10,Paramètres!$A$1:$I$89,3,0)*0.475*44/12</f>
        <v>37.425403893481366</v>
      </c>
      <c r="AW74" s="23">
        <f>EXP(-LN(2)/2)*AW73+(1-EXP(-LN(2)/2))/(LN(2)/2)*AQ74*AT74*VLOOKUP('Données projet'!$B$10,Paramètres!$A$1:$I$89,3,0)*0.475*44/12</f>
        <v>2.0629637066567446</v>
      </c>
      <c r="AX74" s="23">
        <f t="shared" si="60"/>
        <v>222.68077913755525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2.2737367544323206E-13</v>
      </c>
      <c r="BE74" s="14">
        <f>BD74*VLOOKUP('Données projet'!$B$11,Paramètres!$A$1:$I$89,3,0)*VLOOKUP('Données projet'!$B$11,Paramètres!$A$1:$I$89,5,0)</f>
        <v>1.6671037883497774E-13</v>
      </c>
      <c r="BF74" s="14">
        <f t="shared" si="91"/>
        <v>2.3598166018346595E-12</v>
      </c>
      <c r="BG74" s="22">
        <f t="shared" si="61"/>
        <v>4.400367824666284E-12</v>
      </c>
      <c r="BH74" s="62">
        <f t="shared" si="62"/>
        <v>293.33333333333769</v>
      </c>
      <c r="BI74" s="62">
        <f ca="1">AVERAGE(OFFSET($BH$3,0,0,'Données projet'!$E$11+1,1))-AVERAGE(OFFSET($H$3,0,0,'Données projet'!$E$11+1,1))</f>
        <v>350.22629663422435</v>
      </c>
      <c r="BJ74" s="62">
        <f t="shared" si="92"/>
        <v>375.98044319336645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159.39221167620934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159.39221167620934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>
        <f>BY74*VLOOKUP('Données projet'!$B$12,Paramètres!$A$1:$I$89,3,0)*VLOOKUP('Données projet'!$B$12,Paramètres!$A$1:$I$89,5,0)</f>
        <v>-4.5224624045658861E-14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248.15263300983543</v>
      </c>
      <c r="CE74" s="62">
        <f t="shared" si="94"/>
        <v>266.46511459244618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112.28293271093976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112.28293271093976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-3.813056537183002E-14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205.35893113421139</v>
      </c>
      <c r="CZ74" s="62">
        <f t="shared" si="96"/>
        <v>220.4399811285175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94.66992365824332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94.66992365824332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490.96084572840579</v>
      </c>
      <c r="T75" s="62">
        <f t="shared" si="88"/>
        <v>597.91658789908263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270.01829030358033</v>
      </c>
      <c r="AA75" s="23">
        <f>EXP(-LN(2)/25)*AA74+(1-EXP(-LN(2)/25))/(LN(2)/25)*Calculateur!V75*Calculateur!X75*VLOOKUP('Données projet'!$B$9,Paramètres!$A$1:$I$89,3,0)*0.475*44/12</f>
        <v>60.53162966960506</v>
      </c>
      <c r="AB75" s="23">
        <f>EXP(-LN(2)/2)*AB74+(1-EXP(-LN(2)/2))/(LN(2)/2)*V75*Y75*VLOOKUP('Données projet'!$B$9,Paramètres!$A$1:$I$89,3,0)*0.475*44/12</f>
        <v>5.738030875087615</v>
      </c>
      <c r="AC75" s="24">
        <f t="shared" si="57"/>
        <v>336.287950848273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463</v>
      </c>
      <c r="AG75" s="13">
        <f>VLOOKUP(A75,'Données projet'!$A$61:$I$81,9,0)</f>
        <v>11.666666666666666</v>
      </c>
      <c r="AH75" s="13">
        <f t="array" ref="AH75">INDEX(AG:AG,MIN(IF(ISNUMBER(AG75:AG271),ROW(AG75:AG271),"")))</f>
        <v>11.666666666666666</v>
      </c>
      <c r="AI75" s="14">
        <f>IF('Données projet'!$A$62&gt;35,AI74+AH75-AQ74,IF(A75&lt;'Données projet'!$A$62,$AF$205^A75,IF(A75='Données projet'!$A$62,'Données projet'!$B$62,AI74+AH75-AQ74)))</f>
        <v>462.99999999999972</v>
      </c>
      <c r="AJ75" s="14">
        <f>AI75*VLOOKUP('Données projet'!$B$10,Paramètres!$A$1:$I$89,3,0)*VLOOKUP('Données projet'!$B$10,Paramètres!$A$1:$I$89,5,0)</f>
        <v>288.91199999999986</v>
      </c>
      <c r="AK75" s="14">
        <f t="shared" si="89"/>
        <v>68.846922528760416</v>
      </c>
      <c r="AL75" s="22">
        <f t="shared" si="58"/>
        <v>623.09679007092416</v>
      </c>
      <c r="AM75" s="62">
        <f t="shared" si="59"/>
        <v>916.43012340425753</v>
      </c>
      <c r="AN75" s="62">
        <f ca="1">AVERAGE(OFFSET($AM$3,0,0,'Données projet'!$E$10+1,1))-AVERAGE(OFFSET($H$3,0,0,'Données projet'!$E$10+1,1))</f>
        <v>482.28841373508675</v>
      </c>
      <c r="AO75" s="62">
        <f t="shared" si="90"/>
        <v>746.97309214631684</v>
      </c>
      <c r="AP75" s="16">
        <f>IF(ISNA(VLOOKUP(A75,'Données projet'!$A$61:$I$81,3,0)),0,VLOOKUP(A75,'Données projet'!$A$61:$I$81,3,0))</f>
        <v>8</v>
      </c>
      <c r="AQ75" s="16">
        <f>IF(ISNA(VLOOKUP(A75,'Données projet'!$A$61:$I$81,4,0)),0,VLOOKUP(A75,'Données projet'!$A$61:$I$81,4,0))</f>
        <v>101</v>
      </c>
      <c r="AR75" s="17">
        <f>IF(ISNA(VLOOKUP(A75,'Données projet'!$A$61:$I$81,5,0)),0%,VLOOKUP(A75,'Données projet'!$A$61:$I$81,5,0)*VLOOKUP('Données projet'!$B$10,Paramètres!$A$1:$I$89,7,0))</f>
        <v>0.42</v>
      </c>
      <c r="AS75" s="17">
        <f>IF(ISNA(VLOOKUP(A75,'Données projet'!$A$61:$I$81,6,0)),0%,VLOOKUP(A75,'Données projet'!$A$61:$I$81,6,0)*VLOOKUP('Données projet'!$B$10,Paramètres!$A$1:$I$89,7,0))</f>
        <v>0.1008</v>
      </c>
      <c r="AT75" s="17">
        <f>IF(ISNA(VLOOKUP(A75,'Données projet'!$A$61:$I$81,7,0)),0%,VLOOKUP(A75,'Données projet'!$A$61:$I$81,7,0))</f>
        <v>0.13200000000000001</v>
      </c>
      <c r="AU75" s="23">
        <f>EXP(-LN(2)/35)*AU74+(1-EXP(-LN(2)/35))/(LN(2)/35)*AQ75*AR75*VLOOKUP('Données projet'!$B$10,Paramètres!$A$1:$I$89,3,0)*0.475*44/12</f>
        <v>214.71438734414747</v>
      </c>
      <c r="AV75" s="23">
        <f>EXP(-LN(2)/25)*AV74+(1-EXP(-LN(2)/25))/(LN(2)/25)*Calculateur!AQ75*Calculateur!AS75*VLOOKUP('Données projet'!$B$10,Paramètres!$A$1:$I$89,3,0)*0.475*44/12</f>
        <v>44.796246418501944</v>
      </c>
      <c r="AW75" s="23">
        <f>EXP(-LN(2)/2)*AW74+(1-EXP(-LN(2)/2))/(LN(2)/2)*AQ75*AT75*VLOOKUP('Données projet'!$B$10,Paramètres!$A$1:$I$89,3,0)*0.475*44/12</f>
        <v>10.877966324467375</v>
      </c>
      <c r="AX75" s="23">
        <f t="shared" si="60"/>
        <v>270.3886000871168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2.2737367544323206E-13</v>
      </c>
      <c r="BE75" s="14">
        <f>BD75*VLOOKUP('Données projet'!$B$11,Paramètres!$A$1:$I$89,3,0)*VLOOKUP('Données projet'!$B$11,Paramètres!$A$1:$I$89,5,0)</f>
        <v>1.6671037883497774E-13</v>
      </c>
      <c r="BF75" s="14">
        <f t="shared" si="91"/>
        <v>2.3598166018346595E-12</v>
      </c>
      <c r="BG75" s="22">
        <f t="shared" si="61"/>
        <v>4.400367824666284E-12</v>
      </c>
      <c r="BH75" s="62">
        <f t="shared" si="62"/>
        <v>293.33333333333769</v>
      </c>
      <c r="BI75" s="62">
        <f ca="1">AVERAGE(OFFSET($BH$3,0,0,'Données projet'!$E$11+1,1))-AVERAGE(OFFSET($H$3,0,0,'Données projet'!$E$11+1,1))</f>
        <v>350.22629663422435</v>
      </c>
      <c r="BJ75" s="62">
        <f t="shared" si="92"/>
        <v>375.98044319336645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156.26662762488834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156.26662762488834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>
        <f>BY75*VLOOKUP('Données projet'!$B$12,Paramètres!$A$1:$I$89,3,0)*VLOOKUP('Données projet'!$B$12,Paramètres!$A$1:$I$89,5,0)</f>
        <v>-4.5224624045658861E-14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248.15263300983543</v>
      </c>
      <c r="CE75" s="62">
        <f t="shared" si="94"/>
        <v>266.46511459244618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110.08113288630477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110.08113288630477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-3.813056537183002E-14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205.35893113421139</v>
      </c>
      <c r="CZ75" s="62">
        <f t="shared" si="96"/>
        <v>220.4399811285175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92.81350419825695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92.81350419825695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490.96084572840579</v>
      </c>
      <c r="T76" s="62">
        <f t="shared" si="88"/>
        <v>597.91658789908263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264.72339632562193</v>
      </c>
      <c r="AA76" s="23">
        <f>EXP(-LN(2)/25)*AA75+(1-EXP(-LN(2)/25))/(LN(2)/25)*Calculateur!V76*Calculateur!X76*VLOOKUP('Données projet'!$B$9,Paramètres!$A$1:$I$89,3,0)*0.475*44/12</f>
        <v>58.876389073069653</v>
      </c>
      <c r="AB76" s="23">
        <f>EXP(-LN(2)/2)*AB75+(1-EXP(-LN(2)/2))/(LN(2)/2)*V76*Y76*VLOOKUP('Données projet'!$B$9,Paramètres!$A$1:$I$89,3,0)*0.475*44/12</f>
        <v>4.0574005424322319</v>
      </c>
      <c r="AC76" s="24">
        <f t="shared" si="57"/>
        <v>327.65718594112383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10.666666666666666</v>
      </c>
      <c r="AI76" s="14">
        <f>IF('Données projet'!$A$62&gt;35,AI75+AH76-AQ75,IF(A76&lt;'Données projet'!$A$62,$AF$205^A76,IF(A76='Données projet'!$A$62,'Données projet'!$B$62,AI75+AH76-AQ75)))</f>
        <v>372.6666666666664</v>
      </c>
      <c r="AJ76" s="14">
        <f>AI76*VLOOKUP('Données projet'!$B$10,Paramètres!$A$1:$I$89,3,0)*VLOOKUP('Données projet'!$B$10,Paramètres!$A$1:$I$89,5,0)</f>
        <v>232.54399999999981</v>
      </c>
      <c r="AK76" s="14">
        <f t="shared" si="89"/>
        <v>56.832401153973727</v>
      </c>
      <c r="AL76" s="22">
        <f t="shared" si="58"/>
        <v>503.99723200983721</v>
      </c>
      <c r="AM76" s="62">
        <f t="shared" si="59"/>
        <v>797.33056534317052</v>
      </c>
      <c r="AN76" s="62">
        <f ca="1">AVERAGE(OFFSET($AM$3,0,0,'Données projet'!$E$10+1,1))-AVERAGE(OFFSET($H$3,0,0,'Données projet'!$E$10+1,1))</f>
        <v>482.28841373508675</v>
      </c>
      <c r="AO76" s="62">
        <f t="shared" si="90"/>
        <v>746.97309214631684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210.50396917117351</v>
      </c>
      <c r="AV76" s="23">
        <f>EXP(-LN(2)/25)*AV75+(1-EXP(-LN(2)/25))/(LN(2)/25)*Calculateur!AQ76*Calculateur!AS76*VLOOKUP('Données projet'!$B$10,Paramètres!$A$1:$I$89,3,0)*0.475*44/12</f>
        <v>43.571290704455791</v>
      </c>
      <c r="AW76" s="23">
        <f>EXP(-LN(2)/2)*AW75+(1-EXP(-LN(2)/2))/(LN(2)/2)*AQ76*AT76*VLOOKUP('Données projet'!$B$10,Paramètres!$A$1:$I$89,3,0)*0.475*44/12</f>
        <v>7.691883753549785</v>
      </c>
      <c r="AX76" s="23">
        <f t="shared" si="60"/>
        <v>261.76714362917909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2.2737367544323206E-13</v>
      </c>
      <c r="BE76" s="14">
        <f>BD76*VLOOKUP('Données projet'!$B$11,Paramètres!$A$1:$I$89,3,0)*VLOOKUP('Données projet'!$B$11,Paramètres!$A$1:$I$89,5,0)</f>
        <v>1.6671037883497774E-13</v>
      </c>
      <c r="BF76" s="14">
        <f t="shared" si="91"/>
        <v>2.3598166018346595E-12</v>
      </c>
      <c r="BG76" s="22">
        <f t="shared" si="61"/>
        <v>4.400367824666284E-12</v>
      </c>
      <c r="BH76" s="62">
        <f t="shared" si="62"/>
        <v>293.33333333333769</v>
      </c>
      <c r="BI76" s="62">
        <f ca="1">AVERAGE(OFFSET($BH$3,0,0,'Données projet'!$E$11+1,1))-AVERAGE(OFFSET($H$3,0,0,'Données projet'!$E$11+1,1))</f>
        <v>350.22629663422435</v>
      </c>
      <c r="BJ76" s="62">
        <f t="shared" si="92"/>
        <v>375.98044319336645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153.20233437039573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153.20233437039573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>
        <f>BY76*VLOOKUP('Données projet'!$B$12,Paramètres!$A$1:$I$89,3,0)*VLOOKUP('Données projet'!$B$12,Paramètres!$A$1:$I$89,5,0)</f>
        <v>-4.5224624045658861E-14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248.15263300983543</v>
      </c>
      <c r="CE76" s="62">
        <f t="shared" si="94"/>
        <v>266.46511459244618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107.92250901326558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107.92250901326558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-3.813056537183002E-14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205.35893113421139</v>
      </c>
      <c r="CZ76" s="62">
        <f t="shared" si="96"/>
        <v>220.4399811285175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90.993487991576856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90.993487991576856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490.96084572840579</v>
      </c>
      <c r="T77" s="62">
        <f t="shared" si="88"/>
        <v>597.91658789908263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259.53233198900489</v>
      </c>
      <c r="AA77" s="23">
        <f>EXP(-LN(2)/25)*AA76+(1-EXP(-LN(2)/25))/(LN(2)/25)*Calculateur!V77*Calculateur!X77*VLOOKUP('Données projet'!$B$9,Paramètres!$A$1:$I$89,3,0)*0.475*44/12</f>
        <v>57.266411117691824</v>
      </c>
      <c r="AB77" s="23">
        <f>EXP(-LN(2)/2)*AB76+(1-EXP(-LN(2)/2))/(LN(2)/2)*V77*Y77*VLOOKUP('Données projet'!$B$9,Paramètres!$A$1:$I$89,3,0)*0.475*44/12</f>
        <v>2.8690154375438075</v>
      </c>
      <c r="AC77" s="24">
        <f t="shared" si="57"/>
        <v>319.66775854424048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10.666666666666666</v>
      </c>
      <c r="AI77" s="14">
        <f>IF('Données projet'!$A$62&gt;35,AI76+AH77-AQ76,IF(A77&lt;'Données projet'!$A$62,$AF$205^A77,IF(A77='Données projet'!$A$62,'Données projet'!$B$62,AI76+AH77-AQ76)))</f>
        <v>383.33333333333309</v>
      </c>
      <c r="AJ77" s="14">
        <f>AI77*VLOOKUP('Données projet'!$B$10,Paramètres!$A$1:$I$89,3,0)*VLOOKUP('Données projet'!$B$10,Paramètres!$A$1:$I$89,5,0)</f>
        <v>239.19999999999985</v>
      </c>
      <c r="AK77" s="14">
        <f t="shared" si="89"/>
        <v>58.267373151570702</v>
      </c>
      <c r="AL77" s="22">
        <f t="shared" si="58"/>
        <v>518.08900823898523</v>
      </c>
      <c r="AM77" s="62">
        <f t="shared" si="59"/>
        <v>811.4223415723186</v>
      </c>
      <c r="AN77" s="62">
        <f ca="1">AVERAGE(OFFSET($AM$3,0,0,'Données projet'!$E$10+1,1))-AVERAGE(OFFSET($H$3,0,0,'Données projet'!$E$10+1,1))</f>
        <v>482.28841373508675</v>
      </c>
      <c r="AO77" s="62">
        <f t="shared" si="90"/>
        <v>746.97309214631684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206.37611473047005</v>
      </c>
      <c r="AV77" s="23">
        <f>EXP(-LN(2)/25)*AV76+(1-EXP(-LN(2)/25))/(LN(2)/25)*Calculateur!AQ77*Calculateur!AS77*VLOOKUP('Données projet'!$B$10,Paramètres!$A$1:$I$89,3,0)*0.475*44/12</f>
        <v>42.379831468827852</v>
      </c>
      <c r="AW77" s="23">
        <f>EXP(-LN(2)/2)*AW76+(1-EXP(-LN(2)/2))/(LN(2)/2)*AQ77*AT77*VLOOKUP('Données projet'!$B$10,Paramètres!$A$1:$I$89,3,0)*0.475*44/12</f>
        <v>5.4389831622336882</v>
      </c>
      <c r="AX77" s="23">
        <f t="shared" si="60"/>
        <v>254.19492936153159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2.2737367544323206E-13</v>
      </c>
      <c r="BE77" s="14">
        <f>BD77*VLOOKUP('Données projet'!$B$11,Paramètres!$A$1:$I$89,3,0)*VLOOKUP('Données projet'!$B$11,Paramètres!$A$1:$I$89,5,0)</f>
        <v>1.6671037883497774E-13</v>
      </c>
      <c r="BF77" s="14">
        <f t="shared" si="91"/>
        <v>2.3598166018346595E-12</v>
      </c>
      <c r="BG77" s="22">
        <f t="shared" si="61"/>
        <v>4.400367824666284E-12</v>
      </c>
      <c r="BH77" s="62">
        <f t="shared" si="62"/>
        <v>293.33333333333769</v>
      </c>
      <c r="BI77" s="62">
        <f ca="1">AVERAGE(OFFSET($BH$3,0,0,'Données projet'!$E$11+1,1))-AVERAGE(OFFSET($H$3,0,0,'Données projet'!$E$11+1,1))</f>
        <v>350.22629663422435</v>
      </c>
      <c r="BJ77" s="62">
        <f t="shared" si="92"/>
        <v>375.98044319336645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150.19813003758938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150.19813003758938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>
        <f>BY77*VLOOKUP('Données projet'!$B$12,Paramètres!$A$1:$I$89,3,0)*VLOOKUP('Données projet'!$B$12,Paramètres!$A$1:$I$89,5,0)</f>
        <v>-4.5224624045658861E-14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248.15263300983543</v>
      </c>
      <c r="CE77" s="62">
        <f t="shared" si="94"/>
        <v>266.46511459244618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105.80621443774614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105.80621443774614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-3.813056537183002E-14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205.35893113421139</v>
      </c>
      <c r="CZ77" s="62">
        <f t="shared" si="96"/>
        <v>220.4399811285175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89.209161192609486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89.209161192609486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490.96084572840579</v>
      </c>
      <c r="T78" s="62">
        <f t="shared" si="88"/>
        <v>597.91658789908263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254.44306125779227</v>
      </c>
      <c r="AA78" s="23">
        <f>EXP(-LN(2)/25)*AA77+(1-EXP(-LN(2)/25))/(LN(2)/25)*Calculateur!V78*Calculateur!X78*VLOOKUP('Données projet'!$B$9,Paramètres!$A$1:$I$89,3,0)*0.475*44/12</f>
        <v>55.700458094168866</v>
      </c>
      <c r="AB78" s="23">
        <f>EXP(-LN(2)/2)*AB77+(1-EXP(-LN(2)/2))/(LN(2)/2)*V78*Y78*VLOOKUP('Données projet'!$B$9,Paramètres!$A$1:$I$89,3,0)*0.475*44/12</f>
        <v>2.028700271216116</v>
      </c>
      <c r="AC78" s="24">
        <f t="shared" si="57"/>
        <v>312.17221962317723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10.666666666666666</v>
      </c>
      <c r="AI78" s="14">
        <f>IF('Données projet'!$A$62&gt;35,AI77+AH78-AQ77,IF(A78&lt;'Données projet'!$A$62,$AF$205^A78,IF(A78='Données projet'!$A$62,'Données projet'!$B$62,AI77+AH78-AQ77)))</f>
        <v>393.99999999999977</v>
      </c>
      <c r="AJ78" s="14">
        <f>AI78*VLOOKUP('Données projet'!$B$10,Paramètres!$A$1:$I$89,3,0)*VLOOKUP('Données projet'!$B$10,Paramètres!$A$1:$I$89,5,0)</f>
        <v>245.85599999999985</v>
      </c>
      <c r="AK78" s="14">
        <f t="shared" si="89"/>
        <v>59.697704223313963</v>
      </c>
      <c r="AL78" s="22">
        <f t="shared" si="58"/>
        <v>532.17270152227161</v>
      </c>
      <c r="AM78" s="62">
        <f t="shared" si="59"/>
        <v>825.50603485560487</v>
      </c>
      <c r="AN78" s="62">
        <f ca="1">AVERAGE(OFFSET($AM$3,0,0,'Données projet'!$E$10+1,1))-AVERAGE(OFFSET($H$3,0,0,'Données projet'!$E$10+1,1))</f>
        <v>482.28841373508675</v>
      </c>
      <c r="AO78" s="62">
        <f t="shared" si="90"/>
        <v>746.97309214631684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202.32920499760618</v>
      </c>
      <c r="AV78" s="23">
        <f>EXP(-LN(2)/25)*AV77+(1-EXP(-LN(2)/25))/(LN(2)/25)*Calculateur!AQ78*Calculateur!AS78*VLOOKUP('Données projet'!$B$10,Paramètres!$A$1:$I$89,3,0)*0.475*44/12</f>
        <v>41.220952748654277</v>
      </c>
      <c r="AW78" s="23">
        <f>EXP(-LN(2)/2)*AW77+(1-EXP(-LN(2)/2))/(LN(2)/2)*AQ78*AT78*VLOOKUP('Données projet'!$B$10,Paramètres!$A$1:$I$89,3,0)*0.475*44/12</f>
        <v>3.845941876774893</v>
      </c>
      <c r="AX78" s="23">
        <f t="shared" si="60"/>
        <v>247.39609962303535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2.2737367544323206E-13</v>
      </c>
      <c r="BE78" s="14">
        <f>BD78*VLOOKUP('Données projet'!$B$11,Paramètres!$A$1:$I$89,3,0)*VLOOKUP('Données projet'!$B$11,Paramètres!$A$1:$I$89,5,0)</f>
        <v>1.6671037883497774E-13</v>
      </c>
      <c r="BF78" s="14">
        <f t="shared" si="91"/>
        <v>2.3598166018346595E-12</v>
      </c>
      <c r="BG78" s="22">
        <f t="shared" si="61"/>
        <v>4.400367824666284E-12</v>
      </c>
      <c r="BH78" s="62">
        <f t="shared" si="62"/>
        <v>293.33333333333769</v>
      </c>
      <c r="BI78" s="62">
        <f ca="1">AVERAGE(OFFSET($BH$3,0,0,'Données projet'!$E$11+1,1))-AVERAGE(OFFSET($H$3,0,0,'Données projet'!$E$11+1,1))</f>
        <v>350.22629663422435</v>
      </c>
      <c r="BJ78" s="62">
        <f t="shared" si="92"/>
        <v>375.98044319336645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147.25283631936566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147.25283631936566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>
        <f>BY78*VLOOKUP('Données projet'!$B$12,Paramètres!$A$1:$I$89,3,0)*VLOOKUP('Données projet'!$B$12,Paramètres!$A$1:$I$89,5,0)</f>
        <v>-4.5224624045658861E-14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248.15263300983543</v>
      </c>
      <c r="CE78" s="62">
        <f t="shared" si="94"/>
        <v>266.46511459244618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103.7314191080404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103.7314191080404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-3.813056537183002E-14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205.35893113421139</v>
      </c>
      <c r="CZ78" s="62">
        <f t="shared" si="96"/>
        <v>220.4399811285175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87.459823953837983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87.459823953837983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490.96084572840579</v>
      </c>
      <c r="T79" s="62">
        <f t="shared" si="88"/>
        <v>597.91658789908263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249.4535880214701</v>
      </c>
      <c r="AA79" s="23">
        <f>EXP(-LN(2)/25)*AA78+(1-EXP(-LN(2)/25))/(LN(2)/25)*Calculateur!V79*Calculateur!X79*VLOOKUP('Données projet'!$B$9,Paramètres!$A$1:$I$89,3,0)*0.475*44/12</f>
        <v>54.177326138424036</v>
      </c>
      <c r="AB79" s="23">
        <f>EXP(-LN(2)/2)*AB78+(1-EXP(-LN(2)/2))/(LN(2)/2)*V79*Y79*VLOOKUP('Données projet'!$B$9,Paramètres!$A$1:$I$89,3,0)*0.475*44/12</f>
        <v>1.4345077187719038</v>
      </c>
      <c r="AC79" s="24">
        <f t="shared" si="57"/>
        <v>305.06542187866603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10.666666666666666</v>
      </c>
      <c r="AI79" s="14">
        <f>IF('Données projet'!$A$62&gt;35,AI78+AH79-AQ78,IF(A79&lt;'Données projet'!$A$62,$AF$205^A79,IF(A79='Données projet'!$A$62,'Données projet'!$B$62,AI78+AH79-AQ78)))</f>
        <v>404.66666666666646</v>
      </c>
      <c r="AJ79" s="14">
        <f>AI79*VLOOKUP('Données projet'!$B$10,Paramètres!$A$1:$I$89,3,0)*VLOOKUP('Données projet'!$B$10,Paramètres!$A$1:$I$89,5,0)</f>
        <v>252.51199999999989</v>
      </c>
      <c r="AK79" s="14">
        <f t="shared" si="89"/>
        <v>61.123534450545591</v>
      </c>
      <c r="AL79" s="22">
        <f t="shared" si="58"/>
        <v>546.24855583470014</v>
      </c>
      <c r="AM79" s="62">
        <f t="shared" si="59"/>
        <v>839.58188916803351</v>
      </c>
      <c r="AN79" s="62">
        <f ca="1">AVERAGE(OFFSET($AM$3,0,0,'Données projet'!$E$10+1,1))-AVERAGE(OFFSET($H$3,0,0,'Données projet'!$E$10+1,1))</f>
        <v>482.28841373508675</v>
      </c>
      <c r="AO79" s="62">
        <f t="shared" si="90"/>
        <v>746.97309214631684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198.3616526962326</v>
      </c>
      <c r="AV79" s="23">
        <f>EXP(-LN(2)/25)*AV78+(1-EXP(-LN(2)/25))/(LN(2)/25)*Calculateur!AQ79*Calculateur!AS79*VLOOKUP('Données projet'!$B$10,Paramètres!$A$1:$I$89,3,0)*0.475*44/12</f>
        <v>40.093763628026629</v>
      </c>
      <c r="AW79" s="23">
        <f>EXP(-LN(2)/2)*AW78+(1-EXP(-LN(2)/2))/(LN(2)/2)*AQ79*AT79*VLOOKUP('Données projet'!$B$10,Paramètres!$A$1:$I$89,3,0)*0.475*44/12</f>
        <v>2.7194915811168445</v>
      </c>
      <c r="AX79" s="23">
        <f t="shared" si="60"/>
        <v>241.17490790537607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2.2737367544323206E-13</v>
      </c>
      <c r="BE79" s="14">
        <f>BD79*VLOOKUP('Données projet'!$B$11,Paramètres!$A$1:$I$89,3,0)*VLOOKUP('Données projet'!$B$11,Paramètres!$A$1:$I$89,5,0)</f>
        <v>1.6671037883497774E-13</v>
      </c>
      <c r="BF79" s="14">
        <f t="shared" si="91"/>
        <v>2.3598166018346595E-12</v>
      </c>
      <c r="BG79" s="22">
        <f t="shared" si="61"/>
        <v>4.400367824666284E-12</v>
      </c>
      <c r="BH79" s="62">
        <f t="shared" si="62"/>
        <v>293.33333333333769</v>
      </c>
      <c r="BI79" s="62">
        <f ca="1">AVERAGE(OFFSET($BH$3,0,0,'Données projet'!$E$11+1,1))-AVERAGE(OFFSET($H$3,0,0,'Données projet'!$E$11+1,1))</f>
        <v>350.22629663422435</v>
      </c>
      <c r="BJ79" s="62">
        <f t="shared" si="92"/>
        <v>375.98044319336645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144.36529801450453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144.36529801450453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>
        <f>BY79*VLOOKUP('Données projet'!$B$12,Paramètres!$A$1:$I$89,3,0)*VLOOKUP('Données projet'!$B$12,Paramètres!$A$1:$I$89,5,0)</f>
        <v>-4.5224624045658861E-14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248.15263300983543</v>
      </c>
      <c r="CE79" s="62">
        <f t="shared" si="94"/>
        <v>266.46511459244618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101.69730924925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101.69730924925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-3.813056537183002E-14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205.35893113421139</v>
      </c>
      <c r="CZ79" s="62">
        <f t="shared" si="96"/>
        <v>220.4399811285175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85.744790151328431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85.744790151328431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490.96084572840579</v>
      </c>
      <c r="T80" s="62">
        <f t="shared" si="88"/>
        <v>597.91658789908263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244.56195531203403</v>
      </c>
      <c r="AA80" s="23">
        <f>EXP(-LN(2)/25)*AA79+(1-EXP(-LN(2)/25))/(LN(2)/25)*Calculateur!V80*Calculateur!X80*VLOOKUP('Données projet'!$B$9,Paramètres!$A$1:$I$89,3,0)*0.475*44/12</f>
        <v>52.69584430610707</v>
      </c>
      <c r="AB80" s="23">
        <f>EXP(-LN(2)/2)*AB79+(1-EXP(-LN(2)/2))/(LN(2)/2)*V80*Y80*VLOOKUP('Données projet'!$B$9,Paramètres!$A$1:$I$89,3,0)*0.475*44/12</f>
        <v>1.014350135608058</v>
      </c>
      <c r="AC80" s="24">
        <f t="shared" si="57"/>
        <v>298.2721497537492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10.666666666666666</v>
      </c>
      <c r="AI80" s="14">
        <f>IF('Données projet'!$A$62&gt;35,AI79+AH80-AQ79,IF(A80&lt;'Données projet'!$A$62,$AF$205^A80,IF(A80='Données projet'!$A$62,'Données projet'!$B$62,AI79+AH80-AQ79)))</f>
        <v>415.33333333333314</v>
      </c>
      <c r="AJ80" s="14">
        <f>AI80*VLOOKUP('Données projet'!$B$10,Paramètres!$A$1:$I$89,3,0)*VLOOKUP('Données projet'!$B$10,Paramètres!$A$1:$I$89,5,0)</f>
        <v>259.16799999999989</v>
      </c>
      <c r="AK80" s="14">
        <f t="shared" si="89"/>
        <v>62.544996109208512</v>
      </c>
      <c r="AL80" s="22">
        <f t="shared" si="58"/>
        <v>560.31680155687127</v>
      </c>
      <c r="AM80" s="62">
        <f t="shared" si="59"/>
        <v>853.65013489020453</v>
      </c>
      <c r="AN80" s="62">
        <f ca="1">AVERAGE(OFFSET($AM$3,0,0,'Données projet'!$E$10+1,1))-AVERAGE(OFFSET($H$3,0,0,'Données projet'!$E$10+1,1))</f>
        <v>482.28841373508675</v>
      </c>
      <c r="AO80" s="62">
        <f t="shared" si="90"/>
        <v>746.97309214631684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194.47190167552097</v>
      </c>
      <c r="AV80" s="23">
        <f>EXP(-LN(2)/25)*AV79+(1-EXP(-LN(2)/25))/(LN(2)/25)*Calculateur!AQ80*Calculateur!AS80*VLOOKUP('Données projet'!$B$10,Paramètres!$A$1:$I$89,3,0)*0.475*44/12</f>
        <v>38.99739755317885</v>
      </c>
      <c r="AW80" s="23">
        <f>EXP(-LN(2)/2)*AW79+(1-EXP(-LN(2)/2))/(LN(2)/2)*AQ80*AT80*VLOOKUP('Données projet'!$B$10,Paramètres!$A$1:$I$89,3,0)*0.475*44/12</f>
        <v>1.9229709383874469</v>
      </c>
      <c r="AX80" s="23">
        <f t="shared" si="60"/>
        <v>235.39227016708725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2.2737367544323206E-13</v>
      </c>
      <c r="BE80" s="14">
        <f>BD80*VLOOKUP('Données projet'!$B$11,Paramètres!$A$1:$I$89,3,0)*VLOOKUP('Données projet'!$B$11,Paramètres!$A$1:$I$89,5,0)</f>
        <v>1.6671037883497774E-13</v>
      </c>
      <c r="BF80" s="14">
        <f t="shared" si="91"/>
        <v>2.3598166018346595E-12</v>
      </c>
      <c r="BG80" s="22">
        <f t="shared" si="61"/>
        <v>4.400367824666284E-12</v>
      </c>
      <c r="BH80" s="62">
        <f t="shared" si="62"/>
        <v>293.33333333333769</v>
      </c>
      <c r="BI80" s="62">
        <f ca="1">AVERAGE(OFFSET($BH$3,0,0,'Données projet'!$E$11+1,1))-AVERAGE(OFFSET($H$3,0,0,'Données projet'!$E$11+1,1))</f>
        <v>350.22629663422435</v>
      </c>
      <c r="BJ80" s="62">
        <f t="shared" si="92"/>
        <v>375.98044319336645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141.53438257457725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141.53438257457725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>
        <f>BY80*VLOOKUP('Données projet'!$B$12,Paramètres!$A$1:$I$89,3,0)*VLOOKUP('Données projet'!$B$12,Paramètres!$A$1:$I$89,5,0)</f>
        <v>-4.5224624045658861E-14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248.15263300983543</v>
      </c>
      <c r="CE80" s="62">
        <f t="shared" si="94"/>
        <v>266.46511459244618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99.70308704410597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99.70308704410597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-3.813056537183002E-14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205.35893113421139</v>
      </c>
      <c r="CZ80" s="62">
        <f t="shared" si="96"/>
        <v>220.4399811285175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84.063387115618767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84.063387115618767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490.96084572840579</v>
      </c>
      <c r="T81" s="62">
        <f t="shared" si="88"/>
        <v>597.91658789908263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239.76624453642867</v>
      </c>
      <c r="AA81" s="23">
        <f>EXP(-LN(2)/25)*AA80+(1-EXP(-LN(2)/25))/(LN(2)/25)*Calculateur!V81*Calculateur!X81*VLOOKUP('Données projet'!$B$9,Paramètres!$A$1:$I$89,3,0)*0.475*44/12</f>
        <v>51.25487367240256</v>
      </c>
      <c r="AB81" s="23">
        <f>EXP(-LN(2)/2)*AB80+(1-EXP(-LN(2)/2))/(LN(2)/2)*V81*Y81*VLOOKUP('Données projet'!$B$9,Paramètres!$A$1:$I$89,3,0)*0.475*44/12</f>
        <v>0.71725385938595188</v>
      </c>
      <c r="AC81" s="24">
        <f t="shared" si="57"/>
        <v>291.73837206821719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426</v>
      </c>
      <c r="AG81" s="13">
        <f>VLOOKUP(A81,'Données projet'!$A$61:$I$81,9,0)</f>
        <v>10.666666666666666</v>
      </c>
      <c r="AH81" s="13">
        <f t="array" ref="AH81">INDEX(AG:AG,MIN(IF(ISNUMBER(AG81:AG277),ROW(AG81:AG277),"")))</f>
        <v>10.666666666666666</v>
      </c>
      <c r="AI81" s="14">
        <f>IF('Données projet'!$A$62&gt;35,AI80+AH81-AQ80,IF(A81&lt;'Données projet'!$A$62,$AF$205^A81,IF(A81='Données projet'!$A$62,'Données projet'!$B$62,AI80+AH81-AQ80)))</f>
        <v>425.99999999999983</v>
      </c>
      <c r="AJ81" s="14">
        <f>AI81*VLOOKUP('Données projet'!$B$10,Paramètres!$A$1:$I$89,3,0)*VLOOKUP('Données projet'!$B$10,Paramètres!$A$1:$I$89,5,0)</f>
        <v>265.8239999999999</v>
      </c>
      <c r="AK81" s="14">
        <f t="shared" si="89"/>
        <v>63.962214293903529</v>
      </c>
      <c r="AL81" s="22">
        <f t="shared" si="58"/>
        <v>574.37765656188174</v>
      </c>
      <c r="AM81" s="62">
        <f t="shared" si="59"/>
        <v>867.71098989521511</v>
      </c>
      <c r="AN81" s="62">
        <f ca="1">AVERAGE(OFFSET($AM$3,0,0,'Données projet'!$E$10+1,1))-AVERAGE(OFFSET($H$3,0,0,'Données projet'!$E$10+1,1))</f>
        <v>482.28841373508675</v>
      </c>
      <c r="AO81" s="62">
        <f t="shared" si="90"/>
        <v>746.97309214631684</v>
      </c>
      <c r="AP81" s="16" t="str">
        <f>IF(ISNA(VLOOKUP(A81,'Données projet'!$A$61:$I$81,3,0)),0,VLOOKUP(A81,'Données projet'!$A$61:$I$81,3,0))</f>
        <v>CR</v>
      </c>
      <c r="AQ81" s="16">
        <f>IF(ISNA(VLOOKUP(A81,'Données projet'!$A$61:$I$81,4,0)),0,VLOOKUP(A81,'Données projet'!$A$61:$I$81,4,0))</f>
        <v>426</v>
      </c>
      <c r="AR81" s="17">
        <f>IF(ISNA(VLOOKUP(A81,'Données projet'!$A$61:$I$81,5,0)),0%,VLOOKUP(A81,'Données projet'!$A$61:$I$81,5,0)*VLOOKUP('Données projet'!$B$10,Paramètres!$A$1:$I$89,7,0))</f>
        <v>0.42</v>
      </c>
      <c r="AS81" s="17">
        <f>IF(ISNA(VLOOKUP(A81,'Données projet'!$A$61:$I$81,6,0)),0%,VLOOKUP(A81,'Données projet'!$A$61:$I$81,6,0)*VLOOKUP('Données projet'!$B$10,Paramètres!$A$1:$I$89,7,0))</f>
        <v>0.1008</v>
      </c>
      <c r="AT81" s="17">
        <f>IF(ISNA(VLOOKUP(A81,'Données projet'!$A$61:$I$81,7,0)),0%,VLOOKUP(A81,'Données projet'!$A$61:$I$81,7,0))</f>
        <v>0.13200000000000001</v>
      </c>
      <c r="AU81" s="23">
        <f>EXP(-LN(2)/35)*AU80+(1-EXP(-LN(2)/35))/(LN(2)/35)*AQ81*AR81*VLOOKUP('Données projet'!$B$10,Paramètres!$A$1:$I$89,3,0)*0.475*44/12</f>
        <v>338.76414761697094</v>
      </c>
      <c r="AV81" s="23">
        <f>EXP(-LN(2)/25)*AV80+(1-EXP(-LN(2)/25))/(LN(2)/25)*Calculateur!AQ81*Calculateur!AS81*VLOOKUP('Données projet'!$B$10,Paramètres!$A$1:$I$89,3,0)*0.475*44/12</f>
        <v>73.336429104614268</v>
      </c>
      <c r="AW81" s="23">
        <f>EXP(-LN(2)/2)*AW80+(1-EXP(-LN(2)/2))/(LN(2)/2)*AQ81*AT81*VLOOKUP('Données projet'!$B$10,Paramètres!$A$1:$I$89,3,0)*0.475*44/12</f>
        <v>41.088382200571559</v>
      </c>
      <c r="AX81" s="23">
        <f t="shared" si="60"/>
        <v>453.18895892215676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2.2737367544323206E-13</v>
      </c>
      <c r="BE81" s="14">
        <f>BD81*VLOOKUP('Données projet'!$B$11,Paramètres!$A$1:$I$89,3,0)*VLOOKUP('Données projet'!$B$11,Paramètres!$A$1:$I$89,5,0)</f>
        <v>1.6671037883497774E-13</v>
      </c>
      <c r="BF81" s="14">
        <f t="shared" si="91"/>
        <v>2.3598166018346595E-12</v>
      </c>
      <c r="BG81" s="22">
        <f t="shared" si="61"/>
        <v>4.400367824666284E-12</v>
      </c>
      <c r="BH81" s="62">
        <f t="shared" si="62"/>
        <v>293.33333333333769</v>
      </c>
      <c r="BI81" s="62">
        <f ca="1">AVERAGE(OFFSET($BH$3,0,0,'Données projet'!$E$11+1,1))-AVERAGE(OFFSET($H$3,0,0,'Données projet'!$E$11+1,1))</f>
        <v>350.22629663422435</v>
      </c>
      <c r="BJ81" s="62">
        <f t="shared" si="92"/>
        <v>375.98044319336645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138.75897965973903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138.75897965973903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>
        <f>BY81*VLOOKUP('Données projet'!$B$12,Paramètres!$A$1:$I$89,3,0)*VLOOKUP('Données projet'!$B$12,Paramètres!$A$1:$I$89,5,0)</f>
        <v>-4.5224624045658861E-14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248.15263300983543</v>
      </c>
      <c r="CE81" s="62">
        <f t="shared" si="94"/>
        <v>266.46511459244618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97.747970320049376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97.747970320049376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-3.813056537183002E-14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205.35893113421139</v>
      </c>
      <c r="CZ81" s="62">
        <f t="shared" si="96"/>
        <v>220.4399811285175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82.414955367884772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82.414955367884772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490.96084572840579</v>
      </c>
      <c r="T82" s="62">
        <f t="shared" si="88"/>
        <v>597.91658789908263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235.06457472403818</v>
      </c>
      <c r="AA82" s="23">
        <f>EXP(-LN(2)/25)*AA81+(1-EXP(-LN(2)/25))/(LN(2)/25)*Calculateur!V82*Calculateur!X82*VLOOKUP('Données projet'!$B$9,Paramètres!$A$1:$I$89,3,0)*0.475*44/12</f>
        <v>49.85330645645405</v>
      </c>
      <c r="AB82" s="23">
        <f>EXP(-LN(2)/2)*AB81+(1-EXP(-LN(2)/2))/(LN(2)/2)*V82*Y82*VLOOKUP('Données projet'!$B$9,Paramètres!$A$1:$I$89,3,0)*0.475*44/12</f>
        <v>0.50717506780402899</v>
      </c>
      <c r="AC82" s="24">
        <f t="shared" si="57"/>
        <v>285.4250562482963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-1.7053025658242404E-13</v>
      </c>
      <c r="AJ82" s="14">
        <f>AI82*VLOOKUP('Données projet'!$B$10,Paramètres!$A$1:$I$89,3,0)*VLOOKUP('Données projet'!$B$10,Paramètres!$A$1:$I$89,5,0)</f>
        <v>-1.064108801074326E-13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482.28841373508675</v>
      </c>
      <c r="AO82" s="62">
        <f t="shared" si="90"/>
        <v>746.97309214631684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332.12118930792957</v>
      </c>
      <c r="AV82" s="23">
        <f>EXP(-LN(2)/25)*AV81+(1-EXP(-LN(2)/25))/(LN(2)/25)*Calculateur!AQ82*Calculateur!AS82*VLOOKUP('Données projet'!$B$10,Paramètres!$A$1:$I$89,3,0)*0.475*44/12</f>
        <v>71.331040594153393</v>
      </c>
      <c r="AW82" s="23">
        <f>EXP(-LN(2)/2)*AW81+(1-EXP(-LN(2)/2))/(LN(2)/2)*AQ82*AT82*VLOOKUP('Données projet'!$B$10,Paramètres!$A$1:$I$89,3,0)*0.475*44/12</f>
        <v>29.053873682008788</v>
      </c>
      <c r="AX82" s="23">
        <f t="shared" si="60"/>
        <v>432.50610358409176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2.2737367544323206E-13</v>
      </c>
      <c r="BE82" s="14">
        <f>BD82*VLOOKUP('Données projet'!$B$11,Paramètres!$A$1:$I$89,3,0)*VLOOKUP('Données projet'!$B$11,Paramètres!$A$1:$I$89,5,0)</f>
        <v>1.6671037883497774E-13</v>
      </c>
      <c r="BF82" s="14">
        <f t="shared" si="91"/>
        <v>2.3598166018346595E-12</v>
      </c>
      <c r="BG82" s="22">
        <f t="shared" si="61"/>
        <v>4.400367824666284E-12</v>
      </c>
      <c r="BH82" s="62">
        <f t="shared" si="62"/>
        <v>293.33333333333769</v>
      </c>
      <c r="BI82" s="62">
        <f ca="1">AVERAGE(OFFSET($BH$3,0,0,'Données projet'!$E$11+1,1))-AVERAGE(OFFSET($H$3,0,0,'Données projet'!$E$11+1,1))</f>
        <v>350.22629663422435</v>
      </c>
      <c r="BJ82" s="62">
        <f t="shared" si="92"/>
        <v>375.98044319336645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136.03800070323217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136.03800070323217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>
        <f>BY82*VLOOKUP('Données projet'!$B$12,Paramètres!$A$1:$I$89,3,0)*VLOOKUP('Données projet'!$B$12,Paramètres!$A$1:$I$89,5,0)</f>
        <v>-4.5224624045658861E-14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248.15263300983543</v>
      </c>
      <c r="CE82" s="62">
        <f t="shared" si="94"/>
        <v>266.46511459244618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95.831192242448083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95.831192242448083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-3.813056537183002E-14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205.35893113421139</v>
      </c>
      <c r="CZ82" s="62">
        <f t="shared" si="96"/>
        <v>220.4399811285175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80.798848361279752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80.798848361279752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490.96084572840579</v>
      </c>
      <c r="T83" s="62">
        <f t="shared" si="88"/>
        <v>597.91658789908263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230.45510178893323</v>
      </c>
      <c r="AA83" s="23">
        <f>EXP(-LN(2)/25)*AA82+(1-EXP(-LN(2)/25))/(LN(2)/25)*Calculateur!V83*Calculateur!X83*VLOOKUP('Données projet'!$B$9,Paramètres!$A$1:$I$89,3,0)*0.475*44/12</f>
        <v>48.490065169730869</v>
      </c>
      <c r="AB83" s="23">
        <f>EXP(-LN(2)/2)*AB82+(1-EXP(-LN(2)/2))/(LN(2)/2)*V83*Y83*VLOOKUP('Données projet'!$B$9,Paramètres!$A$1:$I$89,3,0)*0.475*44/12</f>
        <v>0.35862692969297594</v>
      </c>
      <c r="AC83" s="24">
        <f t="shared" si="57"/>
        <v>279.30379388835712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-1.7053025658242404E-13</v>
      </c>
      <c r="AJ83" s="14">
        <f>AI83*VLOOKUP('Données projet'!$B$10,Paramètres!$A$1:$I$89,3,0)*VLOOKUP('Données projet'!$B$10,Paramètres!$A$1:$I$89,5,0)</f>
        <v>-1.064108801074326E-13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482.28841373508675</v>
      </c>
      <c r="AO83" s="62">
        <f t="shared" si="90"/>
        <v>746.97309214631684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325.60849535952406</v>
      </c>
      <c r="AV83" s="23">
        <f>EXP(-LN(2)/25)*AV82+(1-EXP(-LN(2)/25))/(LN(2)/25)*Calculateur!AQ83*Calculateur!AS83*VLOOKUP('Données projet'!$B$10,Paramètres!$A$1:$I$89,3,0)*0.475*44/12</f>
        <v>69.380489537969879</v>
      </c>
      <c r="AW83" s="23">
        <f>EXP(-LN(2)/2)*AW82+(1-EXP(-LN(2)/2))/(LN(2)/2)*AQ83*AT83*VLOOKUP('Données projet'!$B$10,Paramètres!$A$1:$I$89,3,0)*0.475*44/12</f>
        <v>20.544191100285783</v>
      </c>
      <c r="AX83" s="23">
        <f t="shared" si="60"/>
        <v>415.53317599777972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2.2737367544323206E-13</v>
      </c>
      <c r="BE83" s="14">
        <f>BD83*VLOOKUP('Données projet'!$B$11,Paramètres!$A$1:$I$89,3,0)*VLOOKUP('Données projet'!$B$11,Paramètres!$A$1:$I$89,5,0)</f>
        <v>1.6671037883497774E-13</v>
      </c>
      <c r="BF83" s="14">
        <f t="shared" si="91"/>
        <v>2.3598166018346595E-12</v>
      </c>
      <c r="BG83" s="22">
        <f t="shared" si="61"/>
        <v>4.400367824666284E-12</v>
      </c>
      <c r="BH83" s="62">
        <f t="shared" si="62"/>
        <v>293.33333333333769</v>
      </c>
      <c r="BI83" s="62">
        <f ca="1">AVERAGE(OFFSET($BH$3,0,0,'Données projet'!$E$11+1,1))-AVERAGE(OFFSET($H$3,0,0,'Données projet'!$E$11+1,1))</f>
        <v>350.22629663422435</v>
      </c>
      <c r="BJ83" s="62">
        <f t="shared" si="92"/>
        <v>375.98044319336645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133.37037848442912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133.37037848442912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>
        <f>BY83*VLOOKUP('Données projet'!$B$12,Paramètres!$A$1:$I$89,3,0)*VLOOKUP('Données projet'!$B$12,Paramètres!$A$1:$I$89,5,0)</f>
        <v>-4.5224624045658861E-14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248.15263300983543</v>
      </c>
      <c r="CE83" s="62">
        <f t="shared" si="94"/>
        <v>266.46511459244618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93.95200101382936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93.95200101382936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-3.813056537183002E-14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205.35893113421139</v>
      </c>
      <c r="CZ83" s="62">
        <f t="shared" si="96"/>
        <v>220.4399811285175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79.214432227346322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79.214432227346322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490.96084572840579</v>
      </c>
      <c r="T84" s="62">
        <f t="shared" si="88"/>
        <v>597.91658789908263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225.93601780658483</v>
      </c>
      <c r="AA84" s="23">
        <f>EXP(-LN(2)/25)*AA83+(1-EXP(-LN(2)/25))/(LN(2)/25)*Calculateur!V84*Calculateur!X84*VLOOKUP('Données projet'!$B$9,Paramètres!$A$1:$I$89,3,0)*0.475*44/12</f>
        <v>47.164101787682874</v>
      </c>
      <c r="AB84" s="23">
        <f>EXP(-LN(2)/2)*AB83+(1-EXP(-LN(2)/2))/(LN(2)/2)*V84*Y84*VLOOKUP('Données projet'!$B$9,Paramètres!$A$1:$I$89,3,0)*0.475*44/12</f>
        <v>0.25358753390201449</v>
      </c>
      <c r="AC84" s="24">
        <f t="shared" si="57"/>
        <v>273.35370712816973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projet'!$B$10,Paramètres!$A$1:$I$89,3,0)*VLOOKUP('Données projet'!$B$10,Paramètres!$A$1:$I$89,5,0)</f>
        <v>-1.064108801074326E-13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482.28841373508675</v>
      </c>
      <c r="AO84" s="62">
        <f t="shared" si="90"/>
        <v>746.97309214631684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319.22351136709568</v>
      </c>
      <c r="AV84" s="23">
        <f>EXP(-LN(2)/25)*AV83+(1-EXP(-LN(2)/25))/(LN(2)/25)*Calculateur!AQ84*Calculateur!AS84*VLOOKUP('Données projet'!$B$10,Paramètres!$A$1:$I$89,3,0)*0.475*44/12</f>
        <v>67.483276402992715</v>
      </c>
      <c r="AW84" s="23">
        <f>EXP(-LN(2)/2)*AW83+(1-EXP(-LN(2)/2))/(LN(2)/2)*AQ84*AT84*VLOOKUP('Données projet'!$B$10,Paramètres!$A$1:$I$89,3,0)*0.475*44/12</f>
        <v>14.526936841004398</v>
      </c>
      <c r="AX84" s="23">
        <f t="shared" si="60"/>
        <v>401.23372461109278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2.2737367544323206E-13</v>
      </c>
      <c r="BE84" s="14">
        <f>BD84*VLOOKUP('Données projet'!$B$11,Paramètres!$A$1:$I$89,3,0)*VLOOKUP('Données projet'!$B$11,Paramètres!$A$1:$I$89,5,0)</f>
        <v>1.6671037883497774E-13</v>
      </c>
      <c r="BF84" s="14">
        <f t="shared" si="91"/>
        <v>2.3598166018346595E-12</v>
      </c>
      <c r="BG84" s="22">
        <f t="shared" si="61"/>
        <v>4.400367824666284E-12</v>
      </c>
      <c r="BH84" s="62">
        <f t="shared" si="62"/>
        <v>293.33333333333769</v>
      </c>
      <c r="BI84" s="62">
        <f ca="1">AVERAGE(OFFSET($BH$3,0,0,'Données projet'!$E$11+1,1))-AVERAGE(OFFSET($H$3,0,0,'Données projet'!$E$11+1,1))</f>
        <v>350.22629663422435</v>
      </c>
      <c r="BJ84" s="62">
        <f t="shared" si="92"/>
        <v>375.98044319336645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130.75506671024792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130.75506671024792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-4.5224624045658861E-14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248.15263300983543</v>
      </c>
      <c r="CE84" s="62">
        <f t="shared" si="94"/>
        <v>266.46511459244618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92.109659579010383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92.109659579010383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-3.813056537183002E-14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205.35893113421139</v>
      </c>
      <c r="CZ84" s="62">
        <f t="shared" si="96"/>
        <v>220.4399811285175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77.661085527400914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77.661085527400914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490.96084572840579</v>
      </c>
      <c r="T85" s="62">
        <f t="shared" si="88"/>
        <v>597.91658789908263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221.50555030476121</v>
      </c>
      <c r="AA85" s="23">
        <f>EXP(-LN(2)/25)*AA84+(1-EXP(-LN(2)/25))/(LN(2)/25)*Calculateur!V85*Calculateur!X85*VLOOKUP('Données projet'!$B$9,Paramètres!$A$1:$I$89,3,0)*0.475*44/12</f>
        <v>45.874396944046367</v>
      </c>
      <c r="AB85" s="23">
        <f>EXP(-LN(2)/2)*AB84+(1-EXP(-LN(2)/2))/(LN(2)/2)*V85*Y85*VLOOKUP('Données projet'!$B$9,Paramètres!$A$1:$I$89,3,0)*0.475*44/12</f>
        <v>0.17931346484648797</v>
      </c>
      <c r="AC85" s="24">
        <f t="shared" si="57"/>
        <v>267.55926071365406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projet'!$B$10,Paramètres!$A$1:$I$89,3,0)*VLOOKUP('Données projet'!$B$10,Paramètres!$A$1:$I$89,5,0)</f>
        <v>-1.064108801074326E-13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482.28841373508675</v>
      </c>
      <c r="AO85" s="62">
        <f t="shared" si="90"/>
        <v>746.97309214631684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312.96373301630314</v>
      </c>
      <c r="AV85" s="23">
        <f>EXP(-LN(2)/25)*AV84+(1-EXP(-LN(2)/25))/(LN(2)/25)*Calculateur!AQ85*Calculateur!AS85*VLOOKUP('Données projet'!$B$10,Paramètres!$A$1:$I$89,3,0)*0.475*44/12</f>
        <v>65.637942660961613</v>
      </c>
      <c r="AW85" s="23">
        <f>EXP(-LN(2)/2)*AW84+(1-EXP(-LN(2)/2))/(LN(2)/2)*AQ85*AT85*VLOOKUP('Données projet'!$B$10,Paramètres!$A$1:$I$89,3,0)*0.475*44/12</f>
        <v>10.272095550142893</v>
      </c>
      <c r="AX85" s="23">
        <f t="shared" si="60"/>
        <v>388.8737712274077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2.2737367544323206E-13</v>
      </c>
      <c r="BE85" s="14">
        <f>BD85*VLOOKUP('Données projet'!$B$11,Paramètres!$A$1:$I$89,3,0)*VLOOKUP('Données projet'!$B$11,Paramètres!$A$1:$I$89,5,0)</f>
        <v>1.6671037883497774E-13</v>
      </c>
      <c r="BF85" s="14">
        <f t="shared" si="91"/>
        <v>2.3598166018346595E-12</v>
      </c>
      <c r="BG85" s="22">
        <f t="shared" si="61"/>
        <v>4.400367824666284E-12</v>
      </c>
      <c r="BH85" s="62">
        <f t="shared" si="62"/>
        <v>293.33333333333769</v>
      </c>
      <c r="BI85" s="62">
        <f ca="1">AVERAGE(OFFSET($BH$3,0,0,'Données projet'!$E$11+1,1))-AVERAGE(OFFSET($H$3,0,0,'Données projet'!$E$11+1,1))</f>
        <v>350.22629663422435</v>
      </c>
      <c r="BJ85" s="62">
        <f t="shared" si="92"/>
        <v>375.98044319336645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128.19103960477571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128.19103960477571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-4.5224624045658861E-14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248.15263300983543</v>
      </c>
      <c r="CE85" s="62">
        <f t="shared" si="94"/>
        <v>266.46511459244618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90.303445336010881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90.303445336010881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-3.813056537183002E-14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205.35893113421139</v>
      </c>
      <c r="CZ85" s="62">
        <f t="shared" si="96"/>
        <v>220.4399811285175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76.138199008793492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76.138199008793492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490.96084572840579</v>
      </c>
      <c r="T86" s="62">
        <f t="shared" si="88"/>
        <v>597.91658789908263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217.16196156833001</v>
      </c>
      <c r="AA86" s="23">
        <f>EXP(-LN(2)/25)*AA85+(1-EXP(-LN(2)/25))/(LN(2)/25)*Calculateur!V86*Calculateur!X86*VLOOKUP('Données projet'!$B$9,Paramètres!$A$1:$I$89,3,0)*0.475*44/12</f>
        <v>44.619959147181731</v>
      </c>
      <c r="AB86" s="23">
        <f>EXP(-LN(2)/2)*AB85+(1-EXP(-LN(2)/2))/(LN(2)/2)*V86*Y86*VLOOKUP('Données projet'!$B$9,Paramètres!$A$1:$I$89,3,0)*0.475*44/12</f>
        <v>0.12679376695100725</v>
      </c>
      <c r="AC86" s="24">
        <f t="shared" si="57"/>
        <v>261.90871448246276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projet'!$B$10,Paramètres!$A$1:$I$89,3,0)*VLOOKUP('Données projet'!$B$10,Paramètres!$A$1:$I$89,5,0)</f>
        <v>-1.064108801074326E-13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482.28841373508675</v>
      </c>
      <c r="AO86" s="62">
        <f t="shared" si="90"/>
        <v>746.97309214631684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306.82670510088184</v>
      </c>
      <c r="AV86" s="23">
        <f>EXP(-LN(2)/25)*AV85+(1-EXP(-LN(2)/25))/(LN(2)/25)*Calculateur!AQ86*Calculateur!AS86*VLOOKUP('Données projet'!$B$10,Paramètres!$A$1:$I$89,3,0)*0.475*44/12</f>
        <v>63.843069667148228</v>
      </c>
      <c r="AW86" s="23">
        <f>EXP(-LN(2)/2)*AW85+(1-EXP(-LN(2)/2))/(LN(2)/2)*AQ86*AT86*VLOOKUP('Données projet'!$B$10,Paramètres!$A$1:$I$89,3,0)*0.475*44/12</f>
        <v>7.2634684205021998</v>
      </c>
      <c r="AX86" s="23">
        <f t="shared" si="60"/>
        <v>377.93324318853223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2.2737367544323206E-13</v>
      </c>
      <c r="BE86" s="14">
        <f>BD86*VLOOKUP('Données projet'!$B$11,Paramètres!$A$1:$I$89,3,0)*VLOOKUP('Données projet'!$B$11,Paramètres!$A$1:$I$89,5,0)</f>
        <v>1.6671037883497774E-13</v>
      </c>
      <c r="BF86" s="14">
        <f t="shared" si="91"/>
        <v>2.3598166018346595E-12</v>
      </c>
      <c r="BG86" s="22">
        <f t="shared" si="61"/>
        <v>4.400367824666284E-12</v>
      </c>
      <c r="BH86" s="62">
        <f t="shared" si="62"/>
        <v>293.33333333333769</v>
      </c>
      <c r="BI86" s="62">
        <f ca="1">AVERAGE(OFFSET($BH$3,0,0,'Données projet'!$E$11+1,1))-AVERAGE(OFFSET($H$3,0,0,'Données projet'!$E$11+1,1))</f>
        <v>350.22629663422435</v>
      </c>
      <c r="BJ86" s="62">
        <f t="shared" si="92"/>
        <v>375.98044319336645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125.67729150693971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125.67729150693971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-4.5224624045658861E-14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248.15263300983543</v>
      </c>
      <c r="CE86" s="62">
        <f t="shared" si="94"/>
        <v>266.46511459244618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88.532649852634691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88.532649852634691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-3.813056537183002E-14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205.35893113421139</v>
      </c>
      <c r="CZ86" s="62">
        <f t="shared" si="96"/>
        <v>220.4399811285175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74.645175365946912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74.645175365946912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490.96084572840579</v>
      </c>
      <c r="T87" s="62">
        <f t="shared" si="88"/>
        <v>597.91658789908263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212.90354795769269</v>
      </c>
      <c r="AA87" s="23">
        <f>EXP(-LN(2)/25)*AA86+(1-EXP(-LN(2)/25))/(LN(2)/25)*Calculateur!V87*Calculateur!X87*VLOOKUP('Données projet'!$B$9,Paramètres!$A$1:$I$89,3,0)*0.475*44/12</f>
        <v>43.399824017840373</v>
      </c>
      <c r="AB87" s="23">
        <f>EXP(-LN(2)/2)*AB86+(1-EXP(-LN(2)/2))/(LN(2)/2)*V87*Y87*VLOOKUP('Données projet'!$B$9,Paramètres!$A$1:$I$89,3,0)*0.475*44/12</f>
        <v>8.9656732423243984E-2</v>
      </c>
      <c r="AC87" s="24">
        <f t="shared" si="57"/>
        <v>256.39302870795632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projet'!$B$10,Paramètres!$A$1:$I$89,3,0)*VLOOKUP('Données projet'!$B$10,Paramètres!$A$1:$I$89,5,0)</f>
        <v>-1.064108801074326E-13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482.28841373508675</v>
      </c>
      <c r="AO87" s="62">
        <f t="shared" si="90"/>
        <v>746.97309214631684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300.81002055966457</v>
      </c>
      <c r="AV87" s="23">
        <f>EXP(-LN(2)/25)*AV86+(1-EXP(-LN(2)/25))/(LN(2)/25)*Calculateur!AQ87*Calculateur!AS87*VLOOKUP('Données projet'!$B$10,Paramètres!$A$1:$I$89,3,0)*0.475*44/12</f>
        <v>62.097277569738942</v>
      </c>
      <c r="AW87" s="23">
        <f>EXP(-LN(2)/2)*AW86+(1-EXP(-LN(2)/2))/(LN(2)/2)*AQ87*AT87*VLOOKUP('Données projet'!$B$10,Paramètres!$A$1:$I$89,3,0)*0.475*44/12</f>
        <v>5.1360477750714475</v>
      </c>
      <c r="AX87" s="23">
        <f t="shared" si="60"/>
        <v>368.04334590447496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2.2737367544323206E-13</v>
      </c>
      <c r="BE87" s="14">
        <f>BD87*VLOOKUP('Données projet'!$B$11,Paramètres!$A$1:$I$89,3,0)*VLOOKUP('Données projet'!$B$11,Paramètres!$A$1:$I$89,5,0)</f>
        <v>1.6671037883497774E-13</v>
      </c>
      <c r="BF87" s="14">
        <f t="shared" si="91"/>
        <v>2.3598166018346595E-12</v>
      </c>
      <c r="BG87" s="22">
        <f t="shared" si="61"/>
        <v>4.400367824666284E-12</v>
      </c>
      <c r="BH87" s="62">
        <f t="shared" si="62"/>
        <v>293.33333333333769</v>
      </c>
      <c r="BI87" s="62">
        <f ca="1">AVERAGE(OFFSET($BH$3,0,0,'Données projet'!$E$11+1,1))-AVERAGE(OFFSET($H$3,0,0,'Données projet'!$E$11+1,1))</f>
        <v>350.22629663422435</v>
      </c>
      <c r="BJ87" s="62">
        <f t="shared" si="92"/>
        <v>375.98044319336645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123.21283647606734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123.21283647606734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-4.5224624045658861E-14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248.15263300983543</v>
      </c>
      <c r="CE87" s="62">
        <f t="shared" si="94"/>
        <v>266.46511459244618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86.796578588608924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86.796578588608924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-3.813056537183002E-14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205.35893113421139</v>
      </c>
      <c r="CZ87" s="62">
        <f t="shared" si="96"/>
        <v>220.4399811285175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73.181429006082041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73.181429006082041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490.96084572840579</v>
      </c>
      <c r="T88" s="62">
        <f t="shared" si="88"/>
        <v>597.91658789908263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208.72863924058416</v>
      </c>
      <c r="AA88" s="23">
        <f>EXP(-LN(2)/25)*AA87+(1-EXP(-LN(2)/25))/(LN(2)/25)*Calculateur!V88*Calculateur!X88*VLOOKUP('Données projet'!$B$9,Paramètres!$A$1:$I$89,3,0)*0.475*44/12</f>
        <v>42.213053547774976</v>
      </c>
      <c r="AB88" s="23">
        <f>EXP(-LN(2)/2)*AB87+(1-EXP(-LN(2)/2))/(LN(2)/2)*V88*Y88*VLOOKUP('Données projet'!$B$9,Paramètres!$A$1:$I$89,3,0)*0.475*44/12</f>
        <v>6.3396883475503624E-2</v>
      </c>
      <c r="AC88" s="24">
        <f t="shared" si="57"/>
        <v>251.00508967183464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projet'!$B$10,Paramètres!$A$1:$I$89,3,0)*VLOOKUP('Données projet'!$B$10,Paramètres!$A$1:$I$89,5,0)</f>
        <v>-1.064108801074326E-13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482.28841373508675</v>
      </c>
      <c r="AO88" s="62">
        <f t="shared" si="90"/>
        <v>746.97309214631684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294.91131953248532</v>
      </c>
      <c r="AV88" s="23">
        <f>EXP(-LN(2)/25)*AV87+(1-EXP(-LN(2)/25))/(LN(2)/25)*Calculateur!AQ88*Calculateur!AS88*VLOOKUP('Données projet'!$B$10,Paramètres!$A$1:$I$89,3,0)*0.475*44/12</f>
        <v>60.399224249040529</v>
      </c>
      <c r="AW88" s="23">
        <f>EXP(-LN(2)/2)*AW87+(1-EXP(-LN(2)/2))/(LN(2)/2)*AQ88*AT88*VLOOKUP('Données projet'!$B$10,Paramètres!$A$1:$I$89,3,0)*0.475*44/12</f>
        <v>3.6317342102511003</v>
      </c>
      <c r="AX88" s="23">
        <f t="shared" si="60"/>
        <v>358.94227799177696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2.2737367544323206E-13</v>
      </c>
      <c r="BE88" s="14">
        <f>BD88*VLOOKUP('Données projet'!$B$11,Paramètres!$A$1:$I$89,3,0)*VLOOKUP('Données projet'!$B$11,Paramètres!$A$1:$I$89,5,0)</f>
        <v>1.6671037883497774E-13</v>
      </c>
      <c r="BF88" s="14">
        <f t="shared" si="91"/>
        <v>2.3598166018346595E-12</v>
      </c>
      <c r="BG88" s="22">
        <f t="shared" si="61"/>
        <v>4.400367824666284E-12</v>
      </c>
      <c r="BH88" s="62">
        <f t="shared" si="62"/>
        <v>293.33333333333769</v>
      </c>
      <c r="BI88" s="62">
        <f ca="1">AVERAGE(OFFSET($BH$3,0,0,'Données projet'!$E$11+1,1))-AVERAGE(OFFSET($H$3,0,0,'Données projet'!$E$11+1,1))</f>
        <v>350.22629663422435</v>
      </c>
      <c r="BJ88" s="62">
        <f t="shared" si="92"/>
        <v>375.98044319336645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120.79670790518122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120.79670790518122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-4.5224624045658861E-14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248.15263300983543</v>
      </c>
      <c r="CE88" s="62">
        <f t="shared" si="94"/>
        <v>266.46511459244618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85.094550623171784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85.094550623171784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-3.813056537183002E-14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205.35893113421139</v>
      </c>
      <c r="CZ88" s="62">
        <f t="shared" si="96"/>
        <v>220.4399811285175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71.746385819536997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71.746385819536997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490.96084572840579</v>
      </c>
      <c r="T89" s="62">
        <f t="shared" si="88"/>
        <v>597.91658789908263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204.63559793697524</v>
      </c>
      <c r="AA89" s="23">
        <f>EXP(-LN(2)/25)*AA88+(1-EXP(-LN(2)/25))/(LN(2)/25)*Calculateur!V89*Calculateur!X89*VLOOKUP('Données projet'!$B$9,Paramètres!$A$1:$I$89,3,0)*0.475*44/12</f>
        <v>41.058735378623062</v>
      </c>
      <c r="AB89" s="23">
        <f>EXP(-LN(2)/2)*AB88+(1-EXP(-LN(2)/2))/(LN(2)/2)*V89*Y89*VLOOKUP('Données projet'!$B$9,Paramètres!$A$1:$I$89,3,0)*0.475*44/12</f>
        <v>4.4828366211621992E-2</v>
      </c>
      <c r="AC89" s="24">
        <f t="shared" si="57"/>
        <v>245.73916168180992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projet'!$B$10,Paramètres!$A$1:$I$89,3,0)*VLOOKUP('Données projet'!$B$10,Paramètres!$A$1:$I$89,5,0)</f>
        <v>-1.064108801074326E-13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482.28841373508675</v>
      </c>
      <c r="AO89" s="62">
        <f t="shared" si="90"/>
        <v>746.97309214631684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289.1282884345967</v>
      </c>
      <c r="AV89" s="23">
        <f>EXP(-LN(2)/25)*AV88+(1-EXP(-LN(2)/25))/(LN(2)/25)*Calculateur!AQ89*Calculateur!AS89*VLOOKUP('Données projet'!$B$10,Paramètres!$A$1:$I$89,3,0)*0.475*44/12</f>
        <v>58.747604285693356</v>
      </c>
      <c r="AW89" s="23">
        <f>EXP(-LN(2)/2)*AW88+(1-EXP(-LN(2)/2))/(LN(2)/2)*AQ89*AT89*VLOOKUP('Données projet'!$B$10,Paramètres!$A$1:$I$89,3,0)*0.475*44/12</f>
        <v>2.5680238875357237</v>
      </c>
      <c r="AX89" s="23">
        <f t="shared" si="60"/>
        <v>350.44391660782577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2.2737367544323206E-13</v>
      </c>
      <c r="BE89" s="14">
        <f>BD89*VLOOKUP('Données projet'!$B$11,Paramètres!$A$1:$I$89,3,0)*VLOOKUP('Données projet'!$B$11,Paramètres!$A$1:$I$89,5,0)</f>
        <v>1.6671037883497774E-13</v>
      </c>
      <c r="BF89" s="14">
        <f t="shared" si="91"/>
        <v>2.3598166018346595E-12</v>
      </c>
      <c r="BG89" s="22">
        <f t="shared" si="61"/>
        <v>4.400367824666284E-12</v>
      </c>
      <c r="BH89" s="62">
        <f t="shared" si="62"/>
        <v>293.33333333333769</v>
      </c>
      <c r="BI89" s="62">
        <f ca="1">AVERAGE(OFFSET($BH$3,0,0,'Données projet'!$E$11+1,1))-AVERAGE(OFFSET($H$3,0,0,'Données projet'!$E$11+1,1))</f>
        <v>350.22629663422435</v>
      </c>
      <c r="BJ89" s="62">
        <f t="shared" si="92"/>
        <v>375.98044319336645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118.42795814187727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118.42795814187727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-4.5224624045658861E-14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248.15263300983543</v>
      </c>
      <c r="CE89" s="62">
        <f t="shared" si="94"/>
        <v>266.46511459244618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83.42589838800231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83.42589838800231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-3.813056537183002E-14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205.35893113421139</v>
      </c>
      <c r="CZ89" s="62">
        <f t="shared" si="96"/>
        <v>220.4399811285175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70.339482954590196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70.339482954590196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490.96084572840579</v>
      </c>
      <c r="T90" s="62">
        <f t="shared" si="88"/>
        <v>597.91658789908263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200.6228186768214</v>
      </c>
      <c r="AA90" s="23">
        <f>EXP(-LN(2)/25)*AA89+(1-EXP(-LN(2)/25))/(LN(2)/25)*Calculateur!V90*Calculateur!X90*VLOOKUP('Données projet'!$B$9,Paramètres!$A$1:$I$89,3,0)*0.475*44/12</f>
        <v>39.935982100509563</v>
      </c>
      <c r="AB90" s="23">
        <f>EXP(-LN(2)/2)*AB89+(1-EXP(-LN(2)/2))/(LN(2)/2)*V90*Y90*VLOOKUP('Données projet'!$B$9,Paramètres!$A$1:$I$89,3,0)*0.475*44/12</f>
        <v>3.1698441737751812E-2</v>
      </c>
      <c r="AC90" s="24">
        <f t="shared" si="57"/>
        <v>240.5904992190687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projet'!$B$10,Paramètres!$A$1:$I$89,3,0)*VLOOKUP('Données projet'!$B$10,Paramètres!$A$1:$I$89,5,0)</f>
        <v>-1.064108801074326E-13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482.28841373508675</v>
      </c>
      <c r="AO90" s="62">
        <f t="shared" si="90"/>
        <v>746.97309214631684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283.45865904923699</v>
      </c>
      <c r="AV90" s="23">
        <f>EXP(-LN(2)/25)*AV89+(1-EXP(-LN(2)/25))/(LN(2)/25)*Calculateur!AQ90*Calculateur!AS90*VLOOKUP('Données projet'!$B$10,Paramètres!$A$1:$I$89,3,0)*0.475*44/12</f>
        <v>57.141147957098831</v>
      </c>
      <c r="AW90" s="23">
        <f>EXP(-LN(2)/2)*AW89+(1-EXP(-LN(2)/2))/(LN(2)/2)*AQ90*AT90*VLOOKUP('Données projet'!$B$10,Paramètres!$A$1:$I$89,3,0)*0.475*44/12</f>
        <v>1.8158671051255502</v>
      </c>
      <c r="AX90" s="23">
        <f t="shared" si="60"/>
        <v>342.41567411146139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2.2737367544323206E-13</v>
      </c>
      <c r="BE90" s="14">
        <f>BD90*VLOOKUP('Données projet'!$B$11,Paramètres!$A$1:$I$89,3,0)*VLOOKUP('Données projet'!$B$11,Paramètres!$A$1:$I$89,5,0)</f>
        <v>1.6671037883497774E-13</v>
      </c>
      <c r="BF90" s="14">
        <f t="shared" si="91"/>
        <v>2.3598166018346595E-12</v>
      </c>
      <c r="BG90" s="22">
        <f t="shared" si="61"/>
        <v>4.400367824666284E-12</v>
      </c>
      <c r="BH90" s="62">
        <f t="shared" si="62"/>
        <v>293.33333333333769</v>
      </c>
      <c r="BI90" s="62">
        <f ca="1">AVERAGE(OFFSET($BH$3,0,0,'Données projet'!$E$11+1,1))-AVERAGE(OFFSET($H$3,0,0,'Données projet'!$E$11+1,1))</f>
        <v>350.22629663422435</v>
      </c>
      <c r="BJ90" s="62">
        <f t="shared" si="92"/>
        <v>375.98044319336645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116.10565811663702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116.10565811663702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-4.5224624045658861E-14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248.15263300983543</v>
      </c>
      <c r="CE90" s="62">
        <f t="shared" si="94"/>
        <v>266.46511459244618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81.789967405387145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81.789967405387145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-3.813056537183002E-14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205.35893113421139</v>
      </c>
      <c r="CZ90" s="62">
        <f t="shared" si="96"/>
        <v>220.4399811285175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68.960168596698978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68.960168596698978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490.96084572840579</v>
      </c>
      <c r="T91" s="62">
        <f t="shared" si="88"/>
        <v>597.91658789908263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196.68872757040549</v>
      </c>
      <c r="AA91" s="23">
        <f>EXP(-LN(2)/25)*AA90+(1-EXP(-LN(2)/25))/(LN(2)/25)*Calculateur!V91*Calculateur!X91*VLOOKUP('Données projet'!$B$9,Paramètres!$A$1:$I$89,3,0)*0.475*44/12</f>
        <v>38.843930569829105</v>
      </c>
      <c r="AB91" s="23">
        <f>EXP(-LN(2)/2)*AB90+(1-EXP(-LN(2)/2))/(LN(2)/2)*V91*Y91*VLOOKUP('Données projet'!$B$9,Paramètres!$A$1:$I$89,3,0)*0.475*44/12</f>
        <v>2.2414183105810996E-2</v>
      </c>
      <c r="AC91" s="24">
        <f t="shared" si="57"/>
        <v>235.5550723233404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projet'!$B$10,Paramètres!$A$1:$I$89,3,0)*VLOOKUP('Données projet'!$B$10,Paramètres!$A$1:$I$89,5,0)</f>
        <v>-1.064108801074326E-13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482.28841373508675</v>
      </c>
      <c r="AO91" s="62">
        <f t="shared" si="90"/>
        <v>746.97309214631684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277.90020763799174</v>
      </c>
      <c r="AV91" s="23">
        <f>EXP(-LN(2)/25)*AV90+(1-EXP(-LN(2)/25))/(LN(2)/25)*Calculateur!AQ91*Calculateur!AS91*VLOOKUP('Données projet'!$B$10,Paramètres!$A$1:$I$89,3,0)*0.475*44/12</f>
        <v>55.578620261289586</v>
      </c>
      <c r="AW91" s="23">
        <f>EXP(-LN(2)/2)*AW90+(1-EXP(-LN(2)/2))/(LN(2)/2)*AQ91*AT91*VLOOKUP('Données projet'!$B$10,Paramètres!$A$1:$I$89,3,0)*0.475*44/12</f>
        <v>1.2840119437678619</v>
      </c>
      <c r="AX91" s="23">
        <f t="shared" si="60"/>
        <v>334.76283984304916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2.2737367544323206E-13</v>
      </c>
      <c r="BE91" s="14">
        <f>BD91*VLOOKUP('Données projet'!$B$11,Paramètres!$A$1:$I$89,3,0)*VLOOKUP('Données projet'!$B$11,Paramètres!$A$1:$I$89,5,0)</f>
        <v>1.6671037883497774E-13</v>
      </c>
      <c r="BF91" s="14">
        <f t="shared" si="91"/>
        <v>2.3598166018346595E-12</v>
      </c>
      <c r="BG91" s="22">
        <f t="shared" si="61"/>
        <v>4.400367824666284E-12</v>
      </c>
      <c r="BH91" s="62">
        <f t="shared" si="62"/>
        <v>293.33333333333769</v>
      </c>
      <c r="BI91" s="62">
        <f ca="1">AVERAGE(OFFSET($BH$3,0,0,'Données projet'!$E$11+1,1))-AVERAGE(OFFSET($H$3,0,0,'Données projet'!$E$11+1,1))</f>
        <v>350.22629663422435</v>
      </c>
      <c r="BJ91" s="62">
        <f t="shared" si="92"/>
        <v>375.98044319336645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113.82889697842857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113.82889697842857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-4.5224624045658861E-14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248.15263300983543</v>
      </c>
      <c r="CE91" s="62">
        <f t="shared" si="94"/>
        <v>266.46511459244618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80.186116031521692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80.186116031521692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-3.813056537183002E-14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205.35893113421139</v>
      </c>
      <c r="CZ91" s="62">
        <f t="shared" si="96"/>
        <v>220.4399811285175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67.60790175206732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67.60790175206732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490.96084572840579</v>
      </c>
      <c r="T92" s="62">
        <f t="shared" si="88"/>
        <v>597.91658789908263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192.83178159102778</v>
      </c>
      <c r="AA92" s="23">
        <f>EXP(-LN(2)/25)*AA91+(1-EXP(-LN(2)/25))/(LN(2)/25)*Calculateur!V92*Calculateur!X92*VLOOKUP('Données projet'!$B$9,Paramètres!$A$1:$I$89,3,0)*0.475*44/12</f>
        <v>37.781741245683598</v>
      </c>
      <c r="AB92" s="23">
        <f>EXP(-LN(2)/2)*AB91+(1-EXP(-LN(2)/2))/(LN(2)/2)*V92*Y92*VLOOKUP('Données projet'!$B$9,Paramètres!$A$1:$I$89,3,0)*0.475*44/12</f>
        <v>1.5849220868875906E-2</v>
      </c>
      <c r="AC92" s="24">
        <f t="shared" si="57"/>
        <v>230.62937205758027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projet'!$B$10,Paramètres!$A$1:$I$89,3,0)*VLOOKUP('Données projet'!$B$10,Paramètres!$A$1:$I$89,5,0)</f>
        <v>-1.064108801074326E-13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482.28841373508675</v>
      </c>
      <c r="AO92" s="62">
        <f t="shared" si="90"/>
        <v>746.97309214631684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272.45075406860042</v>
      </c>
      <c r="AV92" s="23">
        <f>EXP(-LN(2)/25)*AV91+(1-EXP(-LN(2)/25))/(LN(2)/25)*Calculateur!AQ92*Calculateur!AS92*VLOOKUP('Données projet'!$B$10,Paramètres!$A$1:$I$89,3,0)*0.475*44/12</f>
        <v>54.058819967492006</v>
      </c>
      <c r="AW92" s="23">
        <f>EXP(-LN(2)/2)*AW91+(1-EXP(-LN(2)/2))/(LN(2)/2)*AQ92*AT92*VLOOKUP('Données projet'!$B$10,Paramètres!$A$1:$I$89,3,0)*0.475*44/12</f>
        <v>0.90793355256277508</v>
      </c>
      <c r="AX92" s="23">
        <f t="shared" si="60"/>
        <v>327.41750758865521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2.2737367544323206E-13</v>
      </c>
      <c r="BE92" s="14">
        <f>BD92*VLOOKUP('Données projet'!$B$11,Paramètres!$A$1:$I$89,3,0)*VLOOKUP('Données projet'!$B$11,Paramètres!$A$1:$I$89,5,0)</f>
        <v>1.6671037883497774E-13</v>
      </c>
      <c r="BF92" s="14">
        <f t="shared" si="91"/>
        <v>2.3598166018346595E-12</v>
      </c>
      <c r="BG92" s="22">
        <f t="shared" si="61"/>
        <v>4.400367824666284E-12</v>
      </c>
      <c r="BH92" s="62">
        <f t="shared" si="62"/>
        <v>293.33333333333769</v>
      </c>
      <c r="BI92" s="62">
        <f ca="1">AVERAGE(OFFSET($BH$3,0,0,'Données projet'!$E$11+1,1))-AVERAGE(OFFSET($H$3,0,0,'Données projet'!$E$11+1,1))</f>
        <v>350.22629663422435</v>
      </c>
      <c r="BJ92" s="62">
        <f t="shared" si="92"/>
        <v>375.98044319336645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111.59678173745323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111.59678173745323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-4.5224624045658861E-14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248.15263300983543</v>
      </c>
      <c r="CE92" s="62">
        <f t="shared" si="94"/>
        <v>266.46511459244618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78.613715204844993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78.613715204844993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-3.813056537183002E-14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205.35893113421139</v>
      </c>
      <c r="CZ92" s="62">
        <f t="shared" si="96"/>
        <v>220.4399811285175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66.282152035457557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66.282152035457557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490.96084572840579</v>
      </c>
      <c r="T93" s="62">
        <f t="shared" si="88"/>
        <v>597.91658789908263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189.05046796980091</v>
      </c>
      <c r="AA93" s="23">
        <f>EXP(-LN(2)/25)*AA92+(1-EXP(-LN(2)/25))/(LN(2)/25)*Calculateur!V93*Calculateur!X93*VLOOKUP('Données projet'!$B$9,Paramètres!$A$1:$I$89,3,0)*0.475*44/12</f>
        <v>36.748597544464957</v>
      </c>
      <c r="AB93" s="23">
        <f>EXP(-LN(2)/2)*AB92+(1-EXP(-LN(2)/2))/(LN(2)/2)*V93*Y93*VLOOKUP('Données projet'!$B$9,Paramètres!$A$1:$I$89,3,0)*0.475*44/12</f>
        <v>1.1207091552905498E-2</v>
      </c>
      <c r="AC93" s="24">
        <f t="shared" si="57"/>
        <v>225.81027260581877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projet'!$B$10,Paramètres!$A$1:$I$89,3,0)*VLOOKUP('Données projet'!$B$10,Paramètres!$A$1:$I$89,5,0)</f>
        <v>-1.064108801074326E-13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482.28841373508675</v>
      </c>
      <c r="AO93" s="62">
        <f t="shared" si="90"/>
        <v>746.97309214631684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267.10816095986638</v>
      </c>
      <c r="AV93" s="23">
        <f>EXP(-LN(2)/25)*AV92+(1-EXP(-LN(2)/25))/(LN(2)/25)*Calculateur!AQ93*Calculateur!AS93*VLOOKUP('Données projet'!$B$10,Paramètres!$A$1:$I$89,3,0)*0.475*44/12</f>
        <v>52.580578692651152</v>
      </c>
      <c r="AW93" s="23">
        <f>EXP(-LN(2)/2)*AW92+(1-EXP(-LN(2)/2))/(LN(2)/2)*AQ93*AT93*VLOOKUP('Données projet'!$B$10,Paramètres!$A$1:$I$89,3,0)*0.475*44/12</f>
        <v>0.64200597188393094</v>
      </c>
      <c r="AX93" s="23">
        <f t="shared" si="60"/>
        <v>320.33074562440146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2.2737367544323206E-13</v>
      </c>
      <c r="BE93" s="14">
        <f>BD93*VLOOKUP('Données projet'!$B$11,Paramètres!$A$1:$I$89,3,0)*VLOOKUP('Données projet'!$B$11,Paramètres!$A$1:$I$89,5,0)</f>
        <v>1.6671037883497774E-13</v>
      </c>
      <c r="BF93" s="14">
        <f t="shared" si="91"/>
        <v>2.3598166018346595E-12</v>
      </c>
      <c r="BG93" s="22">
        <f t="shared" si="61"/>
        <v>4.400367824666284E-12</v>
      </c>
      <c r="BH93" s="62">
        <f t="shared" si="62"/>
        <v>293.33333333333769</v>
      </c>
      <c r="BI93" s="62">
        <f ca="1">AVERAGE(OFFSET($BH$3,0,0,'Données projet'!$E$11+1,1))-AVERAGE(OFFSET($H$3,0,0,'Données projet'!$E$11+1,1))</f>
        <v>350.22629663422435</v>
      </c>
      <c r="BJ93" s="62">
        <f t="shared" si="92"/>
        <v>375.98044319336645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109.40843691489754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109.40843691489754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-4.5224624045658861E-14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248.15263300983543</v>
      </c>
      <c r="CE93" s="62">
        <f t="shared" si="94"/>
        <v>266.46511459244618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77.072148199309623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77.072148199309623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-3.813056537183002E-14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205.35893113421139</v>
      </c>
      <c r="CZ93" s="62">
        <f t="shared" si="96"/>
        <v>220.4399811285175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64.982399462163031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64.982399462163031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490.96084572840579</v>
      </c>
      <c r="T94" s="62">
        <f t="shared" si="88"/>
        <v>597.91658789908263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185.34330360231272</v>
      </c>
      <c r="AA94" s="23">
        <f>EXP(-LN(2)/25)*AA93+(1-EXP(-LN(2)/25))/(LN(2)/25)*Calculateur!V94*Calculateur!X94*VLOOKUP('Données projet'!$B$9,Paramètres!$A$1:$I$89,3,0)*0.475*44/12</f>
        <v>35.743705212086809</v>
      </c>
      <c r="AB94" s="23">
        <f>EXP(-LN(2)/2)*AB93+(1-EXP(-LN(2)/2))/(LN(2)/2)*V94*Y94*VLOOKUP('Données projet'!$B$9,Paramètres!$A$1:$I$89,3,0)*0.475*44/12</f>
        <v>7.924610434437953E-3</v>
      </c>
      <c r="AC94" s="24">
        <f t="shared" si="57"/>
        <v>221.09493342483395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-1.064108801074326E-13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482.28841373508675</v>
      </c>
      <c r="AO94" s="62">
        <f t="shared" si="90"/>
        <v>746.97309214631684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261.87033284333461</v>
      </c>
      <c r="AV94" s="23">
        <f>EXP(-LN(2)/25)*AV93+(1-EXP(-LN(2)/25))/(LN(2)/25)*Calculateur!AQ94*Calculateur!AS94*VLOOKUP('Données projet'!$B$10,Paramètres!$A$1:$I$89,3,0)*0.475*44/12</f>
        <v>51.142760003208146</v>
      </c>
      <c r="AW94" s="23">
        <f>EXP(-LN(2)/2)*AW93+(1-EXP(-LN(2)/2))/(LN(2)/2)*AQ94*AT94*VLOOKUP('Données projet'!$B$10,Paramètres!$A$1:$I$89,3,0)*0.475*44/12</f>
        <v>0.45396677628138754</v>
      </c>
      <c r="AX94" s="23">
        <f t="shared" si="60"/>
        <v>313.46705962282414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2.2737367544323206E-13</v>
      </c>
      <c r="BE94" s="14">
        <f>BD94*VLOOKUP('Données projet'!$B$11,Paramètres!$A$1:$I$89,3,0)*VLOOKUP('Données projet'!$B$11,Paramètres!$A$1:$I$89,5,0)</f>
        <v>1.6671037883497774E-13</v>
      </c>
      <c r="BF94" s="14">
        <f t="shared" si="91"/>
        <v>2.3598166018346595E-12</v>
      </c>
      <c r="BG94" s="22">
        <f t="shared" si="61"/>
        <v>4.400367824666284E-12</v>
      </c>
      <c r="BH94" s="62">
        <f t="shared" si="62"/>
        <v>293.33333333333769</v>
      </c>
      <c r="BI94" s="62">
        <f ca="1">AVERAGE(OFFSET($BH$3,0,0,'Données projet'!$E$11+1,1))-AVERAGE(OFFSET($H$3,0,0,'Données projet'!$E$11+1,1))</f>
        <v>350.22629663422435</v>
      </c>
      <c r="BJ94" s="62">
        <f t="shared" si="92"/>
        <v>375.98044319336645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107.26300419955362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107.26300419955362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-4.5224624045658861E-14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248.15263300983543</v>
      </c>
      <c r="CE94" s="62">
        <f t="shared" si="94"/>
        <v>266.46511459244618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75.560810382489777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75.560810382489777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-3.813056537183002E-14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205.35893113421139</v>
      </c>
      <c r="CZ94" s="62">
        <f t="shared" si="96"/>
        <v>220.4399811285175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63.70813424406002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63.70813424406002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490.96084572840579</v>
      </c>
      <c r="T95" s="62">
        <f t="shared" si="88"/>
        <v>597.91658789908263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181.70883446692397</v>
      </c>
      <c r="AA95" s="23">
        <f>EXP(-LN(2)/25)*AA94+(1-EXP(-LN(2)/25))/(LN(2)/25)*Calculateur!V95*Calculateur!X95*VLOOKUP('Données projet'!$B$9,Paramètres!$A$1:$I$89,3,0)*0.475*44/12</f>
        <v>34.766291713382529</v>
      </c>
      <c r="AB95" s="23">
        <f>EXP(-LN(2)/2)*AB94+(1-EXP(-LN(2)/2))/(LN(2)/2)*V95*Y95*VLOOKUP('Données projet'!$B$9,Paramètres!$A$1:$I$89,3,0)*0.475*44/12</f>
        <v>5.603545776452749E-3</v>
      </c>
      <c r="AC95" s="24">
        <f t="shared" si="57"/>
        <v>216.48072972608298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-1.064108801074326E-13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482.28841373508675</v>
      </c>
      <c r="AO95" s="62">
        <f t="shared" si="90"/>
        <v>746.97309214631684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256.73521534140832</v>
      </c>
      <c r="AV95" s="23">
        <f>EXP(-LN(2)/25)*AV94+(1-EXP(-LN(2)/25))/(LN(2)/25)*Calculateur!AQ95*Calculateur!AS95*VLOOKUP('Données projet'!$B$10,Paramètres!$A$1:$I$89,3,0)*0.475*44/12</f>
        <v>49.744258541439557</v>
      </c>
      <c r="AW95" s="23">
        <f>EXP(-LN(2)/2)*AW94+(1-EXP(-LN(2)/2))/(LN(2)/2)*AQ95*AT95*VLOOKUP('Données projet'!$B$10,Paramètres!$A$1:$I$89,3,0)*0.475*44/12</f>
        <v>0.32100298594196547</v>
      </c>
      <c r="AX95" s="23">
        <f t="shared" si="60"/>
        <v>306.80047686878981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2.2737367544323206E-13</v>
      </c>
      <c r="BE95" s="14">
        <f>BD95*VLOOKUP('Données projet'!$B$11,Paramètres!$A$1:$I$89,3,0)*VLOOKUP('Données projet'!$B$11,Paramètres!$A$1:$I$89,5,0)</f>
        <v>1.6671037883497774E-13</v>
      </c>
      <c r="BF95" s="14">
        <f t="shared" si="91"/>
        <v>2.3598166018346595E-12</v>
      </c>
      <c r="BG95" s="22">
        <f t="shared" si="61"/>
        <v>4.400367824666284E-12</v>
      </c>
      <c r="BH95" s="62">
        <f t="shared" si="62"/>
        <v>293.33333333333769</v>
      </c>
      <c r="BI95" s="62">
        <f ca="1">AVERAGE(OFFSET($BH$3,0,0,'Données projet'!$E$11+1,1))-AVERAGE(OFFSET($H$3,0,0,'Données projet'!$E$11+1,1))</f>
        <v>350.22629663422435</v>
      </c>
      <c r="BJ95" s="62">
        <f t="shared" si="92"/>
        <v>375.98044319336645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105.15964211117286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105.15964211117286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-4.5224624045658861E-14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248.15263300983543</v>
      </c>
      <c r="CE95" s="62">
        <f t="shared" si="94"/>
        <v>266.46511459244618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74.079108978432714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74.079108978432714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-3.813056537183002E-14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205.35893113421139</v>
      </c>
      <c r="CZ95" s="62">
        <f t="shared" si="96"/>
        <v>220.4399811285175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62.458856589658971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62.458856589658971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490.96084572840579</v>
      </c>
      <c r="T96" s="62">
        <f t="shared" si="88"/>
        <v>597.91658789908263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178.14563505447293</v>
      </c>
      <c r="AA96" s="23">
        <f>EXP(-LN(2)/25)*AA95+(1-EXP(-LN(2)/25))/(LN(2)/25)*Calculateur!V96*Calculateur!X96*VLOOKUP('Données projet'!$B$9,Paramètres!$A$1:$I$89,3,0)*0.475*44/12</f>
        <v>33.81560563820026</v>
      </c>
      <c r="AB96" s="23">
        <f>EXP(-LN(2)/2)*AB95+(1-EXP(-LN(2)/2))/(LN(2)/2)*V96*Y96*VLOOKUP('Données projet'!$B$9,Paramètres!$A$1:$I$89,3,0)*0.475*44/12</f>
        <v>3.9623052172189765E-3</v>
      </c>
      <c r="AC96" s="24">
        <f t="shared" si="57"/>
        <v>211.9652029978904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-1.064108801074326E-13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482.28841373508675</v>
      </c>
      <c r="AO96" s="62">
        <f t="shared" si="90"/>
        <v>746.97309214631684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251.70079436158238</v>
      </c>
      <c r="AV96" s="23">
        <f>EXP(-LN(2)/25)*AV95+(1-EXP(-LN(2)/25))/(LN(2)/25)*Calculateur!AQ96*Calculateur!AS96*VLOOKUP('Données projet'!$B$10,Paramètres!$A$1:$I$89,3,0)*0.475*44/12</f>
        <v>48.38399917568703</v>
      </c>
      <c r="AW96" s="23">
        <f>EXP(-LN(2)/2)*AW95+(1-EXP(-LN(2)/2))/(LN(2)/2)*AQ96*AT96*VLOOKUP('Données projet'!$B$10,Paramètres!$A$1:$I$89,3,0)*0.475*44/12</f>
        <v>0.22698338814069377</v>
      </c>
      <c r="AX96" s="23">
        <f t="shared" si="60"/>
        <v>300.31177692541013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2.2737367544323206E-13</v>
      </c>
      <c r="BE96" s="14">
        <f>BD96*VLOOKUP('Données projet'!$B$11,Paramètres!$A$1:$I$89,3,0)*VLOOKUP('Données projet'!$B$11,Paramètres!$A$1:$I$89,5,0)</f>
        <v>1.6671037883497774E-13</v>
      </c>
      <c r="BF96" s="14">
        <f t="shared" si="91"/>
        <v>2.3598166018346595E-12</v>
      </c>
      <c r="BG96" s="22">
        <f t="shared" si="61"/>
        <v>4.400367824666284E-12</v>
      </c>
      <c r="BH96" s="62">
        <f t="shared" si="62"/>
        <v>293.33333333333769</v>
      </c>
      <c r="BI96" s="62">
        <f ca="1">AVERAGE(OFFSET($BH$3,0,0,'Données projet'!$E$11+1,1))-AVERAGE(OFFSET($H$3,0,0,'Données projet'!$E$11+1,1))</f>
        <v>350.22629663422435</v>
      </c>
      <c r="BJ96" s="62">
        <f t="shared" si="92"/>
        <v>375.98044319336645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103.09752567042105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103.09752567042105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-4.5224624045658861E-14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248.15263300983543</v>
      </c>
      <c r="CE96" s="62">
        <f t="shared" si="94"/>
        <v>266.46511459244618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72.626462835160595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72.626462835160595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-3.813056537183002E-14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205.35893113421139</v>
      </c>
      <c r="CZ96" s="62">
        <f t="shared" si="96"/>
        <v>220.4399811285175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61.234076508076598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61.234076508076598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490.96084572840579</v>
      </c>
      <c r="T97" s="62">
        <f t="shared" si="88"/>
        <v>597.91658789908263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174.65230780916301</v>
      </c>
      <c r="AA97" s="23">
        <f>EXP(-LN(2)/25)*AA96+(1-EXP(-LN(2)/25))/(LN(2)/25)*Calculateur!V97*Calculateur!X97*VLOOKUP('Données projet'!$B$9,Paramètres!$A$1:$I$89,3,0)*0.475*44/12</f>
        <v>32.890916123738258</v>
      </c>
      <c r="AB97" s="23">
        <f>EXP(-LN(2)/2)*AB96+(1-EXP(-LN(2)/2))/(LN(2)/2)*V97*Y97*VLOOKUP('Données projet'!$B$9,Paramètres!$A$1:$I$89,3,0)*0.475*44/12</f>
        <v>2.8017728882263745E-3</v>
      </c>
      <c r="AC97" s="24">
        <f t="shared" si="57"/>
        <v>207.5460257057895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-1.064108801074326E-13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482.28841373508675</v>
      </c>
      <c r="AO97" s="62">
        <f t="shared" si="90"/>
        <v>746.97309214631684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246.76509530647724</v>
      </c>
      <c r="AV97" s="23">
        <f>EXP(-LN(2)/25)*AV96+(1-EXP(-LN(2)/25))/(LN(2)/25)*Calculateur!AQ97*Calculateur!AS97*VLOOKUP('Données projet'!$B$10,Paramètres!$A$1:$I$89,3,0)*0.475*44/12</f>
        <v>47.060936173823933</v>
      </c>
      <c r="AW97" s="23">
        <f>EXP(-LN(2)/2)*AW96+(1-EXP(-LN(2)/2))/(LN(2)/2)*AQ97*AT97*VLOOKUP('Données projet'!$B$10,Paramètres!$A$1:$I$89,3,0)*0.475*44/12</f>
        <v>0.16050149297098273</v>
      </c>
      <c r="AX97" s="23">
        <f t="shared" si="60"/>
        <v>293.98653297327212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2.2737367544323206E-13</v>
      </c>
      <c r="BE97" s="14">
        <f>BD97*VLOOKUP('Données projet'!$B$11,Paramètres!$A$1:$I$89,3,0)*VLOOKUP('Données projet'!$B$11,Paramètres!$A$1:$I$89,5,0)</f>
        <v>1.6671037883497774E-13</v>
      </c>
      <c r="BF97" s="14">
        <f t="shared" si="91"/>
        <v>2.3598166018346595E-12</v>
      </c>
      <c r="BG97" s="22">
        <f t="shared" si="61"/>
        <v>4.400367824666284E-12</v>
      </c>
      <c r="BH97" s="62">
        <f t="shared" si="62"/>
        <v>293.33333333333769</v>
      </c>
      <c r="BI97" s="62">
        <f ca="1">AVERAGE(OFFSET($BH$3,0,0,'Données projet'!$E$11+1,1))-AVERAGE(OFFSET($H$3,0,0,'Données projet'!$E$11+1,1))</f>
        <v>350.22629663422435</v>
      </c>
      <c r="BJ97" s="62">
        <f t="shared" si="92"/>
        <v>375.98044319336645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101.07584607530555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101.07584607530555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-4.5224624045658861E-14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248.15263300983543</v>
      </c>
      <c r="CE97" s="62">
        <f t="shared" si="94"/>
        <v>266.46511459244618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71.202302196731381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71.202302196731381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-3.813056537183002E-14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205.35893113421139</v>
      </c>
      <c r="CZ97" s="62">
        <f t="shared" si="96"/>
        <v>220.4399811285175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60.03331361685197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60.03331361685197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490.96084572840579</v>
      </c>
      <c r="T98" s="62">
        <f t="shared" si="88"/>
        <v>597.91658789908263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171.22748258041437</v>
      </c>
      <c r="AA98" s="23">
        <f>EXP(-LN(2)/25)*AA97+(1-EXP(-LN(2)/25))/(LN(2)/25)*Calculateur!V98*Calculateur!X98*VLOOKUP('Données projet'!$B$9,Paramètres!$A$1:$I$89,3,0)*0.475*44/12</f>
        <v>31.991512292676529</v>
      </c>
      <c r="AB98" s="23">
        <f>EXP(-LN(2)/2)*AB97+(1-EXP(-LN(2)/2))/(LN(2)/2)*V98*Y98*VLOOKUP('Données projet'!$B$9,Paramètres!$A$1:$I$89,3,0)*0.475*44/12</f>
        <v>1.9811526086094882E-3</v>
      </c>
      <c r="AC98" s="24">
        <f t="shared" si="57"/>
        <v>203.22097602569951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-1.064108801074326E-13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482.28841373508675</v>
      </c>
      <c r="AO98" s="62">
        <f t="shared" si="90"/>
        <v>746.97309214631684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241.92618229936355</v>
      </c>
      <c r="AV98" s="23">
        <f>EXP(-LN(2)/25)*AV97+(1-EXP(-LN(2)/25))/(LN(2)/25)*Calculateur!AQ98*Calculateur!AS98*VLOOKUP('Données projet'!$B$10,Paramètres!$A$1:$I$89,3,0)*0.475*44/12</f>
        <v>45.774052399323644</v>
      </c>
      <c r="AW98" s="23">
        <f>EXP(-LN(2)/2)*AW97+(1-EXP(-LN(2)/2))/(LN(2)/2)*AQ98*AT98*VLOOKUP('Données projet'!$B$10,Paramètres!$A$1:$I$89,3,0)*0.475*44/12</f>
        <v>0.11349169407034689</v>
      </c>
      <c r="AX98" s="23">
        <f t="shared" si="60"/>
        <v>287.81372639275753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2.2737367544323206E-13</v>
      </c>
      <c r="BE98" s="14">
        <f>BD98*VLOOKUP('Données projet'!$B$11,Paramètres!$A$1:$I$89,3,0)*VLOOKUP('Données projet'!$B$11,Paramètres!$A$1:$I$89,5,0)</f>
        <v>1.6671037883497774E-13</v>
      </c>
      <c r="BF98" s="14">
        <f t="shared" si="91"/>
        <v>2.3598166018346595E-12</v>
      </c>
      <c r="BG98" s="22">
        <f t="shared" si="61"/>
        <v>4.400367824666284E-12</v>
      </c>
      <c r="BH98" s="62">
        <f t="shared" si="62"/>
        <v>293.33333333333769</v>
      </c>
      <c r="BI98" s="62">
        <f ca="1">AVERAGE(OFFSET($BH$3,0,0,'Données projet'!$E$11+1,1))-AVERAGE(OFFSET($H$3,0,0,'Données projet'!$E$11+1,1))</f>
        <v>350.22629663422435</v>
      </c>
      <c r="BJ98" s="62">
        <f t="shared" si="92"/>
        <v>375.98044319336645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99.093810383947456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99.093810383947456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-4.5224624045658861E-14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248.15263300983543</v>
      </c>
      <c r="CE98" s="62">
        <f t="shared" si="94"/>
        <v>266.46511459244618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69.80606847976955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69.80606847976955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-3.813056537183002E-14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205.35893113421139</v>
      </c>
      <c r="CZ98" s="62">
        <f t="shared" si="96"/>
        <v>220.4399811285175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58.856096953531207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58.856096953531207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490.96084572840579</v>
      </c>
      <c r="T99" s="62">
        <f t="shared" si="88"/>
        <v>597.91658789908263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167.86981608546438</v>
      </c>
      <c r="AA99" s="23">
        <f>EXP(-LN(2)/25)*AA98+(1-EXP(-LN(2)/25))/(LN(2)/25)*Calculateur!V99*Calculateur!X99*VLOOKUP('Données projet'!$B$9,Paramètres!$A$1:$I$89,3,0)*0.475*44/12</f>
        <v>31.116702706672775</v>
      </c>
      <c r="AB99" s="23">
        <f>EXP(-LN(2)/2)*AB98+(1-EXP(-LN(2)/2))/(LN(2)/2)*V99*Y99*VLOOKUP('Données projet'!$B$9,Paramètres!$A$1:$I$89,3,0)*0.475*44/12</f>
        <v>1.4008864441131873E-3</v>
      </c>
      <c r="AC99" s="24">
        <f t="shared" si="57"/>
        <v>198.98791967858128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-1.064108801074326E-13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482.28841373508675</v>
      </c>
      <c r="AO99" s="62">
        <f t="shared" si="90"/>
        <v>746.97309214631684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237.18215742487385</v>
      </c>
      <c r="AV99" s="23">
        <f>EXP(-LN(2)/25)*AV98+(1-EXP(-LN(2)/25))/(LN(2)/25)*Calculateur!AQ99*Calculateur!AS99*VLOOKUP('Données projet'!$B$10,Paramètres!$A$1:$I$89,3,0)*0.475*44/12</f>
        <v>44.52235852931134</v>
      </c>
      <c r="AW99" s="23">
        <f>EXP(-LN(2)/2)*AW98+(1-EXP(-LN(2)/2))/(LN(2)/2)*AQ99*AT99*VLOOKUP('Données projet'!$B$10,Paramètres!$A$1:$I$89,3,0)*0.475*44/12</f>
        <v>8.0250746485491367E-2</v>
      </c>
      <c r="AX99" s="23">
        <f t="shared" si="60"/>
        <v>281.78476670067067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2.2737367544323206E-13</v>
      </c>
      <c r="BE99" s="14">
        <f>BD99*VLOOKUP('Données projet'!$B$11,Paramètres!$A$1:$I$89,3,0)*VLOOKUP('Données projet'!$B$11,Paramètres!$A$1:$I$89,5,0)</f>
        <v>1.6671037883497774E-13</v>
      </c>
      <c r="BF99" s="14">
        <f t="shared" si="91"/>
        <v>2.3598166018346595E-12</v>
      </c>
      <c r="BG99" s="22">
        <f t="shared" si="61"/>
        <v>4.400367824666284E-12</v>
      </c>
      <c r="BH99" s="62">
        <f t="shared" si="62"/>
        <v>293.33333333333769</v>
      </c>
      <c r="BI99" s="62">
        <f ca="1">AVERAGE(OFFSET($BH$3,0,0,'Données projet'!$E$11+1,1))-AVERAGE(OFFSET($H$3,0,0,'Données projet'!$E$11+1,1))</f>
        <v>350.22629663422435</v>
      </c>
      <c r="BJ99" s="62">
        <f t="shared" si="92"/>
        <v>375.98044319336645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97.150641203574509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97.150641203574509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-4.5224624045658861E-14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248.15263300983543</v>
      </c>
      <c r="CE99" s="62">
        <f t="shared" si="94"/>
        <v>266.46511459244618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68.43721405437887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68.43721405437887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-3.813056537183002E-14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205.35893113421139</v>
      </c>
      <c r="CZ99" s="62">
        <f t="shared" si="96"/>
        <v>220.4399811285175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57.701964790946903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57.701964790946903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490.96084572840579</v>
      </c>
      <c r="T100" s="62">
        <f t="shared" si="88"/>
        <v>597.91658789908263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164.57799138250601</v>
      </c>
      <c r="AA100" s="23">
        <f>EXP(-LN(2)/25)*AA99+(1-EXP(-LN(2)/25))/(LN(2)/25)*Calculateur!V100*Calculateur!X100*VLOOKUP('Données projet'!$B$9,Paramètres!$A$1:$I$89,3,0)*0.475*44/12</f>
        <v>30.26581483480253</v>
      </c>
      <c r="AB100" s="23">
        <f>EXP(-LN(2)/2)*AB99+(1-EXP(-LN(2)/2))/(LN(2)/2)*V100*Y100*VLOOKUP('Données projet'!$B$9,Paramètres!$A$1:$I$89,3,0)*0.475*44/12</f>
        <v>9.9057630430474412E-4</v>
      </c>
      <c r="AC100" s="24">
        <f t="shared" si="57"/>
        <v>194.84479679361286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-1.064108801074326E-13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482.28841373508675</v>
      </c>
      <c r="AO100" s="62">
        <f t="shared" si="90"/>
        <v>746.97309214631684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232.53115998460345</v>
      </c>
      <c r="AV100" s="23">
        <f>EXP(-LN(2)/25)*AV99+(1-EXP(-LN(2)/25))/(LN(2)/25)*Calculateur!AQ100*Calculateur!AS100*VLOOKUP('Données projet'!$B$10,Paramètres!$A$1:$I$89,3,0)*0.475*44/12</f>
        <v>43.304892293998243</v>
      </c>
      <c r="AW100" s="23">
        <f>EXP(-LN(2)/2)*AW99+(1-EXP(-LN(2)/2))/(LN(2)/2)*AQ100*AT100*VLOOKUP('Données projet'!$B$10,Paramètres!$A$1:$I$89,3,0)*0.475*44/12</f>
        <v>5.6745847035173443E-2</v>
      </c>
      <c r="AX100" s="23">
        <f t="shared" si="60"/>
        <v>275.89279812563689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2.2737367544323206E-13</v>
      </c>
      <c r="BE100" s="14">
        <f>BD100*VLOOKUP('Données projet'!$B$11,Paramètres!$A$1:$I$89,3,0)*VLOOKUP('Données projet'!$B$11,Paramètres!$A$1:$I$89,5,0)</f>
        <v>1.6671037883497774E-13</v>
      </c>
      <c r="BF100" s="14">
        <f t="shared" si="91"/>
        <v>2.3598166018346595E-12</v>
      </c>
      <c r="BG100" s="22">
        <f t="shared" si="61"/>
        <v>4.400367824666284E-12</v>
      </c>
      <c r="BH100" s="62">
        <f t="shared" si="62"/>
        <v>293.33333333333769</v>
      </c>
      <c r="BI100" s="62">
        <f ca="1">AVERAGE(OFFSET($BH$3,0,0,'Données projet'!$E$11+1,1))-AVERAGE(OFFSET($H$3,0,0,'Données projet'!$E$11+1,1))</f>
        <v>350.22629663422435</v>
      </c>
      <c r="BJ100" s="62">
        <f t="shared" si="92"/>
        <v>375.98044319336645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95.245576385612495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95.245576385612495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-4.5224624045658861E-14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248.15263300983543</v>
      </c>
      <c r="CE100" s="62">
        <f t="shared" si="94"/>
        <v>266.46511459244618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67.095202029351341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67.095202029351341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-3.813056537183002E-14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205.35893113421139</v>
      </c>
      <c r="CZ100" s="62">
        <f t="shared" si="96"/>
        <v>220.4399811285175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56.570464456119765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56.570464456119765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490.96084572840579</v>
      </c>
      <c r="T101" s="62">
        <f t="shared" si="88"/>
        <v>597.91658789908263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161.35071735415784</v>
      </c>
      <c r="AA101" s="23">
        <f>EXP(-LN(2)/25)*AA100+(1-EXP(-LN(2)/25))/(LN(2)/25)*Calculateur!V101*Calculateur!X101*VLOOKUP('Données projet'!$B$9,Paramètres!$A$1:$I$89,3,0)*0.475*44/12</f>
        <v>29.438194536534827</v>
      </c>
      <c r="AB101" s="23">
        <f>EXP(-LN(2)/2)*AB100+(1-EXP(-LN(2)/2))/(LN(2)/2)*V101*Y101*VLOOKUP('Données projet'!$B$9,Paramètres!$A$1:$I$89,3,0)*0.475*44/12</f>
        <v>7.0044322205659363E-4</v>
      </c>
      <c r="AC101" s="24">
        <f t="shared" si="57"/>
        <v>190.78961233391473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-1.064108801074326E-13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482.28841373508675</v>
      </c>
      <c r="AO101" s="62">
        <f t="shared" si="90"/>
        <v>746.97309214631684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227.97136576730841</v>
      </c>
      <c r="AV101" s="23">
        <f>EXP(-LN(2)/25)*AV100+(1-EXP(-LN(2)/25))/(LN(2)/25)*Calculateur!AQ101*Calculateur!AS101*VLOOKUP('Données projet'!$B$10,Paramètres!$A$1:$I$89,3,0)*0.475*44/12</f>
        <v>42.120717736913548</v>
      </c>
      <c r="AW101" s="23">
        <f>EXP(-LN(2)/2)*AW100+(1-EXP(-LN(2)/2))/(LN(2)/2)*AQ101*AT101*VLOOKUP('Données projet'!$B$10,Paramètres!$A$1:$I$89,3,0)*0.475*44/12</f>
        <v>4.0125373242745684E-2</v>
      </c>
      <c r="AX101" s="23">
        <f t="shared" si="60"/>
        <v>270.13220887746468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2.2737367544323206E-13</v>
      </c>
      <c r="BE101" s="14">
        <f>BD101*VLOOKUP('Données projet'!$B$11,Paramètres!$A$1:$I$89,3,0)*VLOOKUP('Données projet'!$B$11,Paramètres!$A$1:$I$89,5,0)</f>
        <v>1.6671037883497774E-13</v>
      </c>
      <c r="BF101" s="14">
        <f t="shared" si="91"/>
        <v>2.3598166018346595E-12</v>
      </c>
      <c r="BG101" s="22">
        <f t="shared" si="61"/>
        <v>4.400367824666284E-12</v>
      </c>
      <c r="BH101" s="62">
        <f t="shared" si="62"/>
        <v>293.33333333333769</v>
      </c>
      <c r="BI101" s="62">
        <f ca="1">AVERAGE(OFFSET($BH$3,0,0,'Données projet'!$E$11+1,1))-AVERAGE(OFFSET($H$3,0,0,'Données projet'!$E$11+1,1))</f>
        <v>350.22629663422435</v>
      </c>
      <c r="BJ101" s="62">
        <f t="shared" si="92"/>
        <v>375.98044319336645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93.377868726755921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93.377868726755921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-4.5224624045658861E-14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248.15263300983543</v>
      </c>
      <c r="CE101" s="62">
        <f t="shared" si="94"/>
        <v>266.46511459244618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65.779506041588093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65.779506041588093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-3.813056537183002E-14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205.35893113421139</v>
      </c>
      <c r="CZ101" s="62">
        <f t="shared" si="96"/>
        <v>220.4399811285175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55.461152152711534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55.461152152711534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490.96084572840579</v>
      </c>
      <c r="T102" s="62">
        <f t="shared" si="88"/>
        <v>597.91658789908263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158.18672820106278</v>
      </c>
      <c r="AA102" s="23">
        <f>EXP(-LN(2)/25)*AA101+(1-EXP(-LN(2)/25))/(LN(2)/25)*Calculateur!V102*Calculateur!X102*VLOOKUP('Données projet'!$B$9,Paramètres!$A$1:$I$89,3,0)*0.475*44/12</f>
        <v>28.633205558845912</v>
      </c>
      <c r="AB102" s="23">
        <f>EXP(-LN(2)/2)*AB101+(1-EXP(-LN(2)/2))/(LN(2)/2)*V102*Y102*VLOOKUP('Données projet'!$B$9,Paramètres!$A$1:$I$89,3,0)*0.475*44/12</f>
        <v>4.9528815215237206E-4</v>
      </c>
      <c r="AC102" s="24">
        <f t="shared" si="57"/>
        <v>186.82042904806084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-1.064108801074326E-13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482.28841373508675</v>
      </c>
      <c r="AO102" s="62">
        <f t="shared" si="90"/>
        <v>746.97309214631684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223.50098633341469</v>
      </c>
      <c r="AV102" s="23">
        <f>EXP(-LN(2)/25)*AV101+(1-EXP(-LN(2)/25))/(LN(2)/25)*Calculateur!AQ102*Calculateur!AS102*VLOOKUP('Données projet'!$B$10,Paramètres!$A$1:$I$89,3,0)*0.475*44/12</f>
        <v>40.968924495365371</v>
      </c>
      <c r="AW102" s="23">
        <f>EXP(-LN(2)/2)*AW101+(1-EXP(-LN(2)/2))/(LN(2)/2)*AQ102*AT102*VLOOKUP('Données projet'!$B$10,Paramètres!$A$1:$I$89,3,0)*0.475*44/12</f>
        <v>2.8372923517586721E-2</v>
      </c>
      <c r="AX102" s="23">
        <f t="shared" si="60"/>
        <v>264.4982837522976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2.2737367544323206E-13</v>
      </c>
      <c r="BE102" s="14">
        <f>BD102*VLOOKUP('Données projet'!$B$11,Paramètres!$A$1:$I$89,3,0)*VLOOKUP('Données projet'!$B$11,Paramètres!$A$1:$I$89,5,0)</f>
        <v>1.6671037883497774E-13</v>
      </c>
      <c r="BF102" s="14">
        <f t="shared" si="91"/>
        <v>2.3598166018346595E-12</v>
      </c>
      <c r="BG102" s="22">
        <f t="shared" si="61"/>
        <v>4.400367824666284E-12</v>
      </c>
      <c r="BH102" s="62">
        <f t="shared" si="62"/>
        <v>293.33333333333769</v>
      </c>
      <c r="BI102" s="62">
        <f ca="1">AVERAGE(OFFSET($BH$3,0,0,'Données projet'!$E$11+1,1))-AVERAGE(OFFSET($H$3,0,0,'Données projet'!$E$11+1,1))</f>
        <v>350.22629663422435</v>
      </c>
      <c r="BJ102" s="62">
        <f t="shared" si="92"/>
        <v>375.98044319336645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91.546785675900338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91.546785675900338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-4.5224624045658861E-14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248.15263300983543</v>
      </c>
      <c r="CE102" s="62">
        <f t="shared" si="94"/>
        <v>266.46511459244618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64.489610049649556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64.489610049649556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-3.813056537183002E-14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205.35893113421139</v>
      </c>
      <c r="CZ102" s="62">
        <f t="shared" si="96"/>
        <v>220.4399811285175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54.373592786959442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54.373592786959442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490.96084572840579</v>
      </c>
      <c r="T103" s="62">
        <f t="shared" si="88"/>
        <v>597.91658789908263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155.08478294541709</v>
      </c>
      <c r="AA103" s="23">
        <f>EXP(-LN(2)/25)*AA102+(1-EXP(-LN(2)/25))/(LN(2)/25)*Calculateur!V103*Calculateur!X103*VLOOKUP('Données projet'!$B$9,Paramètres!$A$1:$I$89,3,0)*0.475*44/12</f>
        <v>27.850229047084433</v>
      </c>
      <c r="AB103" s="23">
        <f>EXP(-LN(2)/2)*AB102+(1-EXP(-LN(2)/2))/(LN(2)/2)*V103*Y103*VLOOKUP('Données projet'!$B$9,Paramètres!$A$1:$I$89,3,0)*0.475*44/12</f>
        <v>3.5022161102829681E-4</v>
      </c>
      <c r="AC103" s="24">
        <f t="shared" si="57"/>
        <v>182.93536221411256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482.28841373508675</v>
      </c>
      <c r="AO103" s="62">
        <f t="shared" si="90"/>
        <v>746.97309214631684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219.11826831355739</v>
      </c>
      <c r="AV103" s="23">
        <f>EXP(-LN(2)/25)*AV102+(1-EXP(-LN(2)/25))/(LN(2)/25)*Calculateur!AQ103*Calculateur!AS103*VLOOKUP('Données projet'!$B$10,Paramètres!$A$1:$I$89,3,0)*0.475*44/12</f>
        <v>39.848627100577502</v>
      </c>
      <c r="AW103" s="23">
        <f>EXP(-LN(2)/2)*AW102+(1-EXP(-LN(2)/2))/(LN(2)/2)*AQ103*AT103*VLOOKUP('Données projet'!$B$10,Paramètres!$A$1:$I$89,3,0)*0.475*44/12</f>
        <v>2.0062686621372842E-2</v>
      </c>
      <c r="AX103" s="23">
        <f t="shared" si="60"/>
        <v>258.98695810075628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2.2737367544323206E-13</v>
      </c>
      <c r="BE103" s="14">
        <f>BD103*VLOOKUP('Données projet'!$B$11,Paramètres!$A$1:$I$89,3,0)*VLOOKUP('Données projet'!$B$11,Paramètres!$A$1:$I$89,5,0)</f>
        <v>1.6671037883497774E-13</v>
      </c>
      <c r="BF103" s="14">
        <f t="shared" si="91"/>
        <v>2.3598166018346595E-12</v>
      </c>
      <c r="BG103" s="22">
        <f t="shared" si="61"/>
        <v>4.400367824666284E-12</v>
      </c>
      <c r="BH103" s="62">
        <f t="shared" si="62"/>
        <v>293.33333333333769</v>
      </c>
      <c r="BI103" s="62">
        <f ca="1">AVERAGE(OFFSET($BH$3,0,0,'Données projet'!$E$11+1,1))-AVERAGE(OFFSET($H$3,0,0,'Données projet'!$E$11+1,1))</f>
        <v>350.22629663422435</v>
      </c>
      <c r="BJ103" s="62">
        <f t="shared" si="92"/>
        <v>375.98044319336645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89.751609046821642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89.751609046821642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-4.5224624045658861E-14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248.15263300983543</v>
      </c>
      <c r="CE103" s="62">
        <f t="shared" si="94"/>
        <v>266.46511459244618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63.225008131354073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63.225008131354073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-3.813056537183002E-14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205.35893113421139</v>
      </c>
      <c r="CZ103" s="62">
        <f t="shared" si="96"/>
        <v>220.4399811285175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53.307359797024034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53.307359797024034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490.96084572840579</v>
      </c>
      <c r="T104" s="62">
        <f t="shared" si="88"/>
        <v>597.91658789908263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152.04366494423485</v>
      </c>
      <c r="AA104" s="23">
        <f>EXP(-LN(2)/25)*AA103+(1-EXP(-LN(2)/25))/(LN(2)/25)*Calculateur!V104*Calculateur!X104*VLOOKUP('Données projet'!$B$9,Paramètres!$A$1:$I$89,3,0)*0.475*44/12</f>
        <v>27.088663069212018</v>
      </c>
      <c r="AB104" s="23">
        <f>EXP(-LN(2)/2)*AB103+(1-EXP(-LN(2)/2))/(LN(2)/2)*V104*Y104*VLOOKUP('Données projet'!$B$9,Paramètres!$A$1:$I$89,3,0)*0.475*44/12</f>
        <v>2.4764407607618603E-4</v>
      </c>
      <c r="AC104" s="24">
        <f t="shared" si="57"/>
        <v>179.13257565752292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482.28841373508675</v>
      </c>
      <c r="AO104" s="62">
        <f t="shared" si="90"/>
        <v>746.97309214631684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214.82149272087545</v>
      </c>
      <c r="AV104" s="23">
        <f>EXP(-LN(2)/25)*AV103+(1-EXP(-LN(2)/25))/(LN(2)/25)*Calculateur!AQ104*Calculateur!AS104*VLOOKUP('Données projet'!$B$10,Paramètres!$A$1:$I$89,3,0)*0.475*44/12</f>
        <v>38.758964296963988</v>
      </c>
      <c r="AW104" s="23">
        <f>EXP(-LN(2)/2)*AW103+(1-EXP(-LN(2)/2))/(LN(2)/2)*AQ104*AT104*VLOOKUP('Données projet'!$B$10,Paramètres!$A$1:$I$89,3,0)*0.475*44/12</f>
        <v>1.4186461758793361E-2</v>
      </c>
      <c r="AX104" s="23">
        <f t="shared" si="60"/>
        <v>253.59464347959823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2.2737367544323206E-13</v>
      </c>
      <c r="BE104" s="14">
        <f>BD104*VLOOKUP('Données projet'!$B$11,Paramètres!$A$1:$I$89,3,0)*VLOOKUP('Données projet'!$B$11,Paramètres!$A$1:$I$89,5,0)</f>
        <v>1.6671037883497774E-13</v>
      </c>
      <c r="BF104" s="14">
        <f t="shared" si="91"/>
        <v>2.3598166018346595E-12</v>
      </c>
      <c r="BG104" s="22">
        <f t="shared" si="61"/>
        <v>4.400367824666284E-12</v>
      </c>
      <c r="BH104" s="62">
        <f t="shared" si="62"/>
        <v>293.33333333333769</v>
      </c>
      <c r="BI104" s="62">
        <f ca="1">AVERAGE(OFFSET($BH$3,0,0,'Données projet'!$E$11+1,1))-AVERAGE(OFFSET($H$3,0,0,'Données projet'!$E$11+1,1))</f>
        <v>350.22629663422435</v>
      </c>
      <c r="BJ104" s="62">
        <f t="shared" si="92"/>
        <v>375.98044319336645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87.991634736489559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87.991634736489559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-4.5224624045658861E-14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248.15263300983543</v>
      </c>
      <c r="CE104" s="62">
        <f t="shared" si="94"/>
        <v>266.46511459244618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61.985204285345354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61.985204285345354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-3.813056537183002E-14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205.35893113421139</v>
      </c>
      <c r="CZ104" s="62">
        <f t="shared" si="96"/>
        <v>220.4399811285175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52.26203498568335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52.26203498568335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490.96084572840579</v>
      </c>
      <c r="T105" s="62">
        <f t="shared" si="88"/>
        <v>597.91658789908263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149.06218141215695</v>
      </c>
      <c r="AA105" s="23">
        <f>EXP(-LN(2)/25)*AA104+(1-EXP(-LN(2)/25))/(LN(2)/25)*Calculateur!V105*Calculateur!X105*VLOOKUP('Données projet'!$B$9,Paramètres!$A$1:$I$89,3,0)*0.475*44/12</f>
        <v>26.347922153053535</v>
      </c>
      <c r="AB105" s="23">
        <f>EXP(-LN(2)/2)*AB104+(1-EXP(-LN(2)/2))/(LN(2)/2)*V105*Y105*VLOOKUP('Données projet'!$B$9,Paramètres!$A$1:$I$89,3,0)*0.475*44/12</f>
        <v>1.7511080551414841E-4</v>
      </c>
      <c r="AC105" s="24">
        <f t="shared" si="57"/>
        <v>175.41027867601599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482.28841373508675</v>
      </c>
      <c r="AO105" s="62">
        <f t="shared" si="90"/>
        <v>746.97309214631684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210.60897427679168</v>
      </c>
      <c r="AV105" s="23">
        <f>EXP(-LN(2)/25)*AV104+(1-EXP(-LN(2)/25))/(LN(2)/25)*Calculateur!AQ105*Calculateur!AS105*VLOOKUP('Données projet'!$B$10,Paramètres!$A$1:$I$89,3,0)*0.475*44/12</f>
        <v>37.699098380018164</v>
      </c>
      <c r="AW105" s="23">
        <f>EXP(-LN(2)/2)*AW104+(1-EXP(-LN(2)/2))/(LN(2)/2)*AQ105*AT105*VLOOKUP('Données projet'!$B$10,Paramètres!$A$1:$I$89,3,0)*0.475*44/12</f>
        <v>1.0031343310686421E-2</v>
      </c>
      <c r="AX105" s="23">
        <f t="shared" si="60"/>
        <v>248.31810400012054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2.2737367544323206E-13</v>
      </c>
      <c r="BE105" s="14">
        <f>BD105*VLOOKUP('Données projet'!$B$11,Paramètres!$A$1:$I$89,3,0)*VLOOKUP('Données projet'!$B$11,Paramètres!$A$1:$I$89,5,0)</f>
        <v>1.6671037883497774E-13</v>
      </c>
      <c r="BF105" s="14">
        <f t="shared" si="91"/>
        <v>2.3598166018346595E-12</v>
      </c>
      <c r="BG105" s="22">
        <f t="shared" si="61"/>
        <v>4.400367824666284E-12</v>
      </c>
      <c r="BH105" s="62">
        <f t="shared" si="62"/>
        <v>293.33333333333769</v>
      </c>
      <c r="BI105" s="62">
        <f ca="1">AVERAGE(OFFSET($BH$3,0,0,'Données projet'!$E$11+1,1))-AVERAGE(OFFSET($H$3,0,0,'Données projet'!$E$11+1,1))</f>
        <v>350.22629663422435</v>
      </c>
      <c r="BJ105" s="62">
        <f t="shared" si="92"/>
        <v>375.98044319336645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86.266172448904754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86.266172448904754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-4.5224624045658861E-14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248.15263300983543</v>
      </c>
      <c r="CE105" s="62">
        <f t="shared" si="94"/>
        <v>266.46511459244618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60.769712236551193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60.769712236551193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-3.813056537183002E-14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205.35893113421139</v>
      </c>
      <c r="CZ105" s="62">
        <f t="shared" si="96"/>
        <v>220.4399811285175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51.237208356307882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51.237208356307882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490.96084572840579</v>
      </c>
      <c r="T106" s="62">
        <f t="shared" si="88"/>
        <v>597.91658789908263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146.1391629536177</v>
      </c>
      <c r="AA106" s="23">
        <f>EXP(-LN(2)/25)*AA105+(1-EXP(-LN(2)/25))/(LN(2)/25)*Calculateur!V106*Calculateur!X106*VLOOKUP('Données projet'!$B$9,Paramètres!$A$1:$I$89,3,0)*0.475*44/12</f>
        <v>25.62743683620128</v>
      </c>
      <c r="AB106" s="23">
        <f>EXP(-LN(2)/2)*AB105+(1-EXP(-LN(2)/2))/(LN(2)/2)*V106*Y106*VLOOKUP('Données projet'!$B$9,Paramètres!$A$1:$I$89,3,0)*0.475*44/12</f>
        <v>1.2382203803809302E-4</v>
      </c>
      <c r="AC106" s="24">
        <f t="shared" si="57"/>
        <v>171.766723611857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482.28841373508675</v>
      </c>
      <c r="AO106" s="62">
        <f t="shared" si="90"/>
        <v>746.97309214631684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206.47906075001384</v>
      </c>
      <c r="AV106" s="23">
        <f>EXP(-LN(2)/25)*AV105+(1-EXP(-LN(2)/25))/(LN(2)/25)*Calculateur!AQ106*Calculateur!AS106*VLOOKUP('Données projet'!$B$10,Paramètres!$A$1:$I$89,3,0)*0.475*44/12</f>
        <v>36.668214552307148</v>
      </c>
      <c r="AW106" s="23">
        <f>EXP(-LN(2)/2)*AW105+(1-EXP(-LN(2)/2))/(LN(2)/2)*AQ106*AT106*VLOOKUP('Données projet'!$B$10,Paramètres!$A$1:$I$89,3,0)*0.475*44/12</f>
        <v>7.0932308793966803E-3</v>
      </c>
      <c r="AX106" s="23">
        <f t="shared" si="60"/>
        <v>243.1543685332004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2.2737367544323206E-13</v>
      </c>
      <c r="BE106" s="14">
        <f>BD106*VLOOKUP('Données projet'!$B$11,Paramètres!$A$1:$I$89,3,0)*VLOOKUP('Données projet'!$B$11,Paramètres!$A$1:$I$89,5,0)</f>
        <v>1.6671037883497774E-13</v>
      </c>
      <c r="BF106" s="14">
        <f t="shared" si="91"/>
        <v>2.3598166018346595E-12</v>
      </c>
      <c r="BG106" s="22">
        <f t="shared" si="61"/>
        <v>4.400367824666284E-12</v>
      </c>
      <c r="BH106" s="62">
        <f t="shared" si="62"/>
        <v>293.33333333333769</v>
      </c>
      <c r="BI106" s="62">
        <f ca="1">AVERAGE(OFFSET($BH$3,0,0,'Données projet'!$E$11+1,1))-AVERAGE(OFFSET($H$3,0,0,'Données projet'!$E$11+1,1))</f>
        <v>350.22629663422435</v>
      </c>
      <c r="BJ106" s="62">
        <f t="shared" si="92"/>
        <v>375.98044319336645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84.574545424351413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84.574545424351413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-4.5224624045658861E-14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248.15263300983543</v>
      </c>
      <c r="CE106" s="62">
        <f t="shared" si="94"/>
        <v>266.46511459244618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59.578055245456937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59.578055245456937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-3.813056537183002E-14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205.35893113421139</v>
      </c>
      <c r="CZ106" s="62">
        <f t="shared" si="96"/>
        <v>220.4399811285175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50.232477952051944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50.232477952051944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490.96084572840579</v>
      </c>
      <c r="T107" s="62">
        <f t="shared" si="88"/>
        <v>597.91658789908263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143.2734631041852</v>
      </c>
      <c r="AA107" s="23">
        <f>EXP(-LN(2)/25)*AA106+(1-EXP(-LN(2)/25))/(LN(2)/25)*Calculateur!V107*Calculateur!X107*VLOOKUP('Données projet'!$B$9,Paramètres!$A$1:$I$89,3,0)*0.475*44/12</f>
        <v>24.926653228227025</v>
      </c>
      <c r="AB107" s="23">
        <f>EXP(-LN(2)/2)*AB106+(1-EXP(-LN(2)/2))/(LN(2)/2)*V107*Y107*VLOOKUP('Données projet'!$B$9,Paramètres!$A$1:$I$89,3,0)*0.475*44/12</f>
        <v>8.7555402757074204E-5</v>
      </c>
      <c r="AC107" s="24">
        <f t="shared" si="57"/>
        <v>168.20020388781498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482.28841373508675</v>
      </c>
      <c r="AO107" s="62">
        <f t="shared" si="90"/>
        <v>746.97309214631684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202.4301323084976</v>
      </c>
      <c r="AV107" s="23">
        <f>EXP(-LN(2)/25)*AV106+(1-EXP(-LN(2)/25))/(LN(2)/25)*Calculateur!AQ107*Calculateur!AS107*VLOOKUP('Données projet'!$B$10,Paramètres!$A$1:$I$89,3,0)*0.475*44/12</f>
        <v>35.665520297076711</v>
      </c>
      <c r="AW107" s="23">
        <f>EXP(-LN(2)/2)*AW106+(1-EXP(-LN(2)/2))/(LN(2)/2)*AQ107*AT107*VLOOKUP('Données projet'!$B$10,Paramètres!$A$1:$I$89,3,0)*0.475*44/12</f>
        <v>5.0156716553432104E-3</v>
      </c>
      <c r="AX107" s="23">
        <f t="shared" si="60"/>
        <v>238.10066827722966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2.2737367544323206E-13</v>
      </c>
      <c r="BE107" s="14">
        <f>BD107*VLOOKUP('Données projet'!$B$11,Paramètres!$A$1:$I$89,3,0)*VLOOKUP('Données projet'!$B$11,Paramètres!$A$1:$I$89,5,0)</f>
        <v>1.6671037883497774E-13</v>
      </c>
      <c r="BF107" s="14">
        <f t="shared" si="91"/>
        <v>2.3598166018346595E-12</v>
      </c>
      <c r="BG107" s="22">
        <f t="shared" si="61"/>
        <v>4.400367824666284E-12</v>
      </c>
      <c r="BH107" s="62">
        <f t="shared" si="62"/>
        <v>293.33333333333769</v>
      </c>
      <c r="BI107" s="62">
        <f ca="1">AVERAGE(OFFSET($BH$3,0,0,'Données projet'!$E$11+1,1))-AVERAGE(OFFSET($H$3,0,0,'Données projet'!$E$11+1,1))</f>
        <v>350.22629663422435</v>
      </c>
      <c r="BJ107" s="62">
        <f t="shared" si="92"/>
        <v>375.98044319336645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82.916090173958963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82.916090173958963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-4.5224624045658861E-14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248.15263300983543</v>
      </c>
      <c r="CE107" s="62">
        <f t="shared" si="94"/>
        <v>266.46511459244618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58.409765921119046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58.409765921119046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-3.813056537183002E-14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205.35893113421139</v>
      </c>
      <c r="CZ107" s="62">
        <f t="shared" si="96"/>
        <v>220.4399811285175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49.24744969819843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49.24744969819843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490.96084572840579</v>
      </c>
      <c r="T108" s="62">
        <f t="shared" si="88"/>
        <v>597.91658789908263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140.46395788089575</v>
      </c>
      <c r="AA108" s="23">
        <f>EXP(-LN(2)/25)*AA107+(1-EXP(-LN(2)/25))/(LN(2)/25)*Calculateur!V108*Calculateur!X108*VLOOKUP('Données projet'!$B$9,Paramètres!$A$1:$I$89,3,0)*0.475*44/12</f>
        <v>24.245032584865434</v>
      </c>
      <c r="AB108" s="23">
        <f>EXP(-LN(2)/2)*AB107+(1-EXP(-LN(2)/2))/(LN(2)/2)*V108*Y108*VLOOKUP('Données projet'!$B$9,Paramètres!$A$1:$I$89,3,0)*0.475*44/12</f>
        <v>6.1911019019046508E-5</v>
      </c>
      <c r="AC108" s="24">
        <f t="shared" si="57"/>
        <v>164.70905237678022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482.28841373508675</v>
      </c>
      <c r="AO108" s="62">
        <f t="shared" si="90"/>
        <v>746.97309214631684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198.46060088411701</v>
      </c>
      <c r="AV108" s="23">
        <f>EXP(-LN(2)/25)*AV107+(1-EXP(-LN(2)/25))/(LN(2)/25)*Calculateur!AQ108*Calculateur!AS108*VLOOKUP('Données projet'!$B$10,Paramètres!$A$1:$I$89,3,0)*0.475*44/12</f>
        <v>34.690244768984954</v>
      </c>
      <c r="AW108" s="23">
        <f>EXP(-LN(2)/2)*AW107+(1-EXP(-LN(2)/2))/(LN(2)/2)*AQ108*AT108*VLOOKUP('Données projet'!$B$10,Paramètres!$A$1:$I$89,3,0)*0.475*44/12</f>
        <v>3.5466154396983402E-3</v>
      </c>
      <c r="AX108" s="23">
        <f t="shared" si="60"/>
        <v>233.15439226854164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2.2737367544323206E-13</v>
      </c>
      <c r="BE108" s="14">
        <f>BD108*VLOOKUP('Données projet'!$B$11,Paramètres!$A$1:$I$89,3,0)*VLOOKUP('Données projet'!$B$11,Paramètres!$A$1:$I$89,5,0)</f>
        <v>1.6671037883497774E-13</v>
      </c>
      <c r="BF108" s="14">
        <f t="shared" si="91"/>
        <v>2.3598166018346595E-12</v>
      </c>
      <c r="BG108" s="22">
        <f t="shared" si="61"/>
        <v>4.400367824666284E-12</v>
      </c>
      <c r="BH108" s="62">
        <f t="shared" si="62"/>
        <v>293.33333333333769</v>
      </c>
      <c r="BI108" s="62">
        <f ca="1">AVERAGE(OFFSET($BH$3,0,0,'Données projet'!$E$11+1,1))-AVERAGE(OFFSET($H$3,0,0,'Données projet'!$E$11+1,1))</f>
        <v>350.22629663422435</v>
      </c>
      <c r="BJ108" s="62">
        <f t="shared" si="92"/>
        <v>375.98044319336645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81.290156219468884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81.290156219468884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-4.5224624045658861E-14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248.15263300983543</v>
      </c>
      <c r="CE108" s="62">
        <f t="shared" si="94"/>
        <v>266.46511459244618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57.264386037845291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57.264386037845291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-3.813056537183002E-14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205.35893113421139</v>
      </c>
      <c r="CZ108" s="62">
        <f t="shared" si="96"/>
        <v>220.4399811285175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48.281737247595068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48.281737247595068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490.96084572840579</v>
      </c>
      <c r="T109" s="62">
        <f t="shared" si="88"/>
        <v>597.91658789908263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137.70954534140603</v>
      </c>
      <c r="AA109" s="23">
        <f>EXP(-LN(2)/25)*AA108+(1-EXP(-LN(2)/25))/(LN(2)/25)*Calculateur!V109*Calculateur!X109*VLOOKUP('Données projet'!$B$9,Paramètres!$A$1:$I$89,3,0)*0.475*44/12</f>
        <v>23.582050893841437</v>
      </c>
      <c r="AB109" s="23">
        <f>EXP(-LN(2)/2)*AB108+(1-EXP(-LN(2)/2))/(LN(2)/2)*V109*Y109*VLOOKUP('Données projet'!$B$9,Paramètres!$A$1:$I$89,3,0)*0.475*44/12</f>
        <v>4.3777701378537102E-5</v>
      </c>
      <c r="AC109" s="24">
        <f t="shared" si="57"/>
        <v>161.29164001294882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482.28841373508675</v>
      </c>
      <c r="AO109" s="62">
        <f t="shared" si="90"/>
        <v>746.97309214631684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194.56890954979343</v>
      </c>
      <c r="AV109" s="23">
        <f>EXP(-LN(2)/25)*AV108+(1-EXP(-LN(2)/25))/(LN(2)/25)*Calculateur!AQ109*Calculateur!AS109*VLOOKUP('Données projet'!$B$10,Paramètres!$A$1:$I$89,3,0)*0.475*44/12</f>
        <v>33.741638201496372</v>
      </c>
      <c r="AW109" s="23">
        <f>EXP(-LN(2)/2)*AW108+(1-EXP(-LN(2)/2))/(LN(2)/2)*AQ109*AT109*VLOOKUP('Données projet'!$B$10,Paramètres!$A$1:$I$89,3,0)*0.475*44/12</f>
        <v>2.5078358276716052E-3</v>
      </c>
      <c r="AX109" s="23">
        <f t="shared" si="60"/>
        <v>228.31305558711747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2.2737367544323206E-13</v>
      </c>
      <c r="BE109" s="14">
        <f>BD109*VLOOKUP('Données projet'!$B$11,Paramètres!$A$1:$I$89,3,0)*VLOOKUP('Données projet'!$B$11,Paramètres!$A$1:$I$89,5,0)</f>
        <v>1.6671037883497774E-13</v>
      </c>
      <c r="BF109" s="14">
        <f t="shared" si="91"/>
        <v>2.3598166018346595E-12</v>
      </c>
      <c r="BG109" s="22">
        <f t="shared" si="61"/>
        <v>4.400367824666284E-12</v>
      </c>
      <c r="BH109" s="62">
        <f t="shared" si="62"/>
        <v>293.33333333333769</v>
      </c>
      <c r="BI109" s="62">
        <f ca="1">AVERAGE(OFFSET($BH$3,0,0,'Données projet'!$E$11+1,1))-AVERAGE(OFFSET($H$3,0,0,'Données projet'!$E$11+1,1))</f>
        <v>350.22629663422435</v>
      </c>
      <c r="BJ109" s="62">
        <f t="shared" si="92"/>
        <v>375.98044319336645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79.696105838104572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79.696105838104572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-4.5224624045658861E-14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248.15263300983543</v>
      </c>
      <c r="CE109" s="62">
        <f t="shared" si="94"/>
        <v>266.46511459244618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56.141466355469795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56.141466355469795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-3.813056537183002E-14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205.35893113421139</v>
      </c>
      <c r="CZ109" s="62">
        <f t="shared" si="96"/>
        <v>220.4399811285175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47.33496182912161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47.33496182912161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490.96084572840579</v>
      </c>
      <c r="T110" s="62">
        <f t="shared" si="88"/>
        <v>597.91658789908263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135.00914515178994</v>
      </c>
      <c r="AA110" s="23">
        <f>EXP(-LN(2)/25)*AA109+(1-EXP(-LN(2)/25))/(LN(2)/25)*Calculateur!V110*Calculateur!X110*VLOOKUP('Données projet'!$B$9,Paramètres!$A$1:$I$89,3,0)*0.475*44/12</f>
        <v>22.937198472023184</v>
      </c>
      <c r="AB110" s="23">
        <f>EXP(-LN(2)/2)*AB109+(1-EXP(-LN(2)/2))/(LN(2)/2)*V110*Y110*VLOOKUP('Données projet'!$B$9,Paramètres!$A$1:$I$89,3,0)*0.475*44/12</f>
        <v>3.0955509509523254E-5</v>
      </c>
      <c r="AC110" s="24">
        <f t="shared" si="57"/>
        <v>157.94637457932262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482.28841373508675</v>
      </c>
      <c r="AO110" s="62">
        <f t="shared" si="90"/>
        <v>746.97309214631684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190.7535319088386</v>
      </c>
      <c r="AV110" s="23">
        <f>EXP(-LN(2)/25)*AV109+(1-EXP(-LN(2)/25))/(LN(2)/25)*Calculateur!AQ110*Calculateur!AS110*VLOOKUP('Données projet'!$B$10,Paramètres!$A$1:$I$89,3,0)*0.475*44/12</f>
        <v>32.818971330480821</v>
      </c>
      <c r="AW110" s="23">
        <f>EXP(-LN(2)/2)*AW109+(1-EXP(-LN(2)/2))/(LN(2)/2)*AQ110*AT110*VLOOKUP('Données projet'!$B$10,Paramètres!$A$1:$I$89,3,0)*0.475*44/12</f>
        <v>1.7733077198491701E-3</v>
      </c>
      <c r="AX110" s="23">
        <f t="shared" si="60"/>
        <v>223.57427654703926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2.2737367544323206E-13</v>
      </c>
      <c r="BE110" s="14">
        <f>BD110*VLOOKUP('Données projet'!$B$11,Paramètres!$A$1:$I$89,3,0)*VLOOKUP('Données projet'!$B$11,Paramètres!$A$1:$I$89,5,0)</f>
        <v>1.6671037883497774E-13</v>
      </c>
      <c r="BF110" s="14">
        <f t="shared" si="91"/>
        <v>2.3598166018346595E-12</v>
      </c>
      <c r="BG110" s="22">
        <f t="shared" si="61"/>
        <v>4.400367824666284E-12</v>
      </c>
      <c r="BH110" s="62">
        <f t="shared" si="62"/>
        <v>293.33333333333769</v>
      </c>
      <c r="BI110" s="62">
        <f ca="1">AVERAGE(OFFSET($BH$3,0,0,'Données projet'!$E$11+1,1))-AVERAGE(OFFSET($H$3,0,0,'Données projet'!$E$11+1,1))</f>
        <v>350.22629663422435</v>
      </c>
      <c r="BJ110" s="62">
        <f t="shared" si="92"/>
        <v>375.98044319336645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78.133313812444086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78.133313812444086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-4.5224624045658861E-14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248.15263300983543</v>
      </c>
      <c r="CE110" s="62">
        <f t="shared" si="94"/>
        <v>266.46511459244618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55.040566443152301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55.040566443152301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-3.813056537183002E-14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205.35893113421139</v>
      </c>
      <c r="CZ110" s="62">
        <f t="shared" si="96"/>
        <v>220.4399811285175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46.406752099128433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46.406752099128433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490.96084572840579</v>
      </c>
      <c r="T111" s="62">
        <f t="shared" si="88"/>
        <v>597.91658789908263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132.36169816281074</v>
      </c>
      <c r="AA111" s="23">
        <f>EXP(-LN(2)/25)*AA110+(1-EXP(-LN(2)/25))/(LN(2)/25)*Calculateur!V111*Calculateur!X111*VLOOKUP('Données projet'!$B$9,Paramètres!$A$1:$I$89,3,0)*0.475*44/12</f>
        <v>22.309979573590866</v>
      </c>
      <c r="AB111" s="23">
        <f>EXP(-LN(2)/2)*AB110+(1-EXP(-LN(2)/2))/(LN(2)/2)*V111*Y111*VLOOKUP('Données projet'!$B$9,Paramètres!$A$1:$I$89,3,0)*0.475*44/12</f>
        <v>2.1888850689268551E-5</v>
      </c>
      <c r="AC111" s="24">
        <f t="shared" si="57"/>
        <v>154.67169962525227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482.28841373508675</v>
      </c>
      <c r="AO111" s="62">
        <f t="shared" si="90"/>
        <v>746.97309214631684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187.01297149627231</v>
      </c>
      <c r="AV111" s="23">
        <f>EXP(-LN(2)/25)*AV110+(1-EXP(-LN(2)/25))/(LN(2)/25)*Calculateur!AQ111*Calculateur!AS111*VLOOKUP('Données projet'!$B$10,Paramètres!$A$1:$I$89,3,0)*0.475*44/12</f>
        <v>31.921534833574128</v>
      </c>
      <c r="AW111" s="23">
        <f>EXP(-LN(2)/2)*AW110+(1-EXP(-LN(2)/2))/(LN(2)/2)*AQ111*AT111*VLOOKUP('Données projet'!$B$10,Paramètres!$A$1:$I$89,3,0)*0.475*44/12</f>
        <v>1.2539179138358026E-3</v>
      </c>
      <c r="AX111" s="23">
        <f t="shared" si="60"/>
        <v>218.93576024776027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2.2737367544323206E-13</v>
      </c>
      <c r="BE111" s="14">
        <f>BD111*VLOOKUP('Données projet'!$B$11,Paramètres!$A$1:$I$89,3,0)*VLOOKUP('Données projet'!$B$11,Paramètres!$A$1:$I$89,5,0)</f>
        <v>1.6671037883497774E-13</v>
      </c>
      <c r="BF111" s="14">
        <f t="shared" si="91"/>
        <v>2.3598166018346595E-12</v>
      </c>
      <c r="BG111" s="22">
        <f t="shared" si="61"/>
        <v>4.400367824666284E-12</v>
      </c>
      <c r="BH111" s="62">
        <f t="shared" si="62"/>
        <v>293.33333333333769</v>
      </c>
      <c r="BI111" s="62">
        <f ca="1">AVERAGE(OFFSET($BH$3,0,0,'Données projet'!$E$11+1,1))-AVERAGE(OFFSET($H$3,0,0,'Données projet'!$E$11+1,1))</f>
        <v>350.22629663422435</v>
      </c>
      <c r="BJ111" s="62">
        <f t="shared" si="92"/>
        <v>375.98044319336645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76.601167185197781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76.601167185197781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-4.5224624045658861E-14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248.15263300983543</v>
      </c>
      <c r="CE111" s="62">
        <f t="shared" si="94"/>
        <v>266.46511459244618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53.961254506632713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53.961254506632713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-3.813056537183002E-14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205.35893113421139</v>
      </c>
      <c r="CZ111" s="62">
        <f t="shared" si="96"/>
        <v>220.4399811285175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45.496743995788385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45.496743995788385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490.96084572840579</v>
      </c>
      <c r="T112" s="62">
        <f t="shared" si="88"/>
        <v>597.91658789908263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129.76616599450222</v>
      </c>
      <c r="AA112" s="23">
        <f>EXP(-LN(2)/25)*AA111+(1-EXP(-LN(2)/25))/(LN(2)/25)*Calculateur!V112*Calculateur!X112*VLOOKUP('Données projet'!$B$9,Paramètres!$A$1:$I$89,3,0)*0.475*44/12</f>
        <v>21.699912008920187</v>
      </c>
      <c r="AB112" s="23">
        <f>EXP(-LN(2)/2)*AB111+(1-EXP(-LN(2)/2))/(LN(2)/2)*V112*Y112*VLOOKUP('Données projet'!$B$9,Paramètres!$A$1:$I$89,3,0)*0.475*44/12</f>
        <v>1.5477754754761627E-5</v>
      </c>
      <c r="AC112" s="24">
        <f t="shared" si="57"/>
        <v>151.46609348117715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482.28841373508675</v>
      </c>
      <c r="AO112" s="62">
        <f t="shared" si="90"/>
        <v>746.97309214631684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183.34576119187989</v>
      </c>
      <c r="AV112" s="23">
        <f>EXP(-LN(2)/25)*AV111+(1-EXP(-LN(2)/25))/(LN(2)/25)*Calculateur!AQ112*Calculateur!AS112*VLOOKUP('Données projet'!$B$10,Paramètres!$A$1:$I$89,3,0)*0.475*44/12</f>
        <v>31.048638784869485</v>
      </c>
      <c r="AW112" s="23">
        <f>EXP(-LN(2)/2)*AW111+(1-EXP(-LN(2)/2))/(LN(2)/2)*AQ112*AT112*VLOOKUP('Données projet'!$B$10,Paramètres!$A$1:$I$89,3,0)*0.475*44/12</f>
        <v>8.8665385992458504E-4</v>
      </c>
      <c r="AX112" s="23">
        <f t="shared" si="60"/>
        <v>214.39528663060932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2.2737367544323206E-13</v>
      </c>
      <c r="BE112" s="14">
        <f>BD112*VLOOKUP('Données projet'!$B$11,Paramètres!$A$1:$I$89,3,0)*VLOOKUP('Données projet'!$B$11,Paramètres!$A$1:$I$89,5,0)</f>
        <v>1.6671037883497774E-13</v>
      </c>
      <c r="BF112" s="14">
        <f t="shared" si="91"/>
        <v>2.3598166018346595E-12</v>
      </c>
      <c r="BG112" s="22">
        <f t="shared" si="61"/>
        <v>4.400367824666284E-12</v>
      </c>
      <c r="BH112" s="62">
        <f t="shared" si="62"/>
        <v>293.33333333333769</v>
      </c>
      <c r="BI112" s="62">
        <f ca="1">AVERAGE(OFFSET($BH$3,0,0,'Données projet'!$E$11+1,1))-AVERAGE(OFFSET($H$3,0,0,'Données projet'!$E$11+1,1))</f>
        <v>350.22629663422435</v>
      </c>
      <c r="BJ112" s="62">
        <f t="shared" si="92"/>
        <v>375.98044319336645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75.099065018794604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75.099065018794604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-4.5224624045658861E-14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248.15263300983543</v>
      </c>
      <c r="CE112" s="62">
        <f t="shared" si="94"/>
        <v>266.46511459244618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52.903107218872996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52.903107218872996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-3.813056537183002E-14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205.35893113421139</v>
      </c>
      <c r="CZ112" s="62">
        <f t="shared" si="96"/>
        <v>220.4399811285175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44.6045805963047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44.6045805963047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490.96084572840579</v>
      </c>
      <c r="T113" s="62">
        <f t="shared" si="88"/>
        <v>597.91658789908263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127.22153062889592</v>
      </c>
      <c r="AA113" s="23">
        <f>EXP(-LN(2)/25)*AA112+(1-EXP(-LN(2)/25))/(LN(2)/25)*Calculateur!V113*Calculateur!X113*VLOOKUP('Données projet'!$B$9,Paramètres!$A$1:$I$89,3,0)*0.475*44/12</f>
        <v>21.106526773887488</v>
      </c>
      <c r="AB113" s="23">
        <f>EXP(-LN(2)/2)*AB112+(1-EXP(-LN(2)/2))/(LN(2)/2)*V113*Y113*VLOOKUP('Données projet'!$B$9,Paramètres!$A$1:$I$89,3,0)*0.475*44/12</f>
        <v>1.0944425344634275E-5</v>
      </c>
      <c r="AC113" s="24">
        <f t="shared" si="57"/>
        <v>148.32806834720876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482.28841373508675</v>
      </c>
      <c r="AO113" s="62">
        <f t="shared" si="90"/>
        <v>746.97309214631684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179.75046264477916</v>
      </c>
      <c r="AV113" s="23">
        <f>EXP(-LN(2)/25)*AV112+(1-EXP(-LN(2)/25))/(LN(2)/25)*Calculateur!AQ113*Calculateur!AS113*VLOOKUP('Données projet'!$B$10,Paramètres!$A$1:$I$89,3,0)*0.475*44/12</f>
        <v>30.199612124520279</v>
      </c>
      <c r="AW113" s="23">
        <f>EXP(-LN(2)/2)*AW112+(1-EXP(-LN(2)/2))/(LN(2)/2)*AQ113*AT113*VLOOKUP('Données projet'!$B$10,Paramètres!$A$1:$I$89,3,0)*0.475*44/12</f>
        <v>6.2695895691790131E-4</v>
      </c>
      <c r="AX113" s="23">
        <f t="shared" si="60"/>
        <v>209.95070172825638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2.2737367544323206E-13</v>
      </c>
      <c r="BE113" s="14">
        <f>BD113*VLOOKUP('Données projet'!$B$11,Paramètres!$A$1:$I$89,3,0)*VLOOKUP('Données projet'!$B$11,Paramètres!$A$1:$I$89,5,0)</f>
        <v>1.6671037883497774E-13</v>
      </c>
      <c r="BF113" s="14">
        <f t="shared" si="91"/>
        <v>2.3598166018346595E-12</v>
      </c>
      <c r="BG113" s="22">
        <f t="shared" si="61"/>
        <v>4.400367824666284E-12</v>
      </c>
      <c r="BH113" s="62">
        <f t="shared" si="62"/>
        <v>293.33333333333769</v>
      </c>
      <c r="BI113" s="62">
        <f ca="1">AVERAGE(OFFSET($BH$3,0,0,'Données projet'!$E$11+1,1))-AVERAGE(OFFSET($H$3,0,0,'Données projet'!$E$11+1,1))</f>
        <v>350.22629663422435</v>
      </c>
      <c r="BJ113" s="62">
        <f t="shared" si="92"/>
        <v>375.98044319336645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73.626418159682743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73.626418159682743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-4.5224624045658861E-14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248.15263300983543</v>
      </c>
      <c r="CE113" s="62">
        <f t="shared" si="94"/>
        <v>266.46511459244618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51.865709554020128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51.865709554020128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-3.813056537183002E-14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205.35893113421139</v>
      </c>
      <c r="CZ113" s="62">
        <f t="shared" si="96"/>
        <v>220.4399811285175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43.729911976918949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43.729911976918949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490.96084572840579</v>
      </c>
      <c r="T114" s="62">
        <f t="shared" si="88"/>
        <v>597.91658789908263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124.72679401073484</v>
      </c>
      <c r="AA114" s="23">
        <f>EXP(-LN(2)/25)*AA113+(1-EXP(-LN(2)/25))/(LN(2)/25)*Calculateur!V114*Calculateur!X114*VLOOKUP('Données projet'!$B$9,Paramètres!$A$1:$I$89,3,0)*0.475*44/12</f>
        <v>20.529367689311531</v>
      </c>
      <c r="AB114" s="23">
        <f>EXP(-LN(2)/2)*AB113+(1-EXP(-LN(2)/2))/(LN(2)/2)*V114*Y114*VLOOKUP('Données projet'!$B$9,Paramètres!$A$1:$I$89,3,0)*0.475*44/12</f>
        <v>7.7388773773808134E-6</v>
      </c>
      <c r="AC114" s="24">
        <f t="shared" si="57"/>
        <v>145.25616943892373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482.28841373508675</v>
      </c>
      <c r="AO114" s="62">
        <f t="shared" si="90"/>
        <v>746.97309214631684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176.22566570927151</v>
      </c>
      <c r="AV114" s="23">
        <f>EXP(-LN(2)/25)*AV113+(1-EXP(-LN(2)/25))/(LN(2)/25)*Calculateur!AQ114*Calculateur!AS114*VLOOKUP('Données projet'!$B$10,Paramètres!$A$1:$I$89,3,0)*0.475*44/12</f>
        <v>29.373802142846692</v>
      </c>
      <c r="AW114" s="23">
        <f>EXP(-LN(2)/2)*AW113+(1-EXP(-LN(2)/2))/(LN(2)/2)*AQ114*AT114*VLOOKUP('Données projet'!$B$10,Paramètres!$A$1:$I$89,3,0)*0.475*44/12</f>
        <v>4.4332692996229252E-4</v>
      </c>
      <c r="AX114" s="23">
        <f t="shared" si="60"/>
        <v>205.59991117904818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2.2737367544323206E-13</v>
      </c>
      <c r="BE114" s="14">
        <f>BD114*VLOOKUP('Données projet'!$B$11,Paramètres!$A$1:$I$89,3,0)*VLOOKUP('Données projet'!$B$11,Paramètres!$A$1:$I$89,5,0)</f>
        <v>1.6671037883497774E-13</v>
      </c>
      <c r="BF114" s="14">
        <f t="shared" si="91"/>
        <v>2.3598166018346595E-12</v>
      </c>
      <c r="BG114" s="22">
        <f t="shared" si="61"/>
        <v>4.400367824666284E-12</v>
      </c>
      <c r="BH114" s="62">
        <f t="shared" si="62"/>
        <v>293.33333333333769</v>
      </c>
      <c r="BI114" s="62">
        <f ca="1">AVERAGE(OFFSET($BH$3,0,0,'Données projet'!$E$11+1,1))-AVERAGE(OFFSET($H$3,0,0,'Données projet'!$E$11+1,1))</f>
        <v>350.22629663422435</v>
      </c>
      <c r="BJ114" s="62">
        <f t="shared" si="92"/>
        <v>375.98044319336645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72.182649007252181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72.182649007252181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-4.5224624045658861E-14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248.15263300983543</v>
      </c>
      <c r="CE114" s="62">
        <f t="shared" si="94"/>
        <v>266.46511459244618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50.848654624624928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50.848654624624928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-3.813056537183002E-14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205.35893113421139</v>
      </c>
      <c r="CZ114" s="62">
        <f t="shared" si="96"/>
        <v>220.4399811285175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42.872395075664173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42.872395075664173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490.96084572840579</v>
      </c>
      <c r="T115" s="62">
        <f t="shared" si="88"/>
        <v>597.91658789908263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122.2809776560168</v>
      </c>
      <c r="AA115" s="23">
        <f>EXP(-LN(2)/25)*AA114+(1-EXP(-LN(2)/25))/(LN(2)/25)*Calculateur!V115*Calculateur!X115*VLOOKUP('Données projet'!$B$9,Paramètres!$A$1:$I$89,3,0)*0.475*44/12</f>
        <v>19.967991050254781</v>
      </c>
      <c r="AB115" s="23">
        <f>EXP(-LN(2)/2)*AB114+(1-EXP(-LN(2)/2))/(LN(2)/2)*V115*Y115*VLOOKUP('Données projet'!$B$9,Paramètres!$A$1:$I$89,3,0)*0.475*44/12</f>
        <v>5.4722126723171377E-6</v>
      </c>
      <c r="AC115" s="24">
        <f t="shared" si="57"/>
        <v>142.24897417848425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482.28841373508675</v>
      </c>
      <c r="AO115" s="62">
        <f t="shared" si="90"/>
        <v>746.97309214631684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172.76998789175531</v>
      </c>
      <c r="AV115" s="23">
        <f>EXP(-LN(2)/25)*AV114+(1-EXP(-LN(2)/25))/(LN(2)/25)*Calculateur!AQ115*Calculateur!AS115*VLOOKUP('Données projet'!$B$10,Paramètres!$A$1:$I$89,3,0)*0.475*44/12</f>
        <v>28.570573978549429</v>
      </c>
      <c r="AW115" s="23">
        <f>EXP(-LN(2)/2)*AW114+(1-EXP(-LN(2)/2))/(LN(2)/2)*AQ115*AT115*VLOOKUP('Données projet'!$B$10,Paramètres!$A$1:$I$89,3,0)*0.475*44/12</f>
        <v>3.1347947845895065E-4</v>
      </c>
      <c r="AX115" s="23">
        <f t="shared" si="60"/>
        <v>201.34087534978318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2.2737367544323206E-13</v>
      </c>
      <c r="BE115" s="14">
        <f>BD115*VLOOKUP('Données projet'!$B$11,Paramètres!$A$1:$I$89,3,0)*VLOOKUP('Données projet'!$B$11,Paramètres!$A$1:$I$89,5,0)</f>
        <v>1.6671037883497774E-13</v>
      </c>
      <c r="BF115" s="14">
        <f t="shared" si="91"/>
        <v>2.3598166018346595E-12</v>
      </c>
      <c r="BG115" s="22">
        <f t="shared" si="61"/>
        <v>4.400367824666284E-12</v>
      </c>
      <c r="BH115" s="62">
        <f t="shared" si="62"/>
        <v>293.33333333333769</v>
      </c>
      <c r="BI115" s="62">
        <f ca="1">AVERAGE(OFFSET($BH$3,0,0,'Données projet'!$E$11+1,1))-AVERAGE(OFFSET($H$3,0,0,'Données projet'!$E$11+1,1))</f>
        <v>350.22629663422435</v>
      </c>
      <c r="BJ115" s="62">
        <f t="shared" si="92"/>
        <v>375.98044319336645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70.767191287288554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70.767191287288554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-4.5224624045658861E-14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248.15263300983543</v>
      </c>
      <c r="CE115" s="62">
        <f t="shared" si="94"/>
        <v>266.46511459244618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49.851543522052914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49.851543522052914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-3.813056537183002E-14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205.35893113421139</v>
      </c>
      <c r="CZ115" s="62">
        <f t="shared" si="96"/>
        <v>220.4399811285175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42.031693557809341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42.031693557809341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490.96084572840579</v>
      </c>
      <c r="T116" s="62">
        <f t="shared" si="88"/>
        <v>597.91658789908263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119.88312226821412</v>
      </c>
      <c r="AA116" s="23">
        <f>EXP(-LN(2)/25)*AA115+(1-EXP(-LN(2)/25))/(LN(2)/25)*Calculateur!V116*Calculateur!X116*VLOOKUP('Données projet'!$B$9,Paramètres!$A$1:$I$89,3,0)*0.475*44/12</f>
        <v>19.421965284914553</v>
      </c>
      <c r="AB116" s="23">
        <f>EXP(-LN(2)/2)*AB115+(1-EXP(-LN(2)/2))/(LN(2)/2)*V116*Y116*VLOOKUP('Données projet'!$B$9,Paramètres!$A$1:$I$89,3,0)*0.475*44/12</f>
        <v>3.8694386886904067E-6</v>
      </c>
      <c r="AC116" s="24">
        <f t="shared" si="57"/>
        <v>139.30509142256739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482.28841373508675</v>
      </c>
      <c r="AO116" s="62">
        <f t="shared" si="90"/>
        <v>746.97309214631684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169.38207380848525</v>
      </c>
      <c r="AV116" s="23">
        <f>EXP(-LN(2)/25)*AV115+(1-EXP(-LN(2)/25))/(LN(2)/25)*Calculateur!AQ116*Calculateur!AS116*VLOOKUP('Données projet'!$B$10,Paramètres!$A$1:$I$89,3,0)*0.475*44/12</f>
        <v>27.789310130644807</v>
      </c>
      <c r="AW116" s="23">
        <f>EXP(-LN(2)/2)*AW115+(1-EXP(-LN(2)/2))/(LN(2)/2)*AQ116*AT116*VLOOKUP('Données projet'!$B$10,Paramètres!$A$1:$I$89,3,0)*0.475*44/12</f>
        <v>2.2166346498114626E-4</v>
      </c>
      <c r="AX116" s="23">
        <f t="shared" si="60"/>
        <v>197.17160560259504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2.2737367544323206E-13</v>
      </c>
      <c r="BE116" s="14">
        <f>BD116*VLOOKUP('Données projet'!$B$11,Paramètres!$A$1:$I$89,3,0)*VLOOKUP('Données projet'!$B$11,Paramètres!$A$1:$I$89,5,0)</f>
        <v>1.6671037883497774E-13</v>
      </c>
      <c r="BF116" s="14">
        <f t="shared" si="91"/>
        <v>2.3598166018346595E-12</v>
      </c>
      <c r="BG116" s="22">
        <f t="shared" si="61"/>
        <v>4.400367824666284E-12</v>
      </c>
      <c r="BH116" s="62">
        <f t="shared" si="62"/>
        <v>293.33333333333769</v>
      </c>
      <c r="BI116" s="62">
        <f ca="1">AVERAGE(OFFSET($BH$3,0,0,'Données projet'!$E$11+1,1))-AVERAGE(OFFSET($H$3,0,0,'Données projet'!$E$11+1,1))</f>
        <v>350.22629663422435</v>
      </c>
      <c r="BJ116" s="62">
        <f t="shared" si="92"/>
        <v>375.98044319336645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69.379489829869442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69.379489829869442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-4.5224624045658861E-14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248.15263300983543</v>
      </c>
      <c r="CE116" s="62">
        <f t="shared" si="94"/>
        <v>266.46511459244618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48.873985160024617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48.873985160024617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-3.813056537183002E-14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205.35893113421139</v>
      </c>
      <c r="CZ116" s="62">
        <f t="shared" si="96"/>
        <v>220.4399811285175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41.207477683942344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41.207477683942344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490.96084572840579</v>
      </c>
      <c r="T117" s="62">
        <f t="shared" si="88"/>
        <v>597.91658789908263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117.53228736201888</v>
      </c>
      <c r="AA117" s="23">
        <f>EXP(-LN(2)/25)*AA116+(1-EXP(-LN(2)/25))/(LN(2)/25)*Calculateur!V117*Calculateur!X117*VLOOKUP('Données projet'!$B$9,Paramètres!$A$1:$I$89,3,0)*0.475*44/12</f>
        <v>18.890870622841799</v>
      </c>
      <c r="AB117" s="23">
        <f>EXP(-LN(2)/2)*AB116+(1-EXP(-LN(2)/2))/(LN(2)/2)*V117*Y117*VLOOKUP('Données projet'!$B$9,Paramètres!$A$1:$I$89,3,0)*0.475*44/12</f>
        <v>2.7361063361585689E-6</v>
      </c>
      <c r="AC117" s="24">
        <f t="shared" si="57"/>
        <v>136.42316072096699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482.28841373508675</v>
      </c>
      <c r="AO117" s="62">
        <f t="shared" si="90"/>
        <v>746.97309214631684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166.06059465396459</v>
      </c>
      <c r="AV117" s="23">
        <f>EXP(-LN(2)/25)*AV116+(1-EXP(-LN(2)/25))/(LN(2)/25)*Calculateur!AQ117*Calculateur!AS117*VLOOKUP('Données projet'!$B$10,Paramètres!$A$1:$I$89,3,0)*0.475*44/12</f>
        <v>27.029409983746017</v>
      </c>
      <c r="AW117" s="23">
        <f>EXP(-LN(2)/2)*AW116+(1-EXP(-LN(2)/2))/(LN(2)/2)*AQ117*AT117*VLOOKUP('Données projet'!$B$10,Paramètres!$A$1:$I$89,3,0)*0.475*44/12</f>
        <v>1.5673973922947533E-4</v>
      </c>
      <c r="AX117" s="23">
        <f t="shared" si="60"/>
        <v>193.09016137744982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2.2737367544323206E-13</v>
      </c>
      <c r="BE117" s="14">
        <f>BD117*VLOOKUP('Données projet'!$B$11,Paramètres!$A$1:$I$89,3,0)*VLOOKUP('Données projet'!$B$11,Paramètres!$A$1:$I$89,5,0)</f>
        <v>1.6671037883497774E-13</v>
      </c>
      <c r="BF117" s="14">
        <f t="shared" si="91"/>
        <v>2.3598166018346595E-12</v>
      </c>
      <c r="BG117" s="22">
        <f t="shared" si="61"/>
        <v>4.400367824666284E-12</v>
      </c>
      <c r="BH117" s="62">
        <f t="shared" si="62"/>
        <v>293.33333333333769</v>
      </c>
      <c r="BI117" s="62">
        <f ca="1">AVERAGE(OFFSET($BH$3,0,0,'Données projet'!$E$11+1,1))-AVERAGE(OFFSET($H$3,0,0,'Données projet'!$E$11+1,1))</f>
        <v>350.22629663422435</v>
      </c>
      <c r="BJ117" s="62">
        <f t="shared" si="92"/>
        <v>375.98044319336645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68.019000351616015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68.019000351616015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-4.5224624045658861E-14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248.15263300983543</v>
      </c>
      <c r="CE117" s="62">
        <f t="shared" si="94"/>
        <v>266.46511459244618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47.91559612122397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47.91559612122397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-3.813056537183002E-14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205.35893113421139</v>
      </c>
      <c r="CZ117" s="62">
        <f t="shared" si="96"/>
        <v>220.4399811285175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40.399424180639841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40.399424180639841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490.96084572840579</v>
      </c>
      <c r="T118" s="62">
        <f t="shared" si="88"/>
        <v>597.91658789908263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115.22755089446642</v>
      </c>
      <c r="AA118" s="23">
        <f>EXP(-LN(2)/25)*AA117+(1-EXP(-LN(2)/25))/(LN(2)/25)*Calculateur!V118*Calculateur!X118*VLOOKUP('Données projet'!$B$9,Paramètres!$A$1:$I$89,3,0)*0.475*44/12</f>
        <v>18.374298772232478</v>
      </c>
      <c r="AB118" s="23">
        <f>EXP(-LN(2)/2)*AB117+(1-EXP(-LN(2)/2))/(LN(2)/2)*V118*Y118*VLOOKUP('Données projet'!$B$9,Paramètres!$A$1:$I$89,3,0)*0.475*44/12</f>
        <v>1.9347193443452034E-6</v>
      </c>
      <c r="AC118" s="24">
        <f t="shared" si="57"/>
        <v>133.60185160141825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482.28841373508675</v>
      </c>
      <c r="AO118" s="62">
        <f t="shared" si="90"/>
        <v>746.97309214631684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162.80424767976183</v>
      </c>
      <c r="AV118" s="23">
        <f>EXP(-LN(2)/25)*AV117+(1-EXP(-LN(2)/25))/(LN(2)/25)*Calculateur!AQ118*Calculateur!AS118*VLOOKUP('Données projet'!$B$10,Paramètres!$A$1:$I$89,3,0)*0.475*44/12</f>
        <v>26.290289346325586</v>
      </c>
      <c r="AW118" s="23">
        <f>EXP(-LN(2)/2)*AW117+(1-EXP(-LN(2)/2))/(LN(2)/2)*AQ118*AT118*VLOOKUP('Données projet'!$B$10,Paramètres!$A$1:$I$89,3,0)*0.475*44/12</f>
        <v>1.1083173249057313E-4</v>
      </c>
      <c r="AX118" s="23">
        <f t="shared" si="60"/>
        <v>189.09464785781989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2.2737367544323206E-13</v>
      </c>
      <c r="BE118" s="14">
        <f>BD118*VLOOKUP('Données projet'!$B$11,Paramètres!$A$1:$I$89,3,0)*VLOOKUP('Données projet'!$B$11,Paramètres!$A$1:$I$89,5,0)</f>
        <v>1.6671037883497774E-13</v>
      </c>
      <c r="BF118" s="14">
        <f t="shared" si="91"/>
        <v>2.3598166018346595E-12</v>
      </c>
      <c r="BG118" s="22">
        <f t="shared" si="61"/>
        <v>4.400367824666284E-12</v>
      </c>
      <c r="BH118" s="62">
        <f t="shared" si="62"/>
        <v>293.33333333333769</v>
      </c>
      <c r="BI118" s="62">
        <f ca="1">AVERAGE(OFFSET($BH$3,0,0,'Données projet'!$E$11+1,1))-AVERAGE(OFFSET($H$3,0,0,'Données projet'!$E$11+1,1))</f>
        <v>350.22629663422435</v>
      </c>
      <c r="BJ118" s="62">
        <f t="shared" si="92"/>
        <v>375.98044319336645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66.685189242214491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66.685189242214491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-4.5224624045658861E-14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248.15263300983543</v>
      </c>
      <c r="CE118" s="62">
        <f t="shared" si="94"/>
        <v>266.46511459244618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46.976000506914609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46.976000506914609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-3.813056537183002E-14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205.35893113421139</v>
      </c>
      <c r="CZ118" s="62">
        <f t="shared" si="96"/>
        <v>220.4399811285175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39.607216113673125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39.607216113673125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490.96084572840579</v>
      </c>
      <c r="T119" s="62">
        <f t="shared" si="88"/>
        <v>597.91658789908263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112.96800890329222</v>
      </c>
      <c r="AA119" s="23">
        <f>EXP(-LN(2)/25)*AA118+(1-EXP(-LN(2)/25))/(LN(2)/25)*Calculateur!V119*Calculateur!X119*VLOOKUP('Données projet'!$B$9,Paramètres!$A$1:$I$89,3,0)*0.475*44/12</f>
        <v>17.871852606043404</v>
      </c>
      <c r="AB119" s="23">
        <f>EXP(-LN(2)/2)*AB118+(1-EXP(-LN(2)/2))/(LN(2)/2)*V119*Y119*VLOOKUP('Données projet'!$B$9,Paramètres!$A$1:$I$89,3,0)*0.475*44/12</f>
        <v>1.3680531680792844E-6</v>
      </c>
      <c r="AC119" s="24">
        <f t="shared" si="57"/>
        <v>130.83986287738878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482.28841373508675</v>
      </c>
      <c r="AO119" s="62">
        <f t="shared" si="90"/>
        <v>746.97309214631684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159.61175568354764</v>
      </c>
      <c r="AV119" s="23">
        <f>EXP(-LN(2)/25)*AV118+(1-EXP(-LN(2)/25))/(LN(2)/25)*Calculateur!AQ119*Calculateur!AS119*VLOOKUP('Données projet'!$B$10,Paramètres!$A$1:$I$89,3,0)*0.475*44/12</f>
        <v>25.571380001604084</v>
      </c>
      <c r="AW119" s="23">
        <f>EXP(-LN(2)/2)*AW118+(1-EXP(-LN(2)/2))/(LN(2)/2)*AQ119*AT119*VLOOKUP('Données projet'!$B$10,Paramètres!$A$1:$I$89,3,0)*0.475*44/12</f>
        <v>7.8369869614737663E-5</v>
      </c>
      <c r="AX119" s="23">
        <f t="shared" si="60"/>
        <v>185.18321405502135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2.2737367544323206E-13</v>
      </c>
      <c r="BE119" s="14">
        <f>BD119*VLOOKUP('Données projet'!$B$11,Paramètres!$A$1:$I$89,3,0)*VLOOKUP('Données projet'!$B$11,Paramètres!$A$1:$I$89,5,0)</f>
        <v>1.6671037883497774E-13</v>
      </c>
      <c r="BF119" s="14">
        <f t="shared" si="91"/>
        <v>2.3598166018346595E-12</v>
      </c>
      <c r="BG119" s="22">
        <f t="shared" si="61"/>
        <v>4.400367824666284E-12</v>
      </c>
      <c r="BH119" s="62">
        <f t="shared" si="62"/>
        <v>293.33333333333769</v>
      </c>
      <c r="BI119" s="62">
        <f ca="1">AVERAGE(OFFSET($BH$3,0,0,'Données projet'!$E$11+1,1))-AVERAGE(OFFSET($H$3,0,0,'Données projet'!$E$11+1,1))</f>
        <v>350.22629663422435</v>
      </c>
      <c r="BJ119" s="62">
        <f t="shared" si="92"/>
        <v>375.98044319336645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65.377533355123887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65.377533355123887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-4.5224624045658861E-14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248.15263300983543</v>
      </c>
      <c r="CE119" s="62">
        <f t="shared" si="94"/>
        <v>266.46511459244618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46.054829789505121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46.054829789505121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-3.813056537183002E-14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205.35893113421139</v>
      </c>
      <c r="CZ119" s="62">
        <f t="shared" si="96"/>
        <v>220.4399811285175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38.830542763700421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38.830542763700421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490.96084572840579</v>
      </c>
      <c r="T120" s="62">
        <f t="shared" si="88"/>
        <v>597.91658789908263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110.75277515238041</v>
      </c>
      <c r="AA120" s="23">
        <f>EXP(-LN(2)/25)*AA119+(1-EXP(-LN(2)/25))/(LN(2)/25)*Calculateur!V120*Calculateur!X120*VLOOKUP('Données projet'!$B$9,Paramètres!$A$1:$I$89,3,0)*0.475*44/12</f>
        <v>17.383145856691264</v>
      </c>
      <c r="AB120" s="23">
        <f>EXP(-LN(2)/2)*AB119+(1-EXP(-LN(2)/2))/(LN(2)/2)*V120*Y120*VLOOKUP('Données projet'!$B$9,Paramètres!$A$1:$I$89,3,0)*0.475*44/12</f>
        <v>9.6735967217260168E-7</v>
      </c>
      <c r="AC120" s="24">
        <f t="shared" si="57"/>
        <v>128.13592197643135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482.28841373508675</v>
      </c>
      <c r="AO120" s="62">
        <f t="shared" si="90"/>
        <v>746.97309214631684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156.48186650815137</v>
      </c>
      <c r="AV120" s="23">
        <f>EXP(-LN(2)/25)*AV119+(1-EXP(-LN(2)/25))/(LN(2)/25)*Calculateur!AQ120*Calculateur!AS120*VLOOKUP('Données projet'!$B$10,Paramètres!$A$1:$I$89,3,0)*0.475*44/12</f>
        <v>24.872129270719789</v>
      </c>
      <c r="AW120" s="23">
        <f>EXP(-LN(2)/2)*AW119+(1-EXP(-LN(2)/2))/(LN(2)/2)*AQ120*AT120*VLOOKUP('Données projet'!$B$10,Paramètres!$A$1:$I$89,3,0)*0.475*44/12</f>
        <v>5.5415866245286565E-5</v>
      </c>
      <c r="AX120" s="23">
        <f t="shared" si="60"/>
        <v>181.35405119473742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2.2737367544323206E-13</v>
      </c>
      <c r="BE120" s="14">
        <f>BD120*VLOOKUP('Données projet'!$B$11,Paramètres!$A$1:$I$89,3,0)*VLOOKUP('Données projet'!$B$11,Paramètres!$A$1:$I$89,5,0)</f>
        <v>1.6671037883497774E-13</v>
      </c>
      <c r="BF120" s="14">
        <f t="shared" si="91"/>
        <v>2.3598166018346595E-12</v>
      </c>
      <c r="BG120" s="22">
        <f t="shared" si="61"/>
        <v>4.400367824666284E-12</v>
      </c>
      <c r="BH120" s="62">
        <f t="shared" si="62"/>
        <v>293.33333333333769</v>
      </c>
      <c r="BI120" s="62">
        <f ca="1">AVERAGE(OFFSET($BH$3,0,0,'Données projet'!$E$11+1,1))-AVERAGE(OFFSET($H$3,0,0,'Données projet'!$E$11+1,1))</f>
        <v>350.22629663422435</v>
      </c>
      <c r="BJ120" s="62">
        <f t="shared" si="92"/>
        <v>375.98044319336645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64.095519802387784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64.095519802387784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-4.5224624045658861E-14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248.15263300983543</v>
      </c>
      <c r="CE120" s="62">
        <f t="shared" si="94"/>
        <v>266.46511459244618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45.151722668005377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45.151722668005377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-3.813056537183002E-14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205.35893113421139</v>
      </c>
      <c r="CZ120" s="62">
        <f t="shared" si="96"/>
        <v>220.4399811285175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38.069099504396711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38.069099504396711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490.96084572840579</v>
      </c>
      <c r="T121" s="62">
        <f t="shared" si="88"/>
        <v>597.91658789908263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108.58098078416481</v>
      </c>
      <c r="AA121" s="23">
        <f>EXP(-LN(2)/25)*AA120+(1-EXP(-LN(2)/25))/(LN(2)/25)*Calculateur!V121*Calculateur!X121*VLOOKUP('Données projet'!$B$9,Paramètres!$A$1:$I$89,3,0)*0.475*44/12</f>
        <v>16.90780281910013</v>
      </c>
      <c r="AB121" s="23">
        <f>EXP(-LN(2)/2)*AB120+(1-EXP(-LN(2)/2))/(LN(2)/2)*V121*Y121*VLOOKUP('Données projet'!$B$9,Paramètres!$A$1:$I$89,3,0)*0.475*44/12</f>
        <v>6.8402658403964221E-7</v>
      </c>
      <c r="AC121" s="24">
        <f t="shared" si="57"/>
        <v>125.48878428729152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482.28841373508675</v>
      </c>
      <c r="AO121" s="62">
        <f t="shared" si="90"/>
        <v>746.97309214631684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153.41335255044072</v>
      </c>
      <c r="AV121" s="23">
        <f>EXP(-LN(2)/25)*AV120+(1-EXP(-LN(2)/25))/(LN(2)/25)*Calculateur!AQ121*Calculateur!AS121*VLOOKUP('Données projet'!$B$10,Paramètres!$A$1:$I$89,3,0)*0.475*44/12</f>
        <v>24.191999587843522</v>
      </c>
      <c r="AW121" s="23">
        <f>EXP(-LN(2)/2)*AW120+(1-EXP(-LN(2)/2))/(LN(2)/2)*AQ121*AT121*VLOOKUP('Données projet'!$B$10,Paramètres!$A$1:$I$89,3,0)*0.475*44/12</f>
        <v>3.9184934807368832E-5</v>
      </c>
      <c r="AX121" s="23">
        <f t="shared" si="60"/>
        <v>177.60539132321907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2.2737367544323206E-13</v>
      </c>
      <c r="BE121" s="14">
        <f>BD121*VLOOKUP('Données projet'!$B$11,Paramètres!$A$1:$I$89,3,0)*VLOOKUP('Données projet'!$B$11,Paramètres!$A$1:$I$89,5,0)</f>
        <v>1.6671037883497774E-13</v>
      </c>
      <c r="BF121" s="14">
        <f t="shared" si="91"/>
        <v>2.3598166018346595E-12</v>
      </c>
      <c r="BG121" s="22">
        <f t="shared" si="61"/>
        <v>4.400367824666284E-12</v>
      </c>
      <c r="BH121" s="62">
        <f t="shared" si="62"/>
        <v>293.33333333333769</v>
      </c>
      <c r="BI121" s="62">
        <f ca="1">AVERAGE(OFFSET($BH$3,0,0,'Données projet'!$E$11+1,1))-AVERAGE(OFFSET($H$3,0,0,'Données projet'!$E$11+1,1))</f>
        <v>350.22629663422435</v>
      </c>
      <c r="BJ121" s="62">
        <f t="shared" si="92"/>
        <v>375.98044319336645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62.838645753469784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62.838645753469784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-4.5224624045658861E-14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248.15263300983543</v>
      </c>
      <c r="CE121" s="62">
        <f t="shared" si="94"/>
        <v>266.46511459244618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44.266324926317289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44.266324926317289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-3.813056537183002E-14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205.35893113421139</v>
      </c>
      <c r="CZ121" s="62">
        <f t="shared" si="96"/>
        <v>220.4399811285175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37.32258768297342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37.32258768297342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490.96084572840579</v>
      </c>
      <c r="T122" s="62">
        <f t="shared" si="88"/>
        <v>597.91658789908263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106.45177397884616</v>
      </c>
      <c r="AA122" s="23">
        <f>EXP(-LN(2)/25)*AA121+(1-EXP(-LN(2)/25))/(LN(2)/25)*Calculateur!V122*Calculateur!X122*VLOOKUP('Données projet'!$B$9,Paramètres!$A$1:$I$89,3,0)*0.475*44/12</f>
        <v>16.445458061869129</v>
      </c>
      <c r="AB122" s="23">
        <f>EXP(-LN(2)/2)*AB121+(1-EXP(-LN(2)/2))/(LN(2)/2)*V122*Y122*VLOOKUP('Données projet'!$B$9,Paramètres!$A$1:$I$89,3,0)*0.475*44/12</f>
        <v>4.8367983608630084E-7</v>
      </c>
      <c r="AC122" s="24">
        <f t="shared" si="57"/>
        <v>122.89723252439514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482.28841373508675</v>
      </c>
      <c r="AO122" s="62">
        <f t="shared" si="90"/>
        <v>746.97309214631684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150.40501027983208</v>
      </c>
      <c r="AV122" s="23">
        <f>EXP(-LN(2)/25)*AV121+(1-EXP(-LN(2)/25))/(LN(2)/25)*Calculateur!AQ122*Calculateur!AS122*VLOOKUP('Données projet'!$B$10,Paramètres!$A$1:$I$89,3,0)*0.475*44/12</f>
        <v>23.530468086911974</v>
      </c>
      <c r="AW122" s="23">
        <f>EXP(-LN(2)/2)*AW121+(1-EXP(-LN(2)/2))/(LN(2)/2)*AQ122*AT122*VLOOKUP('Données projet'!$B$10,Paramètres!$A$1:$I$89,3,0)*0.475*44/12</f>
        <v>2.7707933122643283E-5</v>
      </c>
      <c r="AX122" s="23">
        <f t="shared" si="60"/>
        <v>173.93550607467719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2.2737367544323206E-13</v>
      </c>
      <c r="BE122" s="14">
        <f>BD122*VLOOKUP('Données projet'!$B$11,Paramètres!$A$1:$I$89,3,0)*VLOOKUP('Données projet'!$B$11,Paramètres!$A$1:$I$89,5,0)</f>
        <v>1.6671037883497774E-13</v>
      </c>
      <c r="BF122" s="14">
        <f t="shared" si="91"/>
        <v>2.3598166018346595E-12</v>
      </c>
      <c r="BG122" s="22">
        <f t="shared" si="61"/>
        <v>4.400367824666284E-12</v>
      </c>
      <c r="BH122" s="62">
        <f t="shared" si="62"/>
        <v>293.33333333333769</v>
      </c>
      <c r="BI122" s="62">
        <f ca="1">AVERAGE(OFFSET($BH$3,0,0,'Données projet'!$E$11+1,1))-AVERAGE(OFFSET($H$3,0,0,'Données projet'!$E$11+1,1))</f>
        <v>350.22629663422435</v>
      </c>
      <c r="BJ122" s="62">
        <f t="shared" si="92"/>
        <v>375.98044319336645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61.606418238033598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61.606418238033598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-4.5224624045658861E-14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248.15263300983543</v>
      </c>
      <c r="CE122" s="62">
        <f t="shared" si="94"/>
        <v>266.46511459244618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43.398289294304405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43.398289294304405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-3.813056537183002E-14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205.35893113421139</v>
      </c>
      <c r="CZ122" s="62">
        <f t="shared" si="96"/>
        <v>220.4399811285175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36.590714503040985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36.590714503040985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490.96084572840579</v>
      </c>
      <c r="T123" s="62">
        <f t="shared" si="88"/>
        <v>597.91658789908263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104.36431962029189</v>
      </c>
      <c r="AA123" s="23">
        <f>EXP(-LN(2)/25)*AA122+(1-EXP(-LN(2)/25))/(LN(2)/25)*Calculateur!V123*Calculateur!X123*VLOOKUP('Données projet'!$B$9,Paramètres!$A$1:$I$89,3,0)*0.475*44/12</f>
        <v>15.995756146338264</v>
      </c>
      <c r="AB123" s="23">
        <f>EXP(-LN(2)/2)*AB122+(1-EXP(-LN(2)/2))/(LN(2)/2)*V123*Y123*VLOOKUP('Données projet'!$B$9,Paramètres!$A$1:$I$89,3,0)*0.475*44/12</f>
        <v>3.4201329201982111E-7</v>
      </c>
      <c r="AC123" s="24">
        <f t="shared" si="57"/>
        <v>120.36007610864345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482.28841373508675</v>
      </c>
      <c r="AO123" s="62">
        <f t="shared" si="90"/>
        <v>746.97309214631684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147.45565976624246</v>
      </c>
      <c r="AV123" s="23">
        <f>EXP(-LN(2)/25)*AV122+(1-EXP(-LN(2)/25))/(LN(2)/25)*Calculateur!AQ123*Calculateur!AS123*VLOOKUP('Données projet'!$B$10,Paramètres!$A$1:$I$89,3,0)*0.475*44/12</f>
        <v>22.887026199661829</v>
      </c>
      <c r="AW123" s="23">
        <f>EXP(-LN(2)/2)*AW122+(1-EXP(-LN(2)/2))/(LN(2)/2)*AQ123*AT123*VLOOKUP('Données projet'!$B$10,Paramètres!$A$1:$I$89,3,0)*0.475*44/12</f>
        <v>1.9592467403684416E-5</v>
      </c>
      <c r="AX123" s="23">
        <f t="shared" si="60"/>
        <v>170.34270555837168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2.2737367544323206E-13</v>
      </c>
      <c r="BE123" s="14">
        <f>BD123*VLOOKUP('Données projet'!$B$11,Paramètres!$A$1:$I$89,3,0)*VLOOKUP('Données projet'!$B$11,Paramètres!$A$1:$I$89,5,0)</f>
        <v>1.6671037883497774E-13</v>
      </c>
      <c r="BF123" s="14">
        <f t="shared" si="91"/>
        <v>2.3598166018346595E-12</v>
      </c>
      <c r="BG123" s="22">
        <f t="shared" si="61"/>
        <v>4.400367824666284E-12</v>
      </c>
      <c r="BH123" s="62">
        <f t="shared" si="62"/>
        <v>293.33333333333769</v>
      </c>
      <c r="BI123" s="62">
        <f ca="1">AVERAGE(OFFSET($BH$3,0,0,'Données projet'!$E$11+1,1))-AVERAGE(OFFSET($H$3,0,0,'Données projet'!$E$11+1,1))</f>
        <v>350.22629663422435</v>
      </c>
      <c r="BJ123" s="62">
        <f t="shared" si="92"/>
        <v>375.98044319336645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60.39835395259054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60.39835395259054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-4.5224624045658861E-14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248.15263300983543</v>
      </c>
      <c r="CE123" s="62">
        <f t="shared" si="94"/>
        <v>266.46511459244618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42.547275311585835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42.547275311585835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-3.813056537183002E-14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205.35893113421139</v>
      </c>
      <c r="CZ123" s="62">
        <f t="shared" si="96"/>
        <v>220.4399811285175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35.873192909768463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35.873192909768463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490.96084572840579</v>
      </c>
      <c r="T124" s="62">
        <f t="shared" si="88"/>
        <v>597.91658789908263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102.31779896848744</v>
      </c>
      <c r="AA124" s="23">
        <f>EXP(-LN(2)/25)*AA123+(1-EXP(-LN(2)/25))/(LN(2)/25)*Calculateur!V124*Calculateur!X124*VLOOKUP('Données projet'!$B$9,Paramètres!$A$1:$I$89,3,0)*0.475*44/12</f>
        <v>15.558351353336388</v>
      </c>
      <c r="AB124" s="23">
        <f>EXP(-LN(2)/2)*AB123+(1-EXP(-LN(2)/2))/(LN(2)/2)*V124*Y124*VLOOKUP('Données projet'!$B$9,Paramètres!$A$1:$I$89,3,0)*0.475*44/12</f>
        <v>2.4183991804315042E-7</v>
      </c>
      <c r="AC124" s="24">
        <f t="shared" si="57"/>
        <v>117.87615056366374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482.28841373508675</v>
      </c>
      <c r="AO124" s="62">
        <f t="shared" si="90"/>
        <v>746.97309214631684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144.56414421729815</v>
      </c>
      <c r="AV124" s="23">
        <f>EXP(-LN(2)/25)*AV123+(1-EXP(-LN(2)/25))/(LN(2)/25)*Calculateur!AQ124*Calculateur!AS124*VLOOKUP('Données projet'!$B$10,Paramètres!$A$1:$I$89,3,0)*0.475*44/12</f>
        <v>22.261179264655677</v>
      </c>
      <c r="AW124" s="23">
        <f>EXP(-LN(2)/2)*AW123+(1-EXP(-LN(2)/2))/(LN(2)/2)*AQ124*AT124*VLOOKUP('Données projet'!$B$10,Paramètres!$A$1:$I$89,3,0)*0.475*44/12</f>
        <v>1.3853966561321641E-5</v>
      </c>
      <c r="AX124" s="23">
        <f t="shared" si="60"/>
        <v>166.82533733592038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2.2737367544323206E-13</v>
      </c>
      <c r="BE124" s="14">
        <f>BD124*VLOOKUP('Données projet'!$B$11,Paramètres!$A$1:$I$89,3,0)*VLOOKUP('Données projet'!$B$11,Paramètres!$A$1:$I$89,5,0)</f>
        <v>1.6671037883497774E-13</v>
      </c>
      <c r="BF124" s="14">
        <f t="shared" si="91"/>
        <v>2.3598166018346595E-12</v>
      </c>
      <c r="BG124" s="22">
        <f t="shared" si="61"/>
        <v>4.400367824666284E-12</v>
      </c>
      <c r="BH124" s="62">
        <f t="shared" si="62"/>
        <v>293.33333333333769</v>
      </c>
      <c r="BI124" s="62">
        <f ca="1">AVERAGE(OFFSET($BH$3,0,0,'Données projet'!$E$11+1,1))-AVERAGE(OFFSET($H$3,0,0,'Données projet'!$E$11+1,1))</f>
        <v>350.22629663422435</v>
      </c>
      <c r="BJ124" s="62">
        <f t="shared" si="92"/>
        <v>375.98044319336645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59.213979070938564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59.213979070938564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-4.5224624045658861E-14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248.15263300983543</v>
      </c>
      <c r="CE124" s="62">
        <f t="shared" si="94"/>
        <v>266.46511459244618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41.712949194001105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41.712949194001105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-3.813056537183002E-14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205.35893113421139</v>
      </c>
      <c r="CZ124" s="62">
        <f t="shared" si="96"/>
        <v>220.4399811285175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35.169741477295062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35.169741477295062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490.96084572840579</v>
      </c>
      <c r="T125" s="62">
        <f t="shared" si="88"/>
        <v>597.91658789908263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100.31140933841053</v>
      </c>
      <c r="AA125" s="23">
        <f>EXP(-LN(2)/25)*AA124+(1-EXP(-LN(2)/25))/(LN(2)/25)*Calculateur!V125*Calculateur!X125*VLOOKUP('Données projet'!$B$9,Paramètres!$A$1:$I$89,3,0)*0.475*44/12</f>
        <v>15.132907417401265</v>
      </c>
      <c r="AB125" s="23">
        <f>EXP(-LN(2)/2)*AB124+(1-EXP(-LN(2)/2))/(LN(2)/2)*V125*Y125*VLOOKUP('Données projet'!$B$9,Paramètres!$A$1:$I$89,3,0)*0.475*44/12</f>
        <v>1.7100664600991055E-7</v>
      </c>
      <c r="AC125" s="24">
        <f t="shared" si="57"/>
        <v>115.44431692681844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482.28841373508675</v>
      </c>
      <c r="AO125" s="62">
        <f t="shared" si="90"/>
        <v>746.97309214631684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141.72932952461829</v>
      </c>
      <c r="AV125" s="23">
        <f>EXP(-LN(2)/25)*AV124+(1-EXP(-LN(2)/25))/(LN(2)/25)*Calculateur!AQ125*Calculateur!AS125*VLOOKUP('Données projet'!$B$10,Paramètres!$A$1:$I$89,3,0)*0.475*44/12</f>
        <v>21.652446146999129</v>
      </c>
      <c r="AW125" s="23">
        <f>EXP(-LN(2)/2)*AW124+(1-EXP(-LN(2)/2))/(LN(2)/2)*AQ125*AT125*VLOOKUP('Données projet'!$B$10,Paramètres!$A$1:$I$89,3,0)*0.475*44/12</f>
        <v>9.7962337018422079E-6</v>
      </c>
      <c r="AX125" s="23">
        <f t="shared" si="60"/>
        <v>163.38178546785113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2.2737367544323206E-13</v>
      </c>
      <c r="BE125" s="14">
        <f>BD125*VLOOKUP('Données projet'!$B$11,Paramètres!$A$1:$I$89,3,0)*VLOOKUP('Données projet'!$B$11,Paramètres!$A$1:$I$89,5,0)</f>
        <v>1.6671037883497774E-13</v>
      </c>
      <c r="BF125" s="14">
        <f t="shared" si="91"/>
        <v>2.3598166018346595E-12</v>
      </c>
      <c r="BG125" s="22">
        <f t="shared" si="61"/>
        <v>4.400367824666284E-12</v>
      </c>
      <c r="BH125" s="62">
        <f t="shared" si="62"/>
        <v>293.33333333333769</v>
      </c>
      <c r="BI125" s="62">
        <f ca="1">AVERAGE(OFFSET($BH$3,0,0,'Données projet'!$E$11+1,1))-AVERAGE(OFFSET($H$3,0,0,'Données projet'!$E$11+1,1))</f>
        <v>350.22629663422435</v>
      </c>
      <c r="BJ125" s="62">
        <f t="shared" si="92"/>
        <v>375.98044319336645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58.052829058318437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58.052829058318437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-4.5224624045658861E-14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248.15263300983543</v>
      </c>
      <c r="CE125" s="62">
        <f t="shared" si="94"/>
        <v>266.46511459244618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40.894983702693523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40.894983702693523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-3.813056537183002E-14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205.35893113421139</v>
      </c>
      <c r="CZ125" s="62">
        <f t="shared" si="96"/>
        <v>220.4399811285175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34.480084298349453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34.480084298349453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490.96084572840579</v>
      </c>
      <c r="T126" s="62">
        <f t="shared" si="88"/>
        <v>597.91658789908263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98.344363785202589</v>
      </c>
      <c r="AA126" s="23">
        <f>EXP(-LN(2)/25)*AA125+(1-EXP(-LN(2)/25))/(LN(2)/25)*Calculateur!V126*Calculateur!X126*VLOOKUP('Données projet'!$B$9,Paramètres!$A$1:$I$89,3,0)*0.475*44/12</f>
        <v>14.719097268267413</v>
      </c>
      <c r="AB126" s="23">
        <f>EXP(-LN(2)/2)*AB125+(1-EXP(-LN(2)/2))/(LN(2)/2)*V126*Y126*VLOOKUP('Données projet'!$B$9,Paramètres!$A$1:$I$89,3,0)*0.475*44/12</f>
        <v>1.2091995902157521E-7</v>
      </c>
      <c r="AC126" s="24">
        <f t="shared" si="57"/>
        <v>113.06346117438997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482.28841373508675</v>
      </c>
      <c r="AO126" s="62">
        <f t="shared" si="90"/>
        <v>746.97309214631684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138.95010381899567</v>
      </c>
      <c r="AV126" s="23">
        <f>EXP(-LN(2)/25)*AV125+(1-EXP(-LN(2)/25))/(LN(2)/25)*Calculateur!AQ126*Calculateur!AS126*VLOOKUP('Données projet'!$B$10,Paramètres!$A$1:$I$89,3,0)*0.475*44/12</f>
        <v>21.060358868456781</v>
      </c>
      <c r="AW126" s="23">
        <f>EXP(-LN(2)/2)*AW125+(1-EXP(-LN(2)/2))/(LN(2)/2)*AQ126*AT126*VLOOKUP('Données projet'!$B$10,Paramètres!$A$1:$I$89,3,0)*0.475*44/12</f>
        <v>6.9269832806608206E-6</v>
      </c>
      <c r="AX126" s="23">
        <f t="shared" si="60"/>
        <v>160.01046961443572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2.2737367544323206E-13</v>
      </c>
      <c r="BE126" s="14">
        <f>BD126*VLOOKUP('Données projet'!$B$11,Paramètres!$A$1:$I$89,3,0)*VLOOKUP('Données projet'!$B$11,Paramètres!$A$1:$I$89,5,0)</f>
        <v>1.6671037883497774E-13</v>
      </c>
      <c r="BF126" s="14">
        <f t="shared" si="91"/>
        <v>2.3598166018346595E-12</v>
      </c>
      <c r="BG126" s="22">
        <f t="shared" si="61"/>
        <v>4.400367824666284E-12</v>
      </c>
      <c r="BH126" s="62">
        <f t="shared" si="62"/>
        <v>293.33333333333769</v>
      </c>
      <c r="BI126" s="62">
        <f ca="1">AVERAGE(OFFSET($BH$3,0,0,'Données projet'!$E$11+1,1))-AVERAGE(OFFSET($H$3,0,0,'Données projet'!$E$11+1,1))</f>
        <v>350.22629663422435</v>
      </c>
      <c r="BJ126" s="62">
        <f t="shared" si="92"/>
        <v>375.98044319336645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56.914448489214216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56.914448489214216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-4.5224624045658861E-14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248.15263300983543</v>
      </c>
      <c r="CE126" s="62">
        <f t="shared" si="94"/>
        <v>266.46511459244618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40.093058015760796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40.093058015760796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-3.813056537183002E-14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205.35893113421139</v>
      </c>
      <c r="CZ126" s="62">
        <f t="shared" si="96"/>
        <v>220.4399811285175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33.803950876033625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33.803950876033625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490.96084572840579</v>
      </c>
      <c r="T127" s="62">
        <f t="shared" si="88"/>
        <v>597.91658789908263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96.415890795513732</v>
      </c>
      <c r="AA127" s="23">
        <f>EXP(-LN(2)/25)*AA126+(1-EXP(-LN(2)/25))/(LN(2)/25)*Calculateur!V127*Calculateur!X127*VLOOKUP('Données projet'!$B$9,Paramètres!$A$1:$I$89,3,0)*0.475*44/12</f>
        <v>14.316602779422956</v>
      </c>
      <c r="AB127" s="23">
        <f>EXP(-LN(2)/2)*AB126+(1-EXP(-LN(2)/2))/(LN(2)/2)*V127*Y127*VLOOKUP('Données projet'!$B$9,Paramètres!$A$1:$I$89,3,0)*0.475*44/12</f>
        <v>8.5503323004955277E-8</v>
      </c>
      <c r="AC127" s="24">
        <f t="shared" si="57"/>
        <v>110.73249366044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482.28841373508675</v>
      </c>
      <c r="AO127" s="62">
        <f t="shared" si="90"/>
        <v>746.97309214631684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136.22537703430001</v>
      </c>
      <c r="AV127" s="23">
        <f>EXP(-LN(2)/25)*AV126+(1-EXP(-LN(2)/25))/(LN(2)/25)*Calculateur!AQ127*Calculateur!AS127*VLOOKUP('Données projet'!$B$10,Paramètres!$A$1:$I$89,3,0)*0.475*44/12</f>
        <v>20.484462247682693</v>
      </c>
      <c r="AW127" s="23">
        <f>EXP(-LN(2)/2)*AW126+(1-EXP(-LN(2)/2))/(LN(2)/2)*AQ127*AT127*VLOOKUP('Données projet'!$B$10,Paramètres!$A$1:$I$89,3,0)*0.475*44/12</f>
        <v>4.898116850921104E-6</v>
      </c>
      <c r="AX127" s="23">
        <f t="shared" si="60"/>
        <v>156.70984418009957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2.2737367544323206E-13</v>
      </c>
      <c r="BE127" s="14">
        <f>BD127*VLOOKUP('Données projet'!$B$11,Paramètres!$A$1:$I$89,3,0)*VLOOKUP('Données projet'!$B$11,Paramètres!$A$1:$I$89,5,0)</f>
        <v>1.6671037883497774E-13</v>
      </c>
      <c r="BF127" s="14">
        <f t="shared" si="91"/>
        <v>2.3598166018346595E-12</v>
      </c>
      <c r="BG127" s="22">
        <f t="shared" si="61"/>
        <v>4.400367824666284E-12</v>
      </c>
      <c r="BH127" s="62">
        <f t="shared" si="62"/>
        <v>293.33333333333769</v>
      </c>
      <c r="BI127" s="62">
        <f ca="1">AVERAGE(OFFSET($BH$3,0,0,'Données projet'!$E$11+1,1))-AVERAGE(OFFSET($H$3,0,0,'Données projet'!$E$11+1,1))</f>
        <v>350.22629663422435</v>
      </c>
      <c r="BJ127" s="62">
        <f t="shared" si="92"/>
        <v>375.98044319336645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55.798390868726543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55.798390868726543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-4.5224624045658861E-14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248.15263300983543</v>
      </c>
      <c r="CE127" s="62">
        <f t="shared" si="94"/>
        <v>266.46511459244618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39.306857602422447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39.306857602422447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-3.813056537183002E-14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205.35893113421139</v>
      </c>
      <c r="CZ127" s="62">
        <f t="shared" si="96"/>
        <v>220.4399811285175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33.141076017728743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33.141076017728743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490.96084572840579</v>
      </c>
      <c r="T128" s="62">
        <f t="shared" si="88"/>
        <v>597.91658789908263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94.525233984900296</v>
      </c>
      <c r="AA128" s="23">
        <f>EXP(-LN(2)/25)*AA127+(1-EXP(-LN(2)/25))/(LN(2)/25)*Calculateur!V128*Calculateur!X128*VLOOKUP('Données projet'!$B$9,Paramètres!$A$1:$I$89,3,0)*0.475*44/12</f>
        <v>13.925114523542216</v>
      </c>
      <c r="AB128" s="23">
        <f>EXP(-LN(2)/2)*AB127+(1-EXP(-LN(2)/2))/(LN(2)/2)*V128*Y128*VLOOKUP('Données projet'!$B$9,Paramètres!$A$1:$I$89,3,0)*0.475*44/12</f>
        <v>6.0459979510787605E-8</v>
      </c>
      <c r="AC128" s="24">
        <f t="shared" si="57"/>
        <v>108.4503485689025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482.28841373508675</v>
      </c>
      <c r="AO128" s="62">
        <f t="shared" si="90"/>
        <v>746.97309214631684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133.55408047993299</v>
      </c>
      <c r="AV128" s="23">
        <f>EXP(-LN(2)/25)*AV127+(1-EXP(-LN(2)/25))/(LN(2)/25)*Calculateur!AQ128*Calculateur!AS128*VLOOKUP('Données projet'!$B$10,Paramètres!$A$1:$I$89,3,0)*0.475*44/12</f>
        <v>19.924313550288758</v>
      </c>
      <c r="AW128" s="23">
        <f>EXP(-LN(2)/2)*AW127+(1-EXP(-LN(2)/2))/(LN(2)/2)*AQ128*AT128*VLOOKUP('Données projet'!$B$10,Paramètres!$A$1:$I$89,3,0)*0.475*44/12</f>
        <v>3.4634916403304103E-6</v>
      </c>
      <c r="AX128" s="23">
        <f t="shared" si="60"/>
        <v>153.4783974937134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2.2737367544323206E-13</v>
      </c>
      <c r="BE128" s="14">
        <f>BD128*VLOOKUP('Données projet'!$B$11,Paramètres!$A$1:$I$89,3,0)*VLOOKUP('Données projet'!$B$11,Paramètres!$A$1:$I$89,5,0)</f>
        <v>1.6671037883497774E-13</v>
      </c>
      <c r="BF128" s="14">
        <f t="shared" si="91"/>
        <v>2.3598166018346595E-12</v>
      </c>
      <c r="BG128" s="22">
        <f t="shared" si="61"/>
        <v>4.400367824666284E-12</v>
      </c>
      <c r="BH128" s="62">
        <f t="shared" si="62"/>
        <v>293.33333333333769</v>
      </c>
      <c r="BI128" s="62">
        <f ca="1">AVERAGE(OFFSET($BH$3,0,0,'Données projet'!$E$11+1,1))-AVERAGE(OFFSET($H$3,0,0,'Données projet'!$E$11+1,1))</f>
        <v>350.22629663422435</v>
      </c>
      <c r="BJ128" s="62">
        <f t="shared" si="92"/>
        <v>375.98044319336645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54.704218457448704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54.704218457448704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-4.5224624045658861E-14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248.15263300983543</v>
      </c>
      <c r="CE128" s="62">
        <f t="shared" si="94"/>
        <v>266.46511459244618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38.536074099654762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38.536074099654762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-3.813056537183002E-14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205.35893113421139</v>
      </c>
      <c r="CZ128" s="62">
        <f t="shared" si="96"/>
        <v>220.4399811285175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32.49119973108148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32.49119973108148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490.96084572840579</v>
      </c>
      <c r="T129" s="62">
        <f t="shared" si="88"/>
        <v>597.91658789908263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92.671651801156202</v>
      </c>
      <c r="AA129" s="23">
        <f>EXP(-LN(2)/25)*AA128+(1-EXP(-LN(2)/25))/(LN(2)/25)*Calculateur!V129*Calculateur!X129*VLOOKUP('Données projet'!$B$9,Paramètres!$A$1:$I$89,3,0)*0.475*44/12</f>
        <v>13.544331534606009</v>
      </c>
      <c r="AB129" s="23">
        <f>EXP(-LN(2)/2)*AB128+(1-EXP(-LN(2)/2))/(LN(2)/2)*V129*Y129*VLOOKUP('Données projet'!$B$9,Paramètres!$A$1:$I$89,3,0)*0.475*44/12</f>
        <v>4.2751661502477638E-8</v>
      </c>
      <c r="AC129" s="24">
        <f t="shared" si="57"/>
        <v>106.21598337851388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482.28841373508675</v>
      </c>
      <c r="AO129" s="62">
        <f t="shared" si="90"/>
        <v>746.97309214631684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130.93516642166711</v>
      </c>
      <c r="AV129" s="23">
        <f>EXP(-LN(2)/25)*AV128+(1-EXP(-LN(2)/25))/(LN(2)/25)*Calculateur!AQ129*Calculateur!AS129*VLOOKUP('Données projet'!$B$10,Paramètres!$A$1:$I$89,3,0)*0.475*44/12</f>
        <v>19.379482148482001</v>
      </c>
      <c r="AW129" s="23">
        <f>EXP(-LN(2)/2)*AW128+(1-EXP(-LN(2)/2))/(LN(2)/2)*AQ129*AT129*VLOOKUP('Données projet'!$B$10,Paramètres!$A$1:$I$89,3,0)*0.475*44/12</f>
        <v>2.449058425460552E-6</v>
      </c>
      <c r="AX129" s="23">
        <f t="shared" si="60"/>
        <v>150.31465101920753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2.2737367544323206E-13</v>
      </c>
      <c r="BE129" s="14">
        <f>BD129*VLOOKUP('Données projet'!$B$11,Paramètres!$A$1:$I$89,3,0)*VLOOKUP('Données projet'!$B$11,Paramètres!$A$1:$I$89,5,0)</f>
        <v>1.6671037883497774E-13</v>
      </c>
      <c r="BF129" s="14">
        <f t="shared" si="91"/>
        <v>2.3598166018346595E-12</v>
      </c>
      <c r="BG129" s="22">
        <f t="shared" si="61"/>
        <v>4.400367824666284E-12</v>
      </c>
      <c r="BH129" s="62">
        <f t="shared" si="62"/>
        <v>293.33333333333769</v>
      </c>
      <c r="BI129" s="62">
        <f ca="1">AVERAGE(OFFSET($BH$3,0,0,'Données projet'!$E$11+1,1))-AVERAGE(OFFSET($H$3,0,0,'Données projet'!$E$11+1,1))</f>
        <v>350.22629663422435</v>
      </c>
      <c r="BJ129" s="62">
        <f t="shared" si="92"/>
        <v>375.98044319336645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53.631502099776746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53.631502099776746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-4.5224624045658861E-14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248.15263300983543</v>
      </c>
      <c r="CE129" s="62">
        <f t="shared" si="94"/>
        <v>266.46511459244618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37.780405191244839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37.780405191244839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-3.813056537183002E-14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205.35893113421139</v>
      </c>
      <c r="CZ129" s="62">
        <f t="shared" si="96"/>
        <v>220.4399811285175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31.854067122029974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31.854067122029974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490.96084572840579</v>
      </c>
      <c r="T130" s="62">
        <f t="shared" si="88"/>
        <v>597.91658789908263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90.854417233461831</v>
      </c>
      <c r="AA130" s="23">
        <f>EXP(-LN(2)/25)*AA129+(1-EXP(-LN(2)/25))/(LN(2)/25)*Calculateur!V130*Calculateur!X130*VLOOKUP('Données projet'!$B$9,Paramètres!$A$1:$I$89,3,0)*0.475*44/12</f>
        <v>13.173961076526767</v>
      </c>
      <c r="AB130" s="23">
        <f>EXP(-LN(2)/2)*AB129+(1-EXP(-LN(2)/2))/(LN(2)/2)*V130*Y130*VLOOKUP('Données projet'!$B$9,Paramètres!$A$1:$I$89,3,0)*0.475*44/12</f>
        <v>3.0229989755393802E-8</v>
      </c>
      <c r="AC130" s="24">
        <f t="shared" si="57"/>
        <v>104.02837834021858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482.28841373508675</v>
      </c>
      <c r="AO130" s="62">
        <f t="shared" si="90"/>
        <v>746.97309214631684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128.36760767070396</v>
      </c>
      <c r="AV130" s="23">
        <f>EXP(-LN(2)/25)*AV129+(1-EXP(-LN(2)/25))/(LN(2)/25)*Calculateur!AQ130*Calculateur!AS130*VLOOKUP('Données projet'!$B$10,Paramètres!$A$1:$I$89,3,0)*0.475*44/12</f>
        <v>18.849549190009085</v>
      </c>
      <c r="AW130" s="23">
        <f>EXP(-LN(2)/2)*AW129+(1-EXP(-LN(2)/2))/(LN(2)/2)*AQ130*AT130*VLOOKUP('Données projet'!$B$10,Paramètres!$A$1:$I$89,3,0)*0.475*44/12</f>
        <v>1.7317458201652052E-6</v>
      </c>
      <c r="AX130" s="23">
        <f t="shared" si="60"/>
        <v>147.21715859245884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2.2737367544323206E-13</v>
      </c>
      <c r="BE130" s="14">
        <f>BD130*VLOOKUP('Données projet'!$B$11,Paramètres!$A$1:$I$89,3,0)*VLOOKUP('Données projet'!$B$11,Paramètres!$A$1:$I$89,5,0)</f>
        <v>1.6671037883497774E-13</v>
      </c>
      <c r="BF130" s="14">
        <f t="shared" si="91"/>
        <v>2.3598166018346595E-12</v>
      </c>
      <c r="BG130" s="22">
        <f t="shared" si="61"/>
        <v>4.400367824666284E-12</v>
      </c>
      <c r="BH130" s="62">
        <f t="shared" si="62"/>
        <v>293.33333333333769</v>
      </c>
      <c r="BI130" s="62">
        <f ca="1">AVERAGE(OFFSET($BH$3,0,0,'Données projet'!$E$11+1,1))-AVERAGE(OFFSET($H$3,0,0,'Données projet'!$E$11+1,1))</f>
        <v>350.22629663422435</v>
      </c>
      <c r="BJ130" s="62">
        <f t="shared" si="92"/>
        <v>375.98044319336645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52.579821055586365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52.579821055586365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-4.5224624045658861E-14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248.15263300983543</v>
      </c>
      <c r="CE130" s="62">
        <f t="shared" si="94"/>
        <v>266.46511459244618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37.039554489216307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37.039554489216307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-3.813056537183002E-14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205.35893113421139</v>
      </c>
      <c r="CZ130" s="62">
        <f t="shared" si="96"/>
        <v>220.4399811285175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31.22942829482945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31.22942829482945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490.96084572840579</v>
      </c>
      <c r="T131" s="62">
        <f t="shared" si="88"/>
        <v>597.91658789908263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89.07281752723631</v>
      </c>
      <c r="AA131" s="23">
        <f>EXP(-LN(2)/25)*AA130+(1-EXP(-LN(2)/25))/(LN(2)/25)*Calculateur!V131*Calculateur!X131*VLOOKUP('Données projet'!$B$9,Paramètres!$A$1:$I$89,3,0)*0.475*44/12</f>
        <v>12.81371841810064</v>
      </c>
      <c r="AB131" s="23">
        <f>EXP(-LN(2)/2)*AB130+(1-EXP(-LN(2)/2))/(LN(2)/2)*V131*Y131*VLOOKUP('Données projet'!$B$9,Paramètres!$A$1:$I$89,3,0)*0.475*44/12</f>
        <v>2.1375830751238819E-8</v>
      </c>
      <c r="AC131" s="24">
        <f t="shared" si="57"/>
        <v>101.88653596671277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482.28841373508675</v>
      </c>
      <c r="AO131" s="62">
        <f t="shared" si="90"/>
        <v>746.97309214631684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125.85039718079099</v>
      </c>
      <c r="AV131" s="23">
        <f>EXP(-LN(2)/25)*AV130+(1-EXP(-LN(2)/25))/(LN(2)/25)*Calculateur!AQ131*Calculateur!AS131*VLOOKUP('Données projet'!$B$10,Paramètres!$A$1:$I$89,3,0)*0.475*44/12</f>
        <v>18.334107276153578</v>
      </c>
      <c r="AW131" s="23">
        <f>EXP(-LN(2)/2)*AW130+(1-EXP(-LN(2)/2))/(LN(2)/2)*AQ131*AT131*VLOOKUP('Données projet'!$B$10,Paramètres!$A$1:$I$89,3,0)*0.475*44/12</f>
        <v>1.224529212730276E-6</v>
      </c>
      <c r="AX131" s="23">
        <f t="shared" si="60"/>
        <v>144.18450568147378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2.2737367544323206E-13</v>
      </c>
      <c r="BE131" s="14">
        <f>BD131*VLOOKUP('Données projet'!$B$11,Paramètres!$A$1:$I$89,3,0)*VLOOKUP('Données projet'!$B$11,Paramètres!$A$1:$I$89,5,0)</f>
        <v>1.6671037883497774E-13</v>
      </c>
      <c r="BF131" s="14">
        <f t="shared" si="91"/>
        <v>2.3598166018346595E-12</v>
      </c>
      <c r="BG131" s="22">
        <f t="shared" si="61"/>
        <v>4.400367824666284E-12</v>
      </c>
      <c r="BH131" s="62">
        <f t="shared" si="62"/>
        <v>293.33333333333769</v>
      </c>
      <c r="BI131" s="62">
        <f ca="1">AVERAGE(OFFSET($BH$3,0,0,'Données projet'!$E$11+1,1))-AVERAGE(OFFSET($H$3,0,0,'Données projet'!$E$11+1,1))</f>
        <v>350.22629663422435</v>
      </c>
      <c r="BJ131" s="62">
        <f t="shared" si="92"/>
        <v>375.98044319336645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51.548762835210461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51.548762835210461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-4.5224624045658861E-14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248.15263300983543</v>
      </c>
      <c r="CE131" s="62">
        <f t="shared" si="94"/>
        <v>266.46511459244618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36.313231417580248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36.313231417580248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-3.813056537183002E-14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205.35893113421139</v>
      </c>
      <c r="CZ131" s="62">
        <f t="shared" si="96"/>
        <v>220.4399811285175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30.617038254038263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30.617038254038263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490.96084572840579</v>
      </c>
      <c r="T132" s="62">
        <f t="shared" si="88"/>
        <v>597.91658789908263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87.326153904581346</v>
      </c>
      <c r="AA132" s="23">
        <f>EXP(-LN(2)/25)*AA131+(1-EXP(-LN(2)/25))/(LN(2)/25)*Calculateur!V132*Calculateur!X132*VLOOKUP('Données projet'!$B$9,Paramètres!$A$1:$I$89,3,0)*0.475*44/12</f>
        <v>12.463326614113512</v>
      </c>
      <c r="AB132" s="23">
        <f>EXP(-LN(2)/2)*AB131+(1-EXP(-LN(2)/2))/(LN(2)/2)*V132*Y132*VLOOKUP('Données projet'!$B$9,Paramètres!$A$1:$I$89,3,0)*0.475*44/12</f>
        <v>1.5114994877696901E-8</v>
      </c>
      <c r="AC132" s="24">
        <f t="shared" ref="AC132:AC153" si="111">SUM(Z132:AB132)</f>
        <v>99.789480533809851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482.28841373508675</v>
      </c>
      <c r="AO132" s="62">
        <f t="shared" si="90"/>
        <v>746.97309214631684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123.38254765323842</v>
      </c>
      <c r="AV132" s="23">
        <f>EXP(-LN(2)/25)*AV131+(1-EXP(-LN(2)/25))/(LN(2)/25)*Calculateur!AQ132*Calculateur!AS132*VLOOKUP('Données projet'!$B$10,Paramètres!$A$1:$I$89,3,0)*0.475*44/12</f>
        <v>17.832760148538359</v>
      </c>
      <c r="AW132" s="23">
        <f>EXP(-LN(2)/2)*AW131+(1-EXP(-LN(2)/2))/(LN(2)/2)*AQ132*AT132*VLOOKUP('Données projet'!$B$10,Paramètres!$A$1:$I$89,3,0)*0.475*44/12</f>
        <v>8.6587291008260258E-7</v>
      </c>
      <c r="AX132" s="23">
        <f t="shared" ref="AX132:AX153" si="114">SUM(AU132:AW132)</f>
        <v>141.21530866764971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2.2737367544323206E-13</v>
      </c>
      <c r="BE132" s="14">
        <f>BD132*VLOOKUP('Données projet'!$B$11,Paramètres!$A$1:$I$89,3,0)*VLOOKUP('Données projet'!$B$11,Paramètres!$A$1:$I$89,5,0)</f>
        <v>1.6671037883497774E-13</v>
      </c>
      <c r="BF132" s="14">
        <f t="shared" si="91"/>
        <v>2.3598166018346595E-12</v>
      </c>
      <c r="BG132" s="22">
        <f t="shared" ref="BG132:BG153" si="115">(BE132+BF132)*0.475*44/12</f>
        <v>4.400367824666284E-12</v>
      </c>
      <c r="BH132" s="62">
        <f t="shared" ref="BH132:BH195" si="116">BG132+(AY132+AZ132)*44/12</f>
        <v>293.33333333333769</v>
      </c>
      <c r="BI132" s="62">
        <f ca="1">AVERAGE(OFFSET($BH$3,0,0,'Données projet'!$E$11+1,1))-AVERAGE(OFFSET($H$3,0,0,'Données projet'!$E$11+1,1))</f>
        <v>350.22629663422435</v>
      </c>
      <c r="BJ132" s="62">
        <f t="shared" si="92"/>
        <v>375.98044319336645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50.53792303765271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50.53792303765271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-4.5224624045658861E-14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248.15263300983543</v>
      </c>
      <c r="CE132" s="62">
        <f t="shared" si="94"/>
        <v>266.46511459244618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35.601151098365641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35.601151098365641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-3.813056537183002E-14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205.35893113421139</v>
      </c>
      <c r="CZ132" s="62">
        <f t="shared" si="96"/>
        <v>220.4399811285175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30.01665680842595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30.01665680842595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490.96084572840579</v>
      </c>
      <c r="T133" s="62">
        <f t="shared" ref="T133:T196" si="142">$T$3</f>
        <v>597.91658789908263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85.613741290207031</v>
      </c>
      <c r="AA133" s="23">
        <f>EXP(-LN(2)/25)*AA132+(1-EXP(-LN(2)/25))/(LN(2)/25)*Calculateur!V133*Calculateur!X133*VLOOKUP('Données projet'!$B$9,Paramètres!$A$1:$I$89,3,0)*0.475*44/12</f>
        <v>12.122516292432717</v>
      </c>
      <c r="AB133" s="23">
        <f>EXP(-LN(2)/2)*AB132+(1-EXP(-LN(2)/2))/(LN(2)/2)*V133*Y133*VLOOKUP('Données projet'!$B$9,Paramètres!$A$1:$I$89,3,0)*0.475*44/12</f>
        <v>1.068791537561941E-8</v>
      </c>
      <c r="AC133" s="24">
        <f t="shared" si="111"/>
        <v>97.736257593327664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482.28841373508675</v>
      </c>
      <c r="AO133" s="62">
        <f t="shared" ref="AO133:AO196" si="144">$AO$3</f>
        <v>746.97309214631684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120.96309114968157</v>
      </c>
      <c r="AV133" s="23">
        <f>EXP(-LN(2)/25)*AV132+(1-EXP(-LN(2)/25))/(LN(2)/25)*Calculateur!AQ133*Calculateur!AS133*VLOOKUP('Données projet'!$B$10,Paramètres!$A$1:$I$89,3,0)*0.475*44/12</f>
        <v>17.345122384492477</v>
      </c>
      <c r="AW133" s="23">
        <f>EXP(-LN(2)/2)*AW132+(1-EXP(-LN(2)/2))/(LN(2)/2)*AQ133*AT133*VLOOKUP('Données projet'!$B$10,Paramètres!$A$1:$I$89,3,0)*0.475*44/12</f>
        <v>6.1226460636513799E-7</v>
      </c>
      <c r="AX133" s="23">
        <f t="shared" si="114"/>
        <v>138.30821414643867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2.2737367544323206E-13</v>
      </c>
      <c r="BE133" s="14">
        <f>BD133*VLOOKUP('Données projet'!$B$11,Paramètres!$A$1:$I$89,3,0)*VLOOKUP('Données projet'!$B$11,Paramètres!$A$1:$I$89,5,0)</f>
        <v>1.6671037883497774E-13</v>
      </c>
      <c r="BF133" s="14">
        <f t="shared" ref="BF133:BF153" si="145">EXP(-1.0587+0.8836*LN(BE133)+0.284)</f>
        <v>2.3598166018346595E-12</v>
      </c>
      <c r="BG133" s="22">
        <f t="shared" si="115"/>
        <v>4.400367824666284E-12</v>
      </c>
      <c r="BH133" s="62">
        <f t="shared" si="116"/>
        <v>293.33333333333769</v>
      </c>
      <c r="BI133" s="62">
        <f ca="1">AVERAGE(OFFSET($BH$3,0,0,'Données projet'!$E$11+1,1))-AVERAGE(OFFSET($H$3,0,0,'Données projet'!$E$11+1,1))</f>
        <v>350.22629663422435</v>
      </c>
      <c r="BJ133" s="62">
        <f t="shared" ref="BJ133:BJ196" si="146">$BJ$3</f>
        <v>375.98044319336645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49.546905191973671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49.546905191973671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-4.5224624045658861E-14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248.15263300983543</v>
      </c>
      <c r="CE133" s="62">
        <f t="shared" ref="CE133:CE196" si="148">$CE$3</f>
        <v>266.46511459244618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34.903034239884725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34.903034239884725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-3.813056537183002E-14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205.35893113421139</v>
      </c>
      <c r="CZ133" s="62">
        <f t="shared" ref="CZ133:CZ196" si="150">$CZ$3</f>
        <v>220.4399811285175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29.428048476765571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29.428048476765571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490.96084572840579</v>
      </c>
      <c r="T134" s="62">
        <f t="shared" si="142"/>
        <v>597.91658789908263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83.934908042732033</v>
      </c>
      <c r="AA134" s="23">
        <f>EXP(-LN(2)/25)*AA133+(1-EXP(-LN(2)/25))/(LN(2)/25)*Calculateur!V134*Calculateur!X134*VLOOKUP('Données projet'!$B$9,Paramètres!$A$1:$I$89,3,0)*0.475*44/12</f>
        <v>11.791025446920719</v>
      </c>
      <c r="AB134" s="23">
        <f>EXP(-LN(2)/2)*AB133+(1-EXP(-LN(2)/2))/(LN(2)/2)*V134*Y134*VLOOKUP('Données projet'!$B$9,Paramètres!$A$1:$I$89,3,0)*0.475*44/12</f>
        <v>7.5574974388484506E-9</v>
      </c>
      <c r="AC134" s="24">
        <f t="shared" si="111"/>
        <v>95.725933497210249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482.28841373508675</v>
      </c>
      <c r="AO134" s="62">
        <f t="shared" si="144"/>
        <v>746.97309214631684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118.59107871243673</v>
      </c>
      <c r="AV134" s="23">
        <f>EXP(-LN(2)/25)*AV133+(1-EXP(-LN(2)/25))/(LN(2)/25)*Calculateur!AQ134*Calculateur!AS134*VLOOKUP('Données projet'!$B$10,Paramètres!$A$1:$I$89,3,0)*0.475*44/12</f>
        <v>16.870819100748186</v>
      </c>
      <c r="AW134" s="23">
        <f>EXP(-LN(2)/2)*AW133+(1-EXP(-LN(2)/2))/(LN(2)/2)*AQ134*AT134*VLOOKUP('Données projet'!$B$10,Paramètres!$A$1:$I$89,3,0)*0.475*44/12</f>
        <v>4.3293645504130129E-7</v>
      </c>
      <c r="AX134" s="23">
        <f t="shared" si="114"/>
        <v>135.46189824612136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2.2737367544323206E-13</v>
      </c>
      <c r="BE134" s="14">
        <f>BD134*VLOOKUP('Données projet'!$B$11,Paramètres!$A$1:$I$89,3,0)*VLOOKUP('Données projet'!$B$11,Paramètres!$A$1:$I$89,5,0)</f>
        <v>1.6671037883497774E-13</v>
      </c>
      <c r="BF134" s="14">
        <f t="shared" si="145"/>
        <v>2.3598166018346595E-12</v>
      </c>
      <c r="BG134" s="22">
        <f t="shared" si="115"/>
        <v>4.400367824666284E-12</v>
      </c>
      <c r="BH134" s="62">
        <f t="shared" si="116"/>
        <v>293.33333333333769</v>
      </c>
      <c r="BI134" s="62">
        <f ca="1">AVERAGE(OFFSET($BH$3,0,0,'Données projet'!$E$11+1,1))-AVERAGE(OFFSET($H$3,0,0,'Données projet'!$E$11+1,1))</f>
        <v>350.22629663422435</v>
      </c>
      <c r="BJ134" s="62">
        <f t="shared" si="146"/>
        <v>375.98044319336645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48.575320601787197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48.575320601787197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-4.5224624045658861E-14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248.15263300983543</v>
      </c>
      <c r="CE134" s="62">
        <f t="shared" si="148"/>
        <v>266.46511459244618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34.218607027189385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34.218607027189385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-3.813056537183002E-14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205.35893113421139</v>
      </c>
      <c r="CZ134" s="62">
        <f t="shared" si="150"/>
        <v>220.4399811285175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28.850982395473419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28.850982395473419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490.96084572840579</v>
      </c>
      <c r="T135" s="62">
        <f t="shared" si="142"/>
        <v>597.91658789908263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82.28899569125285</v>
      </c>
      <c r="AA135" s="23">
        <f>EXP(-LN(2)/25)*AA134+(1-EXP(-LN(2)/25))/(LN(2)/25)*Calculateur!V135*Calculateur!X135*VLOOKUP('Données projet'!$B$9,Paramètres!$A$1:$I$89,3,0)*0.475*44/12</f>
        <v>11.468599236011592</v>
      </c>
      <c r="AB135" s="23">
        <f>EXP(-LN(2)/2)*AB134+(1-EXP(-LN(2)/2))/(LN(2)/2)*V135*Y135*VLOOKUP('Données projet'!$B$9,Paramètres!$A$1:$I$89,3,0)*0.475*44/12</f>
        <v>5.3439576878097048E-9</v>
      </c>
      <c r="AC135" s="24">
        <f t="shared" si="111"/>
        <v>93.757594932608413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482.28841373508675</v>
      </c>
      <c r="AO135" s="62">
        <f t="shared" si="144"/>
        <v>746.97309214631684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116.26557999230153</v>
      </c>
      <c r="AV135" s="23">
        <f>EXP(-LN(2)/25)*AV134+(1-EXP(-LN(2)/25))/(LN(2)/25)*Calculateur!AQ135*Calculateur!AS135*VLOOKUP('Données projet'!$B$10,Paramètres!$A$1:$I$89,3,0)*0.475*44/12</f>
        <v>16.40948566524041</v>
      </c>
      <c r="AW135" s="23">
        <f>EXP(-LN(2)/2)*AW134+(1-EXP(-LN(2)/2))/(LN(2)/2)*AQ135*AT135*VLOOKUP('Données projet'!$B$10,Paramètres!$A$1:$I$89,3,0)*0.475*44/12</f>
        <v>3.06132303182569E-7</v>
      </c>
      <c r="AX135" s="23">
        <f t="shared" si="114"/>
        <v>132.67506596367426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2.2737367544323206E-13</v>
      </c>
      <c r="BE135" s="14">
        <f>BD135*VLOOKUP('Données projet'!$B$11,Paramètres!$A$1:$I$89,3,0)*VLOOKUP('Données projet'!$B$11,Paramètres!$A$1:$I$89,5,0)</f>
        <v>1.6671037883497774E-13</v>
      </c>
      <c r="BF135" s="14">
        <f t="shared" si="145"/>
        <v>2.3598166018346595E-12</v>
      </c>
      <c r="BG135" s="22">
        <f t="shared" si="115"/>
        <v>4.400367824666284E-12</v>
      </c>
      <c r="BH135" s="62">
        <f t="shared" si="116"/>
        <v>293.33333333333769</v>
      </c>
      <c r="BI135" s="62">
        <f ca="1">AVERAGE(OFFSET($BH$3,0,0,'Données projet'!$E$11+1,1))-AVERAGE(OFFSET($H$3,0,0,'Données projet'!$E$11+1,1))</f>
        <v>350.22629663422435</v>
      </c>
      <c r="BJ135" s="62">
        <f t="shared" si="146"/>
        <v>375.98044319336645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47.62278819280619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47.62278819280619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-4.5224624045658861E-14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248.15263300983543</v>
      </c>
      <c r="CE135" s="62">
        <f t="shared" si="148"/>
        <v>266.46511459244618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33.547601014675621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33.547601014675621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-3.813056537183002E-14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205.35893113421139</v>
      </c>
      <c r="CZ135" s="62">
        <f t="shared" si="150"/>
        <v>220.4399811285175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28.285232228059851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28.285232228059851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490.96084572840579</v>
      </c>
      <c r="T136" s="62">
        <f t="shared" si="142"/>
        <v>597.91658789908263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80.675358677078776</v>
      </c>
      <c r="AA136" s="23">
        <f>EXP(-LN(2)/25)*AA135+(1-EXP(-LN(2)/25))/(LN(2)/25)*Calculateur!V136*Calculateur!X136*VLOOKUP('Données projet'!$B$9,Paramètres!$A$1:$I$89,3,0)*0.475*44/12</f>
        <v>11.154989786795433</v>
      </c>
      <c r="AB136" s="23">
        <f>EXP(-LN(2)/2)*AB135+(1-EXP(-LN(2)/2))/(LN(2)/2)*V136*Y136*VLOOKUP('Données projet'!$B$9,Paramètres!$A$1:$I$89,3,0)*0.475*44/12</f>
        <v>3.7787487194242253E-9</v>
      </c>
      <c r="AC136" s="24">
        <f t="shared" si="111"/>
        <v>91.830348467652954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482.28841373508675</v>
      </c>
      <c r="AO136" s="62">
        <f t="shared" si="144"/>
        <v>746.97309214631684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113.98568288365401</v>
      </c>
      <c r="AV136" s="23">
        <f>EXP(-LN(2)/25)*AV135+(1-EXP(-LN(2)/25))/(LN(2)/25)*Calculateur!AQ136*Calculateur!AS136*VLOOKUP('Données projet'!$B$10,Paramètres!$A$1:$I$89,3,0)*0.475*44/12</f>
        <v>15.960767416787064</v>
      </c>
      <c r="AW136" s="23">
        <f>EXP(-LN(2)/2)*AW135+(1-EXP(-LN(2)/2))/(LN(2)/2)*AQ136*AT136*VLOOKUP('Données projet'!$B$10,Paramètres!$A$1:$I$89,3,0)*0.475*44/12</f>
        <v>2.1646822752065064E-7</v>
      </c>
      <c r="AX136" s="23">
        <f t="shared" si="114"/>
        <v>129.94645051690932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2.2737367544323206E-13</v>
      </c>
      <c r="BE136" s="14">
        <f>BD136*VLOOKUP('Données projet'!$B$11,Paramètres!$A$1:$I$89,3,0)*VLOOKUP('Données projet'!$B$11,Paramètres!$A$1:$I$89,5,0)</f>
        <v>1.6671037883497774E-13</v>
      </c>
      <c r="BF136" s="14">
        <f t="shared" si="145"/>
        <v>2.3598166018346595E-12</v>
      </c>
      <c r="BG136" s="22">
        <f t="shared" si="115"/>
        <v>4.400367824666284E-12</v>
      </c>
      <c r="BH136" s="62">
        <f t="shared" si="116"/>
        <v>293.33333333333769</v>
      </c>
      <c r="BI136" s="62">
        <f ca="1">AVERAGE(OFFSET($BH$3,0,0,'Données projet'!$E$11+1,1))-AVERAGE(OFFSET($H$3,0,0,'Données projet'!$E$11+1,1))</f>
        <v>350.22629663422435</v>
      </c>
      <c r="BJ136" s="62">
        <f t="shared" si="146"/>
        <v>375.98044319336645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46.688934363377903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46.688934363377903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-4.5224624045658861E-14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248.15263300983543</v>
      </c>
      <c r="CE136" s="62">
        <f t="shared" si="148"/>
        <v>266.46511459244618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32.889753020793997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32.889753020793997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-3.813056537183002E-14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205.35893113421139</v>
      </c>
      <c r="CZ136" s="62">
        <f t="shared" si="150"/>
        <v>220.4399811285175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27.730576076355735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27.730576076355735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490.96084572840579</v>
      </c>
      <c r="T137" s="62">
        <f t="shared" si="142"/>
        <v>597.91658789908263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79.093364100531261</v>
      </c>
      <c r="AA137" s="23">
        <f>EXP(-LN(2)/25)*AA136+(1-EXP(-LN(2)/25))/(LN(2)/25)*Calculateur!V137*Calculateur!X137*VLOOKUP('Données projet'!$B$9,Paramètres!$A$1:$I$89,3,0)*0.475*44/12</f>
        <v>10.849956004460093</v>
      </c>
      <c r="AB137" s="23">
        <f>EXP(-LN(2)/2)*AB136+(1-EXP(-LN(2)/2))/(LN(2)/2)*V137*Y137*VLOOKUP('Données projet'!$B$9,Paramètres!$A$1:$I$89,3,0)*0.475*44/12</f>
        <v>2.6719788439048524E-9</v>
      </c>
      <c r="AC137" s="24">
        <f t="shared" si="111"/>
        <v>89.94332010766334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482.28841373508675</v>
      </c>
      <c r="AO137" s="62">
        <f t="shared" si="144"/>
        <v>746.97309214631684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111.75049316670714</v>
      </c>
      <c r="AV137" s="23">
        <f>EXP(-LN(2)/25)*AV136+(1-EXP(-LN(2)/25))/(LN(2)/25)*Calculateur!AQ137*Calculateur!AS137*VLOOKUP('Données projet'!$B$10,Paramètres!$A$1:$I$89,3,0)*0.475*44/12</f>
        <v>15.524319392434743</v>
      </c>
      <c r="AW137" s="23">
        <f>EXP(-LN(2)/2)*AW136+(1-EXP(-LN(2)/2))/(LN(2)/2)*AQ137*AT137*VLOOKUP('Données projet'!$B$10,Paramètres!$A$1:$I$89,3,0)*0.475*44/12</f>
        <v>1.530661515912845E-7</v>
      </c>
      <c r="AX137" s="23">
        <f t="shared" si="114"/>
        <v>127.27481271220805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2.2737367544323206E-13</v>
      </c>
      <c r="BE137" s="14">
        <f>BD137*VLOOKUP('Données projet'!$B$11,Paramètres!$A$1:$I$89,3,0)*VLOOKUP('Données projet'!$B$11,Paramètres!$A$1:$I$89,5,0)</f>
        <v>1.6671037883497774E-13</v>
      </c>
      <c r="BF137" s="14">
        <f t="shared" si="145"/>
        <v>2.3598166018346595E-12</v>
      </c>
      <c r="BG137" s="22">
        <f t="shared" si="115"/>
        <v>4.400367824666284E-12</v>
      </c>
      <c r="BH137" s="62">
        <f t="shared" si="116"/>
        <v>293.33333333333769</v>
      </c>
      <c r="BI137" s="62">
        <f ca="1">AVERAGE(OFFSET($BH$3,0,0,'Données projet'!$E$11+1,1))-AVERAGE(OFFSET($H$3,0,0,'Données projet'!$E$11+1,1))</f>
        <v>350.22629663422435</v>
      </c>
      <c r="BJ137" s="62">
        <f t="shared" si="146"/>
        <v>375.98044319336645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45.773392837950112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45.773392837950112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-4.5224624045658861E-14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248.15263300983543</v>
      </c>
      <c r="CE137" s="62">
        <f t="shared" si="148"/>
        <v>266.46511459244618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32.244805024824736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32.244805024824736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-3.813056537183002E-14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205.35893113421139</v>
      </c>
      <c r="CZ137" s="62">
        <f t="shared" si="150"/>
        <v>220.4399811285175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27.186796393479689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27.186796393479689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490.96084572840579</v>
      </c>
      <c r="T138" s="62">
        <f t="shared" si="142"/>
        <v>597.91658789908263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77.542391472708417</v>
      </c>
      <c r="AA138" s="23">
        <f>EXP(-LN(2)/25)*AA137+(1-EXP(-LN(2)/25))/(LN(2)/25)*Calculateur!V138*Calculateur!X138*VLOOKUP('Données projet'!$B$9,Paramètres!$A$1:$I$89,3,0)*0.475*44/12</f>
        <v>10.553263386943744</v>
      </c>
      <c r="AB138" s="23">
        <f>EXP(-LN(2)/2)*AB137+(1-EXP(-LN(2)/2))/(LN(2)/2)*V138*Y138*VLOOKUP('Données projet'!$B$9,Paramètres!$A$1:$I$89,3,0)*0.475*44/12</f>
        <v>1.8893743597121127E-9</v>
      </c>
      <c r="AC138" s="24">
        <f t="shared" si="111"/>
        <v>88.095654861541533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482.28841373508675</v>
      </c>
      <c r="AO138" s="62">
        <f t="shared" si="144"/>
        <v>746.97309214631684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109.5591341567785</v>
      </c>
      <c r="AV138" s="23">
        <f>EXP(-LN(2)/25)*AV137+(1-EXP(-LN(2)/25))/(LN(2)/25)*Calculateur!AQ138*Calculateur!AS138*VLOOKUP('Données projet'!$B$10,Paramètres!$A$1:$I$89,3,0)*0.475*44/12</f>
        <v>15.099806062260139</v>
      </c>
      <c r="AW138" s="23">
        <f>EXP(-LN(2)/2)*AW137+(1-EXP(-LN(2)/2))/(LN(2)/2)*AQ138*AT138*VLOOKUP('Données projet'!$B$10,Paramètres!$A$1:$I$89,3,0)*0.475*44/12</f>
        <v>1.0823411376032532E-7</v>
      </c>
      <c r="AX138" s="23">
        <f t="shared" si="114"/>
        <v>124.65894032727276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2.2737367544323206E-13</v>
      </c>
      <c r="BE138" s="14">
        <f>BD138*VLOOKUP('Données projet'!$B$11,Paramètres!$A$1:$I$89,3,0)*VLOOKUP('Données projet'!$B$11,Paramètres!$A$1:$I$89,5,0)</f>
        <v>1.6671037883497774E-13</v>
      </c>
      <c r="BF138" s="14">
        <f t="shared" si="145"/>
        <v>2.3598166018346595E-12</v>
      </c>
      <c r="BG138" s="22">
        <f t="shared" si="115"/>
        <v>4.400367824666284E-12</v>
      </c>
      <c r="BH138" s="62">
        <f t="shared" si="116"/>
        <v>293.33333333333769</v>
      </c>
      <c r="BI138" s="62">
        <f ca="1">AVERAGE(OFFSET($BH$3,0,0,'Données projet'!$E$11+1,1))-AVERAGE(OFFSET($H$3,0,0,'Données projet'!$E$11+1,1))</f>
        <v>350.22629663422435</v>
      </c>
      <c r="BJ138" s="62">
        <f t="shared" si="146"/>
        <v>375.98044319336645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44.875804523410771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44.875804523410771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-4.5224624045658861E-14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248.15263300983543</v>
      </c>
      <c r="CE138" s="62">
        <f t="shared" si="148"/>
        <v>266.46511459244618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31.612504065676994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31.612504065676994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-3.813056537183002E-14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205.35893113421139</v>
      </c>
      <c r="CZ138" s="62">
        <f t="shared" si="150"/>
        <v>220.4399811285175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26.653679898511985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26.653679898511985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490.96084572840579</v>
      </c>
      <c r="T139" s="62">
        <f t="shared" si="142"/>
        <v>597.91658789908263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76.021832472117296</v>
      </c>
      <c r="AA139" s="23">
        <f>EXP(-LN(2)/25)*AA138+(1-EXP(-LN(2)/25))/(LN(2)/25)*Calculateur!V139*Calculateur!X139*VLOOKUP('Données projet'!$B$9,Paramètres!$A$1:$I$89,3,0)*0.475*44/12</f>
        <v>10.264683844655766</v>
      </c>
      <c r="AB139" s="23">
        <f>EXP(-LN(2)/2)*AB138+(1-EXP(-LN(2)/2))/(LN(2)/2)*V139*Y139*VLOOKUP('Données projet'!$B$9,Paramètres!$A$1:$I$89,3,0)*0.475*44/12</f>
        <v>1.3359894219524262E-9</v>
      </c>
      <c r="AC139" s="24">
        <f t="shared" si="111"/>
        <v>86.286516318109051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482.28841373508675</v>
      </c>
      <c r="AO139" s="62">
        <f t="shared" si="144"/>
        <v>746.97309214631684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107.41074636043754</v>
      </c>
      <c r="AV139" s="23">
        <f>EXP(-LN(2)/25)*AV138+(1-EXP(-LN(2)/25))/(LN(2)/25)*Calculateur!AQ139*Calculateur!AS139*VLOOKUP('Données projet'!$B$10,Paramètres!$A$1:$I$89,3,0)*0.475*44/12</f>
        <v>14.686901071423346</v>
      </c>
      <c r="AW139" s="23">
        <f>EXP(-LN(2)/2)*AW138+(1-EXP(-LN(2)/2))/(LN(2)/2)*AQ139*AT139*VLOOKUP('Données projet'!$B$10,Paramètres!$A$1:$I$89,3,0)*0.475*44/12</f>
        <v>7.6533075795642249E-8</v>
      </c>
      <c r="AX139" s="23">
        <f t="shared" si="114"/>
        <v>122.09764750839396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2.2737367544323206E-13</v>
      </c>
      <c r="BE139" s="14">
        <f>BD139*VLOOKUP('Données projet'!$B$11,Paramètres!$A$1:$I$89,3,0)*VLOOKUP('Données projet'!$B$11,Paramètres!$A$1:$I$89,5,0)</f>
        <v>1.6671037883497774E-13</v>
      </c>
      <c r="BF139" s="14">
        <f t="shared" si="145"/>
        <v>2.3598166018346595E-12</v>
      </c>
      <c r="BG139" s="22">
        <f t="shared" si="115"/>
        <v>4.400367824666284E-12</v>
      </c>
      <c r="BH139" s="62">
        <f t="shared" si="116"/>
        <v>293.33333333333769</v>
      </c>
      <c r="BI139" s="62">
        <f ca="1">AVERAGE(OFFSET($BH$3,0,0,'Données projet'!$E$11+1,1))-AVERAGE(OFFSET($H$3,0,0,'Données projet'!$E$11+1,1))</f>
        <v>350.22629663422435</v>
      </c>
      <c r="BJ139" s="62">
        <f t="shared" si="146"/>
        <v>375.98044319336645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43.99581736824473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43.99581736824473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-4.5224624045658861E-14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248.15263300983543</v>
      </c>
      <c r="CE139" s="62">
        <f t="shared" si="148"/>
        <v>266.46511459244618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30.992602142672638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30.992602142672638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-3.813056537183002E-14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205.35893113421139</v>
      </c>
      <c r="CZ139" s="62">
        <f t="shared" si="150"/>
        <v>220.4399811285175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26.131017492841643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26.131017492841643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490.96084572840579</v>
      </c>
      <c r="T140" s="62">
        <f t="shared" si="142"/>
        <v>597.91658789908263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74.531090706078345</v>
      </c>
      <c r="AA140" s="23">
        <f>EXP(-LN(2)/25)*AA139+(1-EXP(-LN(2)/25))/(LN(2)/25)*Calculateur!V140*Calculateur!X140*VLOOKUP('Données projet'!$B$9,Paramètres!$A$1:$I$89,3,0)*0.475*44/12</f>
        <v>9.9839955251273906</v>
      </c>
      <c r="AB140" s="23">
        <f>EXP(-LN(2)/2)*AB139+(1-EXP(-LN(2)/2))/(LN(2)/2)*V140*Y140*VLOOKUP('Données projet'!$B$9,Paramètres!$A$1:$I$89,3,0)*0.475*44/12</f>
        <v>9.4468717985605633E-10</v>
      </c>
      <c r="AC140" s="24">
        <f t="shared" si="111"/>
        <v>84.515086232150423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482.28841373508675</v>
      </c>
      <c r="AO140" s="62">
        <f t="shared" si="144"/>
        <v>746.97309214631684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105.30448713839566</v>
      </c>
      <c r="AV140" s="23">
        <f>EXP(-LN(2)/25)*AV139+(1-EXP(-LN(2)/25))/(LN(2)/25)*Calculateur!AQ140*Calculateur!AS140*VLOOKUP('Données projet'!$B$10,Paramètres!$A$1:$I$89,3,0)*0.475*44/12</f>
        <v>14.285286989274715</v>
      </c>
      <c r="AW140" s="23">
        <f>EXP(-LN(2)/2)*AW139+(1-EXP(-LN(2)/2))/(LN(2)/2)*AQ140*AT140*VLOOKUP('Données projet'!$B$10,Paramètres!$A$1:$I$89,3,0)*0.475*44/12</f>
        <v>5.4117056880162661E-8</v>
      </c>
      <c r="AX140" s="23">
        <f t="shared" si="114"/>
        <v>119.58977418178742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2.2737367544323206E-13</v>
      </c>
      <c r="BE140" s="14">
        <f>BD140*VLOOKUP('Données projet'!$B$11,Paramètres!$A$1:$I$89,3,0)*VLOOKUP('Données projet'!$B$11,Paramètres!$A$1:$I$89,5,0)</f>
        <v>1.6671037883497774E-13</v>
      </c>
      <c r="BF140" s="14">
        <f t="shared" si="145"/>
        <v>2.3598166018346595E-12</v>
      </c>
      <c r="BG140" s="22">
        <f t="shared" si="115"/>
        <v>4.400367824666284E-12</v>
      </c>
      <c r="BH140" s="62">
        <f t="shared" si="116"/>
        <v>293.33333333333769</v>
      </c>
      <c r="BI140" s="62">
        <f ca="1">AVERAGE(OFFSET($BH$3,0,0,'Données projet'!$E$11+1,1))-AVERAGE(OFFSET($H$3,0,0,'Données projet'!$E$11+1,1))</f>
        <v>350.22629663422435</v>
      </c>
      <c r="BJ140" s="62">
        <f t="shared" si="146"/>
        <v>375.98044319336645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43.133086224452327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43.133086224452327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-4.5224624045658861E-14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248.15263300983543</v>
      </c>
      <c r="CE140" s="62">
        <f t="shared" si="148"/>
        <v>266.46511459244618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30.384856118275557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30.384856118275557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-3.813056537183002E-14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205.35893113421139</v>
      </c>
      <c r="CZ140" s="62">
        <f t="shared" si="150"/>
        <v>220.4399811285175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25.618604178153909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25.618604178153909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490.96084572840579</v>
      </c>
      <c r="T141" s="62">
        <f t="shared" si="142"/>
        <v>597.91658789908263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73.069581476808736</v>
      </c>
      <c r="AA141" s="23">
        <f>EXP(-LN(2)/25)*AA140+(1-EXP(-LN(2)/25))/(LN(2)/25)*Calculateur!V141*Calculateur!X141*VLOOKUP('Données projet'!$B$9,Paramètres!$A$1:$I$89,3,0)*0.475*44/12</f>
        <v>9.7109826424572763</v>
      </c>
      <c r="AB141" s="23">
        <f>EXP(-LN(2)/2)*AB140+(1-EXP(-LN(2)/2))/(LN(2)/2)*V141*Y141*VLOOKUP('Données projet'!$B$9,Paramètres!$A$1:$I$89,3,0)*0.475*44/12</f>
        <v>6.679947109762131E-10</v>
      </c>
      <c r="AC141" s="24">
        <f t="shared" si="111"/>
        <v>82.780564119934013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482.28841373508675</v>
      </c>
      <c r="AO141" s="62">
        <f t="shared" si="144"/>
        <v>746.97309214631684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103.23953037500675</v>
      </c>
      <c r="AV141" s="23">
        <f>EXP(-LN(2)/25)*AV140+(1-EXP(-LN(2)/25))/(LN(2)/25)*Calculateur!AQ141*Calculateur!AS141*VLOOKUP('Données projet'!$B$10,Paramètres!$A$1:$I$89,3,0)*0.475*44/12</f>
        <v>13.894655065322404</v>
      </c>
      <c r="AW141" s="23">
        <f>EXP(-LN(2)/2)*AW140+(1-EXP(-LN(2)/2))/(LN(2)/2)*AQ141*AT141*VLOOKUP('Données projet'!$B$10,Paramètres!$A$1:$I$89,3,0)*0.475*44/12</f>
        <v>3.8266537897821125E-8</v>
      </c>
      <c r="AX141" s="23">
        <f t="shared" si="114"/>
        <v>117.1341854785957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2.2737367544323206E-13</v>
      </c>
      <c r="BE141" s="14">
        <f>BD141*VLOOKUP('Données projet'!$B$11,Paramètres!$A$1:$I$89,3,0)*VLOOKUP('Données projet'!$B$11,Paramètres!$A$1:$I$89,5,0)</f>
        <v>1.6671037883497774E-13</v>
      </c>
      <c r="BF141" s="14">
        <f t="shared" si="145"/>
        <v>2.3598166018346595E-12</v>
      </c>
      <c r="BG141" s="22">
        <f t="shared" si="115"/>
        <v>4.400367824666284E-12</v>
      </c>
      <c r="BH141" s="62">
        <f t="shared" si="116"/>
        <v>293.33333333333769</v>
      </c>
      <c r="BI141" s="62">
        <f ca="1">AVERAGE(OFFSET($BH$3,0,0,'Données projet'!$E$11+1,1))-AVERAGE(OFFSET($H$3,0,0,'Données projet'!$E$11+1,1))</f>
        <v>350.22629663422435</v>
      </c>
      <c r="BJ141" s="62">
        <f t="shared" si="146"/>
        <v>375.98044319336645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42.287272712175657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42.287272712175657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-4.5224624045658861E-14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248.15263300983543</v>
      </c>
      <c r="CE141" s="62">
        <f t="shared" si="148"/>
        <v>266.46511459244618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29.78902762272843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29.78902762272843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-3.813056537183002E-14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205.35893113421139</v>
      </c>
      <c r="CZ141" s="62">
        <f t="shared" si="150"/>
        <v>220.4399811285175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25.11623897602594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25.11623897602594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490.96084572840579</v>
      </c>
      <c r="T142" s="62">
        <f t="shared" si="142"/>
        <v>597.91658789908263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71.636731552092485</v>
      </c>
      <c r="AA142" s="23">
        <f>EXP(-LN(2)/25)*AA141+(1-EXP(-LN(2)/25))/(LN(2)/25)*Calculateur!V142*Calculateur!X142*VLOOKUP('Données projet'!$B$9,Paramètres!$A$1:$I$89,3,0)*0.475*44/12</f>
        <v>9.4454353114208995</v>
      </c>
      <c r="AB142" s="23">
        <f>EXP(-LN(2)/2)*AB141+(1-EXP(-LN(2)/2))/(LN(2)/2)*V142*Y142*VLOOKUP('Données projet'!$B$9,Paramètres!$A$1:$I$89,3,0)*0.475*44/12</f>
        <v>4.7234358992802816E-10</v>
      </c>
      <c r="AC142" s="24">
        <f t="shared" si="111"/>
        <v>81.082166863985719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482.28841373508675</v>
      </c>
      <c r="AO142" s="62">
        <f t="shared" si="144"/>
        <v>746.97309214631684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101.21506615424863</v>
      </c>
      <c r="AV142" s="23">
        <f>EXP(-LN(2)/25)*AV141+(1-EXP(-LN(2)/25))/(LN(2)/25)*Calculateur!AQ142*Calculateur!AS142*VLOOKUP('Données projet'!$B$10,Paramètres!$A$1:$I$89,3,0)*0.475*44/12</f>
        <v>13.514704991873009</v>
      </c>
      <c r="AW142" s="23">
        <f>EXP(-LN(2)/2)*AW141+(1-EXP(-LN(2)/2))/(LN(2)/2)*AQ142*AT142*VLOOKUP('Données projet'!$B$10,Paramètres!$A$1:$I$89,3,0)*0.475*44/12</f>
        <v>2.7058528440081331E-8</v>
      </c>
      <c r="AX142" s="23">
        <f t="shared" si="114"/>
        <v>114.72977117318017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2.2737367544323206E-13</v>
      </c>
      <c r="BE142" s="14">
        <f>BD142*VLOOKUP('Données projet'!$B$11,Paramètres!$A$1:$I$89,3,0)*VLOOKUP('Données projet'!$B$11,Paramètres!$A$1:$I$89,5,0)</f>
        <v>1.6671037883497774E-13</v>
      </c>
      <c r="BF142" s="14">
        <f t="shared" si="145"/>
        <v>2.3598166018346595E-12</v>
      </c>
      <c r="BG142" s="22">
        <f t="shared" si="115"/>
        <v>4.400367824666284E-12</v>
      </c>
      <c r="BH142" s="62">
        <f t="shared" si="116"/>
        <v>293.33333333333769</v>
      </c>
      <c r="BI142" s="62">
        <f ca="1">AVERAGE(OFFSET($BH$3,0,0,'Données projet'!$E$11+1,1))-AVERAGE(OFFSET($H$3,0,0,'Données projet'!$E$11+1,1))</f>
        <v>350.22629663422435</v>
      </c>
      <c r="BJ142" s="62">
        <f t="shared" si="146"/>
        <v>375.98044319336645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41.458045086979432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41.458045086979432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-4.5224624045658861E-14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248.15263300983543</v>
      </c>
      <c r="CE142" s="62">
        <f t="shared" si="148"/>
        <v>266.46511459244618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29.204882960559484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29.204882960559484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-3.813056537183002E-14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205.35893113421139</v>
      </c>
      <c r="CZ142" s="62">
        <f t="shared" si="150"/>
        <v>220.4399811285175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24.623724849099183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24.623724849099183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490.96084572840579</v>
      </c>
      <c r="T143" s="62">
        <f t="shared" si="142"/>
        <v>597.91658789908263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70.23197894044776</v>
      </c>
      <c r="AA143" s="23">
        <f>EXP(-LN(2)/25)*AA142+(1-EXP(-LN(2)/25))/(LN(2)/25)*Calculateur!V143*Calculateur!X143*VLOOKUP('Données projet'!$B$9,Paramètres!$A$1:$I$89,3,0)*0.475*44/12</f>
        <v>9.1871493861162392</v>
      </c>
      <c r="AB143" s="23">
        <f>EXP(-LN(2)/2)*AB142+(1-EXP(-LN(2)/2))/(LN(2)/2)*V143*Y143*VLOOKUP('Données projet'!$B$9,Paramètres!$A$1:$I$89,3,0)*0.475*44/12</f>
        <v>3.3399735548810655E-10</v>
      </c>
      <c r="AC143" s="24">
        <f t="shared" si="111"/>
        <v>79.41912832689799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482.28841373508675</v>
      </c>
      <c r="AO143" s="62">
        <f t="shared" si="144"/>
        <v>746.97309214631684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99.230300442058336</v>
      </c>
      <c r="AV143" s="23">
        <f>EXP(-LN(2)/25)*AV142+(1-EXP(-LN(2)/25))/(LN(2)/25)*Calculateur!AQ143*Calculateur!AS143*VLOOKUP('Données projet'!$B$10,Paramètres!$A$1:$I$89,3,0)*0.475*44/12</f>
        <v>13.145144673162793</v>
      </c>
      <c r="AW143" s="23">
        <f>EXP(-LN(2)/2)*AW142+(1-EXP(-LN(2)/2))/(LN(2)/2)*AQ143*AT143*VLOOKUP('Données projet'!$B$10,Paramètres!$A$1:$I$89,3,0)*0.475*44/12</f>
        <v>1.9133268948910562E-8</v>
      </c>
      <c r="AX143" s="23">
        <f t="shared" si="114"/>
        <v>112.37544513435439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2.2737367544323206E-13</v>
      </c>
      <c r="BE143" s="14">
        <f>BD143*VLOOKUP('Données projet'!$B$11,Paramètres!$A$1:$I$89,3,0)*VLOOKUP('Données projet'!$B$11,Paramètres!$A$1:$I$89,5,0)</f>
        <v>1.6671037883497774E-13</v>
      </c>
      <c r="BF143" s="14">
        <f t="shared" si="145"/>
        <v>2.3598166018346595E-12</v>
      </c>
      <c r="BG143" s="22">
        <f t="shared" si="115"/>
        <v>4.400367824666284E-12</v>
      </c>
      <c r="BH143" s="62">
        <f t="shared" si="116"/>
        <v>293.33333333333769</v>
      </c>
      <c r="BI143" s="62">
        <f ca="1">AVERAGE(OFFSET($BH$3,0,0,'Données projet'!$E$11+1,1))-AVERAGE(OFFSET($H$3,0,0,'Données projet'!$E$11+1,1))</f>
        <v>350.22629663422435</v>
      </c>
      <c r="BJ143" s="62">
        <f t="shared" si="146"/>
        <v>375.98044319336645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40.645078109734392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40.645078109734392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-4.5224624045658861E-14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248.15263300983543</v>
      </c>
      <c r="CE143" s="62">
        <f t="shared" si="148"/>
        <v>266.46511459244618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28.63219301892261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28.63219301892261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-3.813056537183002E-14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205.35893113421139</v>
      </c>
      <c r="CZ143" s="62">
        <f t="shared" si="150"/>
        <v>220.4399811285175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24.140868623797505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24.140868623797505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490.96084572840579</v>
      </c>
      <c r="T144" s="62">
        <f t="shared" si="142"/>
        <v>597.91658789908263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68.8547726707029</v>
      </c>
      <c r="AA144" s="23">
        <f>EXP(-LN(2)/25)*AA143+(1-EXP(-LN(2)/25))/(LN(2)/25)*Calculateur!V144*Calculateur!X144*VLOOKUP('Données projet'!$B$9,Paramètres!$A$1:$I$89,3,0)*0.475*44/12</f>
        <v>8.9359263030217022</v>
      </c>
      <c r="AB144" s="23">
        <f>EXP(-LN(2)/2)*AB143+(1-EXP(-LN(2)/2))/(LN(2)/2)*V144*Y144*VLOOKUP('Données projet'!$B$9,Paramètres!$A$1:$I$89,3,0)*0.475*44/12</f>
        <v>2.3617179496401408E-10</v>
      </c>
      <c r="AC144" s="24">
        <f t="shared" si="111"/>
        <v>77.790698973960772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482.28841373508675</v>
      </c>
      <c r="AO144" s="62">
        <f t="shared" si="144"/>
        <v>746.97309214631684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97.284454774896545</v>
      </c>
      <c r="AV144" s="23">
        <f>EXP(-LN(2)/25)*AV143+(1-EXP(-LN(2)/25))/(LN(2)/25)*Calculateur!AQ144*Calculateur!AS144*VLOOKUP('Données projet'!$B$10,Paramètres!$A$1:$I$89,3,0)*0.475*44/12</f>
        <v>12.785690000802042</v>
      </c>
      <c r="AW144" s="23">
        <f>EXP(-LN(2)/2)*AW143+(1-EXP(-LN(2)/2))/(LN(2)/2)*AQ144*AT144*VLOOKUP('Données projet'!$B$10,Paramètres!$A$1:$I$89,3,0)*0.475*44/12</f>
        <v>1.3529264220040665E-8</v>
      </c>
      <c r="AX144" s="23">
        <f t="shared" si="114"/>
        <v>110.07014478922785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2.2737367544323206E-13</v>
      </c>
      <c r="BE144" s="14">
        <f>BD144*VLOOKUP('Données projet'!$B$11,Paramètres!$A$1:$I$89,3,0)*VLOOKUP('Données projet'!$B$11,Paramètres!$A$1:$I$89,5,0)</f>
        <v>1.6671037883497774E-13</v>
      </c>
      <c r="BF144" s="14">
        <f t="shared" si="145"/>
        <v>2.3598166018346595E-12</v>
      </c>
      <c r="BG144" s="22">
        <f t="shared" si="115"/>
        <v>4.400367824666284E-12</v>
      </c>
      <c r="BH144" s="62">
        <f t="shared" si="116"/>
        <v>293.33333333333769</v>
      </c>
      <c r="BI144" s="62">
        <f ca="1">AVERAGE(OFFSET($BH$3,0,0,'Données projet'!$E$11+1,1))-AVERAGE(OFFSET($H$3,0,0,'Données projet'!$E$11+1,1))</f>
        <v>350.22629663422435</v>
      </c>
      <c r="BJ144" s="62">
        <f t="shared" si="146"/>
        <v>375.98044319336645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39.848052919052236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39.848052919052236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-4.5224624045658861E-14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248.15263300983543</v>
      </c>
      <c r="CE144" s="62">
        <f t="shared" si="148"/>
        <v>266.46511459244618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28.070733177734862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28.070733177734862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-3.813056537183002E-14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205.35893113421139</v>
      </c>
      <c r="CZ144" s="62">
        <f t="shared" si="150"/>
        <v>220.4399811285175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23.667480914560777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23.667480914560777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490.96084572840579</v>
      </c>
      <c r="T145" s="62">
        <f t="shared" si="142"/>
        <v>597.91658789908263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67.504572575894855</v>
      </c>
      <c r="AA145" s="23">
        <f>EXP(-LN(2)/25)*AA144+(1-EXP(-LN(2)/25))/(LN(2)/25)*Calculateur!V145*Calculateur!X145*VLOOKUP('Données projet'!$B$9,Paramètres!$A$1:$I$89,3,0)*0.475*44/12</f>
        <v>8.6915729283456322</v>
      </c>
      <c r="AB145" s="23">
        <f>EXP(-LN(2)/2)*AB144+(1-EXP(-LN(2)/2))/(LN(2)/2)*V145*Y145*VLOOKUP('Données projet'!$B$9,Paramètres!$A$1:$I$89,3,0)*0.475*44/12</f>
        <v>1.6699867774405328E-10</v>
      </c>
      <c r="AC145" s="24">
        <f t="shared" si="111"/>
        <v>76.196145504407482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482.28841373508675</v>
      </c>
      <c r="AO145" s="62">
        <f t="shared" si="144"/>
        <v>746.97309214631684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95.376765954419128</v>
      </c>
      <c r="AV145" s="23">
        <f>EXP(-LN(2)/25)*AV144+(1-EXP(-LN(2)/25))/(LN(2)/25)*Calculateur!AQ145*Calculateur!AS145*VLOOKUP('Données projet'!$B$10,Paramètres!$A$1:$I$89,3,0)*0.475*44/12</f>
        <v>12.436064635359894</v>
      </c>
      <c r="AW145" s="23">
        <f>EXP(-LN(2)/2)*AW144+(1-EXP(-LN(2)/2))/(LN(2)/2)*AQ145*AT145*VLOOKUP('Données projet'!$B$10,Paramètres!$A$1:$I$89,3,0)*0.475*44/12</f>
        <v>9.5666344744552812E-9</v>
      </c>
      <c r="AX145" s="23">
        <f t="shared" si="114"/>
        <v>107.81283059934566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2.2737367544323206E-13</v>
      </c>
      <c r="BE145" s="14">
        <f>BD145*VLOOKUP('Données projet'!$B$11,Paramètres!$A$1:$I$89,3,0)*VLOOKUP('Données projet'!$B$11,Paramètres!$A$1:$I$89,5,0)</f>
        <v>1.6671037883497774E-13</v>
      </c>
      <c r="BF145" s="14">
        <f t="shared" si="145"/>
        <v>2.3598166018346595E-12</v>
      </c>
      <c r="BG145" s="22">
        <f t="shared" si="115"/>
        <v>4.400367824666284E-12</v>
      </c>
      <c r="BH145" s="62">
        <f t="shared" si="116"/>
        <v>293.33333333333769</v>
      </c>
      <c r="BI145" s="62">
        <f ca="1">AVERAGE(OFFSET($BH$3,0,0,'Données projet'!$E$11+1,1))-AVERAGE(OFFSET($H$3,0,0,'Données projet'!$E$11+1,1))</f>
        <v>350.22629663422435</v>
      </c>
      <c r="BJ145" s="62">
        <f t="shared" si="146"/>
        <v>375.98044319336645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39.066656906221993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39.066656906221993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-4.5224624045658861E-14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248.15263300983543</v>
      </c>
      <c r="CE145" s="62">
        <f t="shared" si="148"/>
        <v>266.46511459244618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27.520283221576115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27.520283221576115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-3.813056537183002E-14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205.35893113421139</v>
      </c>
      <c r="CZ145" s="62">
        <f t="shared" si="150"/>
        <v>220.4399811285175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23.203376049564188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23.203376049564188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490.96084572840579</v>
      </c>
      <c r="T146" s="62">
        <f t="shared" si="142"/>
        <v>597.91658789908263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66.180849081405256</v>
      </c>
      <c r="AA146" s="23">
        <f>EXP(-LN(2)/25)*AA145+(1-EXP(-LN(2)/25))/(LN(2)/25)*Calculateur!V146*Calculateur!X146*VLOOKUP('Données projet'!$B$9,Paramètres!$A$1:$I$89,3,0)*0.475*44/12</f>
        <v>8.4539014095500651</v>
      </c>
      <c r="AB146" s="23">
        <f>EXP(-LN(2)/2)*AB145+(1-EXP(-LN(2)/2))/(LN(2)/2)*V146*Y146*VLOOKUP('Données projet'!$B$9,Paramètres!$A$1:$I$89,3,0)*0.475*44/12</f>
        <v>1.1808589748200704E-10</v>
      </c>
      <c r="AC146" s="24">
        <f t="shared" si="111"/>
        <v>74.634750491073419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482.28841373508675</v>
      </c>
      <c r="AO146" s="62">
        <f t="shared" si="144"/>
        <v>746.97309214631684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93.506485748135987</v>
      </c>
      <c r="AV146" s="23">
        <f>EXP(-LN(2)/25)*AV145+(1-EXP(-LN(2)/25))/(LN(2)/25)*Calculateur!AQ146*Calculateur!AS146*VLOOKUP('Données projet'!$B$10,Paramètres!$A$1:$I$89,3,0)*0.475*44/12</f>
        <v>12.095999793921761</v>
      </c>
      <c r="AW146" s="23">
        <f>EXP(-LN(2)/2)*AW145+(1-EXP(-LN(2)/2))/(LN(2)/2)*AQ146*AT146*VLOOKUP('Données projet'!$B$10,Paramètres!$A$1:$I$89,3,0)*0.475*44/12</f>
        <v>6.7646321100203326E-9</v>
      </c>
      <c r="AX146" s="23">
        <f t="shared" si="114"/>
        <v>105.60248554882239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2.2737367544323206E-13</v>
      </c>
      <c r="BE146" s="14">
        <f>BD146*VLOOKUP('Données projet'!$B$11,Paramètres!$A$1:$I$89,3,0)*VLOOKUP('Données projet'!$B$11,Paramètres!$A$1:$I$89,5,0)</f>
        <v>1.6671037883497774E-13</v>
      </c>
      <c r="BF146" s="14">
        <f t="shared" si="145"/>
        <v>2.3598166018346595E-12</v>
      </c>
      <c r="BG146" s="22">
        <f t="shared" si="115"/>
        <v>4.400367824666284E-12</v>
      </c>
      <c r="BH146" s="62">
        <f t="shared" si="116"/>
        <v>293.33333333333769</v>
      </c>
      <c r="BI146" s="62">
        <f ca="1">AVERAGE(OFFSET($BH$3,0,0,'Données projet'!$E$11+1,1))-AVERAGE(OFFSET($H$3,0,0,'Données projet'!$E$11+1,1))</f>
        <v>350.22629663422435</v>
      </c>
      <c r="BJ146" s="62">
        <f t="shared" si="146"/>
        <v>375.98044319336645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38.300583592598841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38.300583592598841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-4.5224624045658861E-14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248.15263300983543</v>
      </c>
      <c r="CE146" s="62">
        <f t="shared" si="148"/>
        <v>266.46511459244618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26.980627253316321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26.980627253316321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-3.813056537183002E-14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205.35893113421139</v>
      </c>
      <c r="CZ146" s="62">
        <f t="shared" si="150"/>
        <v>220.4399811285175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22.748371997894164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22.748371997894164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490.96084572840579</v>
      </c>
      <c r="T147" s="62">
        <f t="shared" si="142"/>
        <v>597.91658789908263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64.883082997250995</v>
      </c>
      <c r="AA147" s="23">
        <f>EXP(-LN(2)/25)*AA146+(1-EXP(-LN(2)/25))/(LN(2)/25)*Calculateur!V147*Calculateur!X147*VLOOKUP('Données projet'!$B$9,Paramètres!$A$1:$I$89,3,0)*0.475*44/12</f>
        <v>8.2227290309345644</v>
      </c>
      <c r="AB147" s="23">
        <f>EXP(-LN(2)/2)*AB146+(1-EXP(-LN(2)/2))/(LN(2)/2)*V147*Y147*VLOOKUP('Données projet'!$B$9,Paramètres!$A$1:$I$89,3,0)*0.475*44/12</f>
        <v>8.3499338872026638E-11</v>
      </c>
      <c r="AC147" s="24">
        <f t="shared" si="111"/>
        <v>73.105812028269057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482.28841373508675</v>
      </c>
      <c r="AO147" s="62">
        <f t="shared" si="144"/>
        <v>746.97309214631684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91.672880595939773</v>
      </c>
      <c r="AV147" s="23">
        <f>EXP(-LN(2)/25)*AV146+(1-EXP(-LN(2)/25))/(LN(2)/25)*Calculateur!AQ147*Calculateur!AS147*VLOOKUP('Données projet'!$B$10,Paramètres!$A$1:$I$89,3,0)*0.475*44/12</f>
        <v>11.765234043455987</v>
      </c>
      <c r="AW147" s="23">
        <f>EXP(-LN(2)/2)*AW146+(1-EXP(-LN(2)/2))/(LN(2)/2)*AQ147*AT147*VLOOKUP('Données projet'!$B$10,Paramètres!$A$1:$I$89,3,0)*0.475*44/12</f>
        <v>4.7833172372276406E-9</v>
      </c>
      <c r="AX147" s="23">
        <f t="shared" si="114"/>
        <v>103.43811464417908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2.2737367544323206E-13</v>
      </c>
      <c r="BE147" s="14">
        <f>BD147*VLOOKUP('Données projet'!$B$11,Paramètres!$A$1:$I$89,3,0)*VLOOKUP('Données projet'!$B$11,Paramètres!$A$1:$I$89,5,0)</f>
        <v>1.6671037883497774E-13</v>
      </c>
      <c r="BF147" s="14">
        <f t="shared" si="145"/>
        <v>2.3598166018346595E-12</v>
      </c>
      <c r="BG147" s="22">
        <f t="shared" si="115"/>
        <v>4.400367824666284E-12</v>
      </c>
      <c r="BH147" s="62">
        <f t="shared" si="116"/>
        <v>293.33333333333769</v>
      </c>
      <c r="BI147" s="62">
        <f ca="1">AVERAGE(OFFSET($BH$3,0,0,'Données projet'!$E$11+1,1))-AVERAGE(OFFSET($H$3,0,0,'Données projet'!$E$11+1,1))</f>
        <v>350.22629663422435</v>
      </c>
      <c r="BJ147" s="62">
        <f t="shared" si="146"/>
        <v>375.98044319336645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37.54953250939726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37.54953250939726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-4.5224624045658861E-14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248.15263300983543</v>
      </c>
      <c r="CE147" s="62">
        <f t="shared" si="148"/>
        <v>266.46511459244618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26.451553609436463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26.451553609436463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-3.813056537183002E-14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205.35893113421139</v>
      </c>
      <c r="CZ147" s="62">
        <f t="shared" si="150"/>
        <v>220.4399811285175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22.302290298152322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22.302290298152322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490.96084572840579</v>
      </c>
      <c r="T148" s="62">
        <f t="shared" si="142"/>
        <v>597.91658789908263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63.610765314447846</v>
      </c>
      <c r="AA148" s="23">
        <f>EXP(-LN(2)/25)*AA147+(1-EXP(-LN(2)/25))/(LN(2)/25)*Calculateur!V148*Calculateur!X148*VLOOKUP('Données projet'!$B$9,Paramètres!$A$1:$I$89,3,0)*0.475*44/12</f>
        <v>7.9978780731691321</v>
      </c>
      <c r="AB148" s="23">
        <f>EXP(-LN(2)/2)*AB147+(1-EXP(-LN(2)/2))/(LN(2)/2)*V148*Y148*VLOOKUP('Données projet'!$B$9,Paramètres!$A$1:$I$89,3,0)*0.475*44/12</f>
        <v>5.904294874100352E-11</v>
      </c>
      <c r="AC148" s="24">
        <f t="shared" si="111"/>
        <v>71.608643387676025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482.28841373508675</v>
      </c>
      <c r="AO148" s="62">
        <f t="shared" si="144"/>
        <v>746.97309214631684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89.875231322389411</v>
      </c>
      <c r="AV148" s="23">
        <f>EXP(-LN(2)/25)*AV147+(1-EXP(-LN(2)/25))/(LN(2)/25)*Calculateur!AQ148*Calculateur!AS148*VLOOKUP('Données projet'!$B$10,Paramètres!$A$1:$I$89,3,0)*0.475*44/12</f>
        <v>11.443513099830914</v>
      </c>
      <c r="AW148" s="23">
        <f>EXP(-LN(2)/2)*AW147+(1-EXP(-LN(2)/2))/(LN(2)/2)*AQ148*AT148*VLOOKUP('Données projet'!$B$10,Paramètres!$A$1:$I$89,3,0)*0.475*44/12</f>
        <v>3.3823160550101663E-9</v>
      </c>
      <c r="AX148" s="23">
        <f t="shared" si="114"/>
        <v>101.31874442560263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2.2737367544323206E-13</v>
      </c>
      <c r="BE148" s="14">
        <f>BD148*VLOOKUP('Données projet'!$B$11,Paramètres!$A$1:$I$89,3,0)*VLOOKUP('Données projet'!$B$11,Paramètres!$A$1:$I$89,5,0)</f>
        <v>1.6671037883497774E-13</v>
      </c>
      <c r="BF148" s="14">
        <f t="shared" si="145"/>
        <v>2.3598166018346595E-12</v>
      </c>
      <c r="BG148" s="22">
        <f t="shared" si="115"/>
        <v>4.400367824666284E-12</v>
      </c>
      <c r="BH148" s="62">
        <f t="shared" si="116"/>
        <v>293.33333333333769</v>
      </c>
      <c r="BI148" s="62">
        <f ca="1">AVERAGE(OFFSET($BH$3,0,0,'Données projet'!$E$11+1,1))-AVERAGE(OFFSET($H$3,0,0,'Données projet'!$E$11+1,1))</f>
        <v>350.22629663422435</v>
      </c>
      <c r="BJ148" s="62">
        <f t="shared" si="146"/>
        <v>375.98044319336645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36.813209079841329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36.813209079841329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-4.5224624045658861E-14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248.15263300983543</v>
      </c>
      <c r="CE148" s="62">
        <f t="shared" si="148"/>
        <v>266.46511459244618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25.932854777010029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25.932854777010029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-3.813056537183002E-14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205.35893113421139</v>
      </c>
      <c r="CZ148" s="62">
        <f t="shared" si="150"/>
        <v>220.4399811285175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21.864955988459446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21.864955988459446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490.96084572840579</v>
      </c>
      <c r="T149" s="62">
        <f t="shared" si="142"/>
        <v>597.91658789908263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62.363397005367311</v>
      </c>
      <c r="AA149" s="23">
        <f>EXP(-LN(2)/25)*AA148+(1-EXP(-LN(2)/25))/(LN(2)/25)*Calculateur!V149*Calculateur!X149*VLOOKUP('Données projet'!$B$9,Paramètres!$A$1:$I$89,3,0)*0.475*44/12</f>
        <v>7.7791756766681939</v>
      </c>
      <c r="AB149" s="23">
        <f>EXP(-LN(2)/2)*AB148+(1-EXP(-LN(2)/2))/(LN(2)/2)*V149*Y149*VLOOKUP('Données projet'!$B$9,Paramètres!$A$1:$I$89,3,0)*0.475*44/12</f>
        <v>4.1749669436013319E-11</v>
      </c>
      <c r="AC149" s="24">
        <f t="shared" si="111"/>
        <v>70.142572682077258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482.28841373508675</v>
      </c>
      <c r="AO149" s="62">
        <f t="shared" si="144"/>
        <v>746.97309214631684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88.112832854635585</v>
      </c>
      <c r="AV149" s="23">
        <f>EXP(-LN(2)/25)*AV148+(1-EXP(-LN(2)/25))/(LN(2)/25)*Calculateur!AQ149*Calculateur!AS149*VLOOKUP('Données projet'!$B$10,Paramètres!$A$1:$I$89,3,0)*0.475*44/12</f>
        <v>11.130589632327839</v>
      </c>
      <c r="AW149" s="23">
        <f>EXP(-LN(2)/2)*AW148+(1-EXP(-LN(2)/2))/(LN(2)/2)*AQ149*AT149*VLOOKUP('Données projet'!$B$10,Paramètres!$A$1:$I$89,3,0)*0.475*44/12</f>
        <v>2.3916586186138203E-9</v>
      </c>
      <c r="AX149" s="23">
        <f t="shared" si="114"/>
        <v>99.243422489355083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2.2737367544323206E-13</v>
      </c>
      <c r="BE149" s="14">
        <f>BD149*VLOOKUP('Données projet'!$B$11,Paramètres!$A$1:$I$89,3,0)*VLOOKUP('Données projet'!$B$11,Paramètres!$A$1:$I$89,5,0)</f>
        <v>1.6671037883497774E-13</v>
      </c>
      <c r="BF149" s="14">
        <f t="shared" si="145"/>
        <v>2.3598166018346595E-12</v>
      </c>
      <c r="BG149" s="22">
        <f t="shared" si="115"/>
        <v>4.400367824666284E-12</v>
      </c>
      <c r="BH149" s="62">
        <f t="shared" si="116"/>
        <v>293.33333333333769</v>
      </c>
      <c r="BI149" s="62">
        <f ca="1">AVERAGE(OFFSET($BH$3,0,0,'Données projet'!$E$11+1,1))-AVERAGE(OFFSET($H$3,0,0,'Données projet'!$E$11+1,1))</f>
        <v>350.22629663422435</v>
      </c>
      <c r="BJ149" s="62">
        <f t="shared" si="146"/>
        <v>375.98044319336645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36.091324503626048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36.091324503626048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-4.5224624045658861E-14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248.15263300983543</v>
      </c>
      <c r="CE149" s="62">
        <f t="shared" si="148"/>
        <v>266.46511459244618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25.424327312312428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25.424327312312428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-3.813056537183002E-14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205.35893113421139</v>
      </c>
      <c r="CZ149" s="62">
        <f t="shared" si="150"/>
        <v>220.4399811285175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21.436197537832058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21.436197537832058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490.96084572840579</v>
      </c>
      <c r="T150" s="62">
        <f t="shared" si="142"/>
        <v>597.91658789908263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61.140488828008301</v>
      </c>
      <c r="AA150" s="23">
        <f>EXP(-LN(2)/25)*AA149+(1-EXP(-LN(2)/25))/(LN(2)/25)*Calculateur!V150*Calculateur!X150*VLOOKUP('Données projet'!$B$9,Paramètres!$A$1:$I$89,3,0)*0.475*44/12</f>
        <v>7.5664537087006325</v>
      </c>
      <c r="AB150" s="23">
        <f>EXP(-LN(2)/2)*AB149+(1-EXP(-LN(2)/2))/(LN(2)/2)*V150*Y150*VLOOKUP('Données projet'!$B$9,Paramètres!$A$1:$I$89,3,0)*0.475*44/12</f>
        <v>2.952147437050176E-11</v>
      </c>
      <c r="AC150" s="24">
        <f t="shared" si="111"/>
        <v>68.706942536738453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482.28841373508675</v>
      </c>
      <c r="AO150" s="62">
        <f t="shared" si="144"/>
        <v>746.97309214631684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86.384993945877497</v>
      </c>
      <c r="AV150" s="23">
        <f>EXP(-LN(2)/25)*AV149+(1-EXP(-LN(2)/25))/(LN(2)/25)*Calculateur!AQ150*Calculateur!AS150*VLOOKUP('Données projet'!$B$10,Paramètres!$A$1:$I$89,3,0)*0.475*44/12</f>
        <v>10.826223073499564</v>
      </c>
      <c r="AW150" s="23">
        <f>EXP(-LN(2)/2)*AW149+(1-EXP(-LN(2)/2))/(LN(2)/2)*AQ150*AT150*VLOOKUP('Données projet'!$B$10,Paramètres!$A$1:$I$89,3,0)*0.475*44/12</f>
        <v>1.6911580275050832E-9</v>
      </c>
      <c r="AX150" s="23">
        <f t="shared" si="114"/>
        <v>97.211217021068222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2.2737367544323206E-13</v>
      </c>
      <c r="BE150" s="14">
        <f>BD150*VLOOKUP('Données projet'!$B$11,Paramètres!$A$1:$I$89,3,0)*VLOOKUP('Données projet'!$B$11,Paramètres!$A$1:$I$89,5,0)</f>
        <v>1.6671037883497774E-13</v>
      </c>
      <c r="BF150" s="14">
        <f t="shared" si="145"/>
        <v>2.3598166018346595E-12</v>
      </c>
      <c r="BG150" s="22">
        <f t="shared" si="115"/>
        <v>4.400367824666284E-12</v>
      </c>
      <c r="BH150" s="62">
        <f t="shared" si="116"/>
        <v>293.33333333333769</v>
      </c>
      <c r="BI150" s="62">
        <f ca="1">AVERAGE(OFFSET($BH$3,0,0,'Données projet'!$E$11+1,1))-AVERAGE(OFFSET($H$3,0,0,'Données projet'!$E$11+1,1))</f>
        <v>350.22629663422435</v>
      </c>
      <c r="BJ150" s="62">
        <f t="shared" si="146"/>
        <v>375.98044319336645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35.383595643644234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35.383595643644234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-4.5224624045658861E-14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248.15263300983543</v>
      </c>
      <c r="CE150" s="62">
        <f t="shared" si="148"/>
        <v>266.46511459244618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24.925771761026422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24.925771761026422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-3.813056537183002E-14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205.35893113421139</v>
      </c>
      <c r="CZ150" s="62">
        <f t="shared" si="150"/>
        <v>220.4399811285175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21.015846778904642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21.015846778904642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490.96084572840579</v>
      </c>
      <c r="T151" s="62">
        <f t="shared" si="142"/>
        <v>597.91658789908263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59.941561134106962</v>
      </c>
      <c r="AA151" s="23">
        <f>EXP(-LN(2)/25)*AA150+(1-EXP(-LN(2)/25))/(LN(2)/25)*Calculateur!V151*Calculateur!X151*VLOOKUP('Données projet'!$B$9,Paramètres!$A$1:$I$89,3,0)*0.475*44/12</f>
        <v>7.3595486341337066</v>
      </c>
      <c r="AB151" s="23">
        <f>EXP(-LN(2)/2)*AB150+(1-EXP(-LN(2)/2))/(LN(2)/2)*V151*Y151*VLOOKUP('Données projet'!$B$9,Paramètres!$A$1:$I$89,3,0)*0.475*44/12</f>
        <v>2.0874834718006659E-11</v>
      </c>
      <c r="AC151" s="24">
        <f t="shared" si="111"/>
        <v>67.30110976826154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482.28841373508675</v>
      </c>
      <c r="AO151" s="62">
        <f t="shared" si="144"/>
        <v>746.97309214631684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84.69103690424248</v>
      </c>
      <c r="AV151" s="23">
        <f>EXP(-LN(2)/25)*AV150+(1-EXP(-LN(2)/25))/(LN(2)/25)*Calculateur!AQ151*Calculateur!AS151*VLOOKUP('Données projet'!$B$10,Paramètres!$A$1:$I$89,3,0)*0.475*44/12</f>
        <v>10.530179434228391</v>
      </c>
      <c r="AW151" s="23">
        <f>EXP(-LN(2)/2)*AW150+(1-EXP(-LN(2)/2))/(LN(2)/2)*AQ151*AT151*VLOOKUP('Données projet'!$B$10,Paramètres!$A$1:$I$89,3,0)*0.475*44/12</f>
        <v>1.1958293093069101E-9</v>
      </c>
      <c r="AX151" s="23">
        <f t="shared" si="114"/>
        <v>95.221216339666697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2.2737367544323206E-13</v>
      </c>
      <c r="BE151" s="14">
        <f>BD151*VLOOKUP('Données projet'!$B$11,Paramètres!$A$1:$I$89,3,0)*VLOOKUP('Données projet'!$B$11,Paramètres!$A$1:$I$89,5,0)</f>
        <v>1.6671037883497774E-13</v>
      </c>
      <c r="BF151" s="14">
        <f t="shared" si="145"/>
        <v>2.3598166018346595E-12</v>
      </c>
      <c r="BG151" s="22">
        <f t="shared" si="115"/>
        <v>4.400367824666284E-12</v>
      </c>
      <c r="BH151" s="62">
        <f t="shared" si="116"/>
        <v>293.33333333333769</v>
      </c>
      <c r="BI151" s="62">
        <f ca="1">AVERAGE(OFFSET($BH$3,0,0,'Données projet'!$E$11+1,1))-AVERAGE(OFFSET($H$3,0,0,'Données projet'!$E$11+1,1))</f>
        <v>350.22629663422435</v>
      </c>
      <c r="BJ151" s="62">
        <f t="shared" si="146"/>
        <v>375.98044319336645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34.689744914934678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34.689744914934678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-4.5224624045658861E-14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248.15263300983543</v>
      </c>
      <c r="CE151" s="62">
        <f t="shared" si="148"/>
        <v>266.46511459244618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24.436992580012273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24.436992580012273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-3.813056537183002E-14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205.35893113421139</v>
      </c>
      <c r="CZ151" s="62">
        <f t="shared" si="150"/>
        <v>220.4399811285175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20.603738841971143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20.603738841971143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490.96084572840579</v>
      </c>
      <c r="T152" s="62">
        <f t="shared" si="142"/>
        <v>597.91658789908263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58.766143681009346</v>
      </c>
      <c r="AA152" s="23">
        <f>EXP(-LN(2)/25)*AA151+(1-EXP(-LN(2)/25))/(LN(2)/25)*Calculateur!V152*Calculateur!X152*VLOOKUP('Données projet'!$B$9,Paramètres!$A$1:$I$89,3,0)*0.475*44/12</f>
        <v>7.158301389711478</v>
      </c>
      <c r="AB152" s="23">
        <f>EXP(-LN(2)/2)*AB151+(1-EXP(-LN(2)/2))/(LN(2)/2)*V152*Y152*VLOOKUP('Données projet'!$B$9,Paramètres!$A$1:$I$89,3,0)*0.475*44/12</f>
        <v>1.476073718525088E-11</v>
      </c>
      <c r="AC152" s="24">
        <f t="shared" si="111"/>
        <v>65.924445070735587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482.28841373508675</v>
      </c>
      <c r="AO152" s="62">
        <f t="shared" si="144"/>
        <v>746.97309214631684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83.030297326982151</v>
      </c>
      <c r="AV152" s="23">
        <f>EXP(-LN(2)/25)*AV151+(1-EXP(-LN(2)/25))/(LN(2)/25)*Calculateur!AQ152*Calculateur!AS152*VLOOKUP('Données projet'!$B$10,Paramètres!$A$1:$I$89,3,0)*0.475*44/12</f>
        <v>10.242231123841346</v>
      </c>
      <c r="AW152" s="23">
        <f>EXP(-LN(2)/2)*AW151+(1-EXP(-LN(2)/2))/(LN(2)/2)*AQ152*AT152*VLOOKUP('Données projet'!$B$10,Paramètres!$A$1:$I$89,3,0)*0.475*44/12</f>
        <v>8.4557901375254158E-10</v>
      </c>
      <c r="AX152" s="23">
        <f t="shared" si="114"/>
        <v>93.272528451669075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2.2737367544323206E-13</v>
      </c>
      <c r="BE152" s="14">
        <f>BD152*VLOOKUP('Données projet'!$B$11,Paramètres!$A$1:$I$89,3,0)*VLOOKUP('Données projet'!$B$11,Paramètres!$A$1:$I$89,5,0)</f>
        <v>1.6671037883497774E-13</v>
      </c>
      <c r="BF152" s="14">
        <f t="shared" si="145"/>
        <v>2.3598166018346595E-12</v>
      </c>
      <c r="BG152" s="22">
        <f t="shared" si="115"/>
        <v>4.400367824666284E-12</v>
      </c>
      <c r="BH152" s="62">
        <f t="shared" si="116"/>
        <v>293.33333333333769</v>
      </c>
      <c r="BI152" s="62">
        <f ca="1">AVERAGE(OFFSET($BH$3,0,0,'Données projet'!$E$11+1,1))-AVERAGE(OFFSET($H$3,0,0,'Données projet'!$E$11+1,1))</f>
        <v>350.22629663422435</v>
      </c>
      <c r="BJ152" s="62">
        <f t="shared" si="146"/>
        <v>375.98044319336645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34.009500175807965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34.009500175807965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-4.5224624045658861E-14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248.15263300983543</v>
      </c>
      <c r="CE152" s="62">
        <f t="shared" si="148"/>
        <v>266.46511459244618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23.95779806061195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23.95779806061195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-3.813056537183002E-14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205.35893113421139</v>
      </c>
      <c r="CZ152" s="62">
        <f t="shared" si="150"/>
        <v>220.4399811285175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20.199712090319892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20.199712090319892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490.96084572840579</v>
      </c>
      <c r="T153" s="62">
        <f t="shared" si="142"/>
        <v>597.91658789908263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57.613775447233117</v>
      </c>
      <c r="AA153" s="23">
        <f>EXP(-LN(2)/25)*AA152+(1-EXP(-LN(2)/25))/(LN(2)/25)*Calculateur!V153*Calculateur!X153*VLOOKUP('Données projet'!$B$9,Paramètres!$A$1:$I$89,3,0)*0.475*44/12</f>
        <v>6.9625572617711082</v>
      </c>
      <c r="AB153" s="23">
        <f>EXP(-LN(2)/2)*AB152+(1-EXP(-LN(2)/2))/(LN(2)/2)*V153*Y153*VLOOKUP('Données projet'!$B$9,Paramètres!$A$1:$I$89,3,0)*0.475*44/12</f>
        <v>1.043741735900333E-11</v>
      </c>
      <c r="AC153" s="24">
        <f t="shared" si="111"/>
        <v>64.57633270901465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482.28841373508675</v>
      </c>
      <c r="AO153" s="62">
        <f t="shared" si="144"/>
        <v>746.97309214631684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81.402123839880772</v>
      </c>
      <c r="AV153" s="23">
        <f>EXP(-LN(2)/25)*AV152+(1-EXP(-LN(2)/25))/(LN(2)/25)*Calculateur!AQ153*Calculateur!AS153*VLOOKUP('Données projet'!$B$10,Paramètres!$A$1:$I$89,3,0)*0.475*44/12</f>
        <v>9.9621567751443791</v>
      </c>
      <c r="AW153" s="23">
        <f>EXP(-LN(2)/2)*AW152+(1-EXP(-LN(2)/2))/(LN(2)/2)*AQ153*AT153*VLOOKUP('Données projet'!$B$10,Paramètres!$A$1:$I$89,3,0)*0.475*44/12</f>
        <v>5.9791465465345507E-10</v>
      </c>
      <c r="AX153" s="23">
        <f t="shared" si="114"/>
        <v>91.364280615623073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2.2737367544323206E-13</v>
      </c>
      <c r="BE153" s="14">
        <f>BD153*VLOOKUP('Données projet'!$B$11,Paramètres!$A$1:$I$89,3,0)*VLOOKUP('Données projet'!$B$11,Paramètres!$A$1:$I$89,5,0)</f>
        <v>1.6671037883497774E-13</v>
      </c>
      <c r="BF153" s="14">
        <f t="shared" si="145"/>
        <v>2.3598166018346595E-12</v>
      </c>
      <c r="BG153" s="22">
        <f t="shared" si="115"/>
        <v>4.400367824666284E-12</v>
      </c>
      <c r="BH153" s="62">
        <f t="shared" si="116"/>
        <v>293.33333333333769</v>
      </c>
      <c r="BI153" s="62">
        <f ca="1">AVERAGE(OFFSET($BH$3,0,0,'Données projet'!$E$11+1,1))-AVERAGE(OFFSET($H$3,0,0,'Données projet'!$E$11+1,1))</f>
        <v>350.22629663422435</v>
      </c>
      <c r="BJ153" s="62">
        <f t="shared" si="146"/>
        <v>375.98044319336645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33.342594621107203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33.342594621107203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-4.5224624045658861E-14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248.15263300983543</v>
      </c>
      <c r="CE153" s="62">
        <f t="shared" si="148"/>
        <v>266.46511459244618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23.488000253457272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23.488000253457272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-3.813056537183002E-14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205.35893113421139</v>
      </c>
      <c r="CZ153" s="62">
        <f t="shared" si="150"/>
        <v>220.4399811285175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19.803608056836534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19.803608056836534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490.96084572840579</v>
      </c>
      <c r="T154" s="62">
        <f t="shared" si="142"/>
        <v>597.91658789908263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56.484004451646022</v>
      </c>
      <c r="AA154" s="23">
        <f>EXP(-LN(2)/25)*AA153+(1-EXP(-LN(2)/25))/(LN(2)/25)*Calculateur!V154*Calculateur!X154*VLOOKUP('Données projet'!$B$9,Paramètres!$A$1:$I$89,3,0)*0.475*44/12</f>
        <v>6.7721657673030045</v>
      </c>
      <c r="AB154" s="23">
        <f>EXP(-LN(2)/2)*AB153+(1-EXP(-LN(2)/2))/(LN(2)/2)*V154*Y154*VLOOKUP('Données projet'!$B$9,Paramètres!$A$1:$I$89,3,0)*0.475*44/12</f>
        <v>7.3803685926254401E-12</v>
      </c>
      <c r="AC154" s="24">
        <f t="shared" ref="AC154:AC203" si="163">SUM(Z154:AB154)</f>
        <v>63.256170218956406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482.28841373508675</v>
      </c>
      <c r="AO154" s="62">
        <f t="shared" si="144"/>
        <v>746.97309214631684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79.805877841773679</v>
      </c>
      <c r="AV154" s="23">
        <f>EXP(-LN(2)/25)*AV153+(1-EXP(-LN(2)/25))/(LN(2)/25)*Calculateur!AQ154*Calculateur!AS154*VLOOKUP('Données projet'!$B$10,Paramètres!$A$1:$I$89,3,0)*0.475*44/12</f>
        <v>9.6897410742410006</v>
      </c>
      <c r="AW154" s="23">
        <f>EXP(-LN(2)/2)*AW153+(1-EXP(-LN(2)/2))/(LN(2)/2)*AQ154*AT154*VLOOKUP('Données projet'!$B$10,Paramètres!$A$1:$I$89,3,0)*0.475*44/12</f>
        <v>4.2278950687627079E-10</v>
      </c>
      <c r="AX154" s="23">
        <f t="shared" ref="AX154:AX203" si="166">SUM(AU154:AW154)</f>
        <v>89.495618916437465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2.2737367544323206E-13</v>
      </c>
      <c r="BE154" s="14">
        <f>BD154*VLOOKUP('Données projet'!$B$11,Paramètres!$A$1:$I$89,3,0)*VLOOKUP('Données projet'!$B$11,Paramètres!$A$1:$I$89,5,0)</f>
        <v>1.6671037883497774E-13</v>
      </c>
      <c r="BF154" s="14">
        <f t="shared" ref="BF154:BF203" si="167">EXP(-1.0587+0.8836*LN(BE154)+0.284)</f>
        <v>2.3598166018346595E-12</v>
      </c>
      <c r="BG154" s="22">
        <f t="shared" ref="BG154:BG203" si="168">(BE154+BF154)*0.475*44/12</f>
        <v>4.400367824666284E-12</v>
      </c>
      <c r="BH154" s="62">
        <f t="shared" si="116"/>
        <v>293.33333333333769</v>
      </c>
      <c r="BI154" s="62">
        <f ca="1">AVERAGE(OFFSET($BH$3,0,0,'Données projet'!$E$11+1,1))-AVERAGE(OFFSET($H$3,0,0,'Données projet'!$E$11+1,1))</f>
        <v>350.22629663422435</v>
      </c>
      <c r="BJ154" s="62">
        <f t="shared" si="146"/>
        <v>375.98044319336645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32.688766677561901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32.688766677561901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-4.5224624045658861E-14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248.15263300983543</v>
      </c>
      <c r="CE154" s="62">
        <f t="shared" si="148"/>
        <v>266.46511459244618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23.027414894752528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23.027414894752528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-3.813056537183002E-14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205.35893113421139</v>
      </c>
      <c r="CZ154" s="62">
        <f t="shared" si="150"/>
        <v>220.4399811285175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19.415271381850182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19.415271381850182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490.96084572840579</v>
      </c>
      <c r="T155" s="62">
        <f t="shared" si="142"/>
        <v>597.91658789908263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55.376387576190126</v>
      </c>
      <c r="AA155" s="23">
        <f>EXP(-LN(2)/25)*AA154+(1-EXP(-LN(2)/25))/(LN(2)/25)*Calculateur!V155*Calculateur!X155*VLOOKUP('Données projet'!$B$9,Paramètres!$A$1:$I$89,3,0)*0.475*44/12</f>
        <v>6.5869805382633837</v>
      </c>
      <c r="AB155" s="23">
        <f>EXP(-LN(2)/2)*AB154+(1-EXP(-LN(2)/2))/(LN(2)/2)*V155*Y155*VLOOKUP('Données projet'!$B$9,Paramètres!$A$1:$I$89,3,0)*0.475*44/12</f>
        <v>5.2187086795016648E-12</v>
      </c>
      <c r="AC155" s="24">
        <f t="shared" si="163"/>
        <v>61.963368114458724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482.28841373508675</v>
      </c>
      <c r="AO155" s="62">
        <f t="shared" si="144"/>
        <v>746.97309214631684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78.240933254075543</v>
      </c>
      <c r="AV155" s="23">
        <f>EXP(-LN(2)/25)*AV154+(1-EXP(-LN(2)/25))/(LN(2)/25)*Calculateur!AQ155*Calculateur!AS155*VLOOKUP('Données projet'!$B$10,Paramètres!$A$1:$I$89,3,0)*0.475*44/12</f>
        <v>9.4247745950045427</v>
      </c>
      <c r="AW155" s="23">
        <f>EXP(-LN(2)/2)*AW154+(1-EXP(-LN(2)/2))/(LN(2)/2)*AQ155*AT155*VLOOKUP('Données projet'!$B$10,Paramètres!$A$1:$I$89,3,0)*0.475*44/12</f>
        <v>2.9895732732672754E-10</v>
      </c>
      <c r="AX155" s="23">
        <f t="shared" si="166"/>
        <v>87.665707849379046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2.2737367544323206E-13</v>
      </c>
      <c r="BE155" s="14">
        <f>BD155*VLOOKUP('Données projet'!$B$11,Paramètres!$A$1:$I$89,3,0)*VLOOKUP('Données projet'!$B$11,Paramètres!$A$1:$I$89,5,0)</f>
        <v>1.6671037883497774E-13</v>
      </c>
      <c r="BF155" s="14">
        <f t="shared" si="167"/>
        <v>2.3598166018346595E-12</v>
      </c>
      <c r="BG155" s="22">
        <f t="shared" si="168"/>
        <v>4.400367824666284E-12</v>
      </c>
      <c r="BH155" s="62">
        <f t="shared" si="116"/>
        <v>293.33333333333769</v>
      </c>
      <c r="BI155" s="62">
        <f ca="1">AVERAGE(OFFSET($BH$3,0,0,'Données projet'!$E$11+1,1))-AVERAGE(OFFSET($H$3,0,0,'Données projet'!$E$11+1,1))</f>
        <v>350.22629663422435</v>
      </c>
      <c r="BJ155" s="62">
        <f t="shared" si="146"/>
        <v>375.98044319336645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32.047759901193857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32.047759901193857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-4.5224624045658861E-14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248.15263300983543</v>
      </c>
      <c r="CE155" s="62">
        <f t="shared" si="148"/>
        <v>266.46511459244618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22.575861334002656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22.575861334002656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-3.813056537183002E-14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205.35893113421139</v>
      </c>
      <c r="CZ155" s="62">
        <f t="shared" si="150"/>
        <v>220.4399811285175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19.034549752198327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19.034549752198327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490.96084572840579</v>
      </c>
      <c r="T156" s="62">
        <f t="shared" si="142"/>
        <v>597.91658789908263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54.290490392082333</v>
      </c>
      <c r="AA156" s="23">
        <f>EXP(-LN(2)/25)*AA155+(1-EXP(-LN(2)/25))/(LN(2)/25)*Calculateur!V156*Calculateur!X156*VLOOKUP('Données projet'!$B$9,Paramètres!$A$1:$I$89,3,0)*0.475*44/12</f>
        <v>6.40685920905032</v>
      </c>
      <c r="AB156" s="23">
        <f>EXP(-LN(2)/2)*AB155+(1-EXP(-LN(2)/2))/(LN(2)/2)*V156*Y156*VLOOKUP('Données projet'!$B$9,Paramètres!$A$1:$I$89,3,0)*0.475*44/12</f>
        <v>3.69018429631272E-12</v>
      </c>
      <c r="AC156" s="24">
        <f t="shared" si="163"/>
        <v>60.697349601136338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482.28841373508675</v>
      </c>
      <c r="AO156" s="62">
        <f t="shared" si="144"/>
        <v>746.97309214631684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76.706676275220218</v>
      </c>
      <c r="AV156" s="23">
        <f>EXP(-LN(2)/25)*AV155+(1-EXP(-LN(2)/25))/(LN(2)/25)*Calculateur!AQ156*Calculateur!AS156*VLOOKUP('Données projet'!$B$10,Paramètres!$A$1:$I$89,3,0)*0.475*44/12</f>
        <v>9.1670536380767889</v>
      </c>
      <c r="AW156" s="23">
        <f>EXP(-LN(2)/2)*AW155+(1-EXP(-LN(2)/2))/(LN(2)/2)*AQ156*AT156*VLOOKUP('Données projet'!$B$10,Paramètres!$A$1:$I$89,3,0)*0.475*44/12</f>
        <v>2.113947534381354E-10</v>
      </c>
      <c r="AX156" s="23">
        <f t="shared" si="166"/>
        <v>85.873729913508413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2.2737367544323206E-13</v>
      </c>
      <c r="BE156" s="14">
        <f>BD156*VLOOKUP('Données projet'!$B$11,Paramètres!$A$1:$I$89,3,0)*VLOOKUP('Données projet'!$B$11,Paramètres!$A$1:$I$89,5,0)</f>
        <v>1.6671037883497774E-13</v>
      </c>
      <c r="BF156" s="14">
        <f t="shared" si="167"/>
        <v>2.3598166018346595E-12</v>
      </c>
      <c r="BG156" s="22">
        <f t="shared" si="168"/>
        <v>4.400367824666284E-12</v>
      </c>
      <c r="BH156" s="62">
        <f t="shared" si="116"/>
        <v>293.33333333333769</v>
      </c>
      <c r="BI156" s="62">
        <f ca="1">AVERAGE(OFFSET($BH$3,0,0,'Données projet'!$E$11+1,1))-AVERAGE(OFFSET($H$3,0,0,'Données projet'!$E$11+1,1))</f>
        <v>350.22629663422435</v>
      </c>
      <c r="BJ156" s="62">
        <f t="shared" si="146"/>
        <v>375.98044319336645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31.41932287673486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31.41932287673486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-4.5224624045658861E-14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248.15263300983543</v>
      </c>
      <c r="CE156" s="62">
        <f t="shared" si="148"/>
        <v>266.46511459244618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22.133162463158612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22.133162463158612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-3.813056537183002E-14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205.35893113421139</v>
      </c>
      <c r="CZ156" s="62">
        <f t="shared" si="150"/>
        <v>220.4399811285175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18.661293841486682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18.661293841486682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490.96084572840579</v>
      </c>
      <c r="T157" s="62">
        <f t="shared" si="142"/>
        <v>597.91658789908263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53.22588698942301</v>
      </c>
      <c r="AA157" s="23">
        <f>EXP(-LN(2)/25)*AA156+(1-EXP(-LN(2)/25))/(LN(2)/25)*Calculateur!V157*Calculateur!X157*VLOOKUP('Données projet'!$B$9,Paramètres!$A$1:$I$89,3,0)*0.475*44/12</f>
        <v>6.2316633070567562</v>
      </c>
      <c r="AB157" s="23">
        <f>EXP(-LN(2)/2)*AB156+(1-EXP(-LN(2)/2))/(LN(2)/2)*V157*Y157*VLOOKUP('Données projet'!$B$9,Paramètres!$A$1:$I$89,3,0)*0.475*44/12</f>
        <v>2.6093543397508324E-12</v>
      </c>
      <c r="AC157" s="24">
        <f t="shared" si="163"/>
        <v>59.457550296482374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482.28841373508675</v>
      </c>
      <c r="AO157" s="62">
        <f t="shared" si="144"/>
        <v>746.97309214631684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75.2025051399159</v>
      </c>
      <c r="AV157" s="23">
        <f>EXP(-LN(2)/25)*AV156+(1-EXP(-LN(2)/25))/(LN(2)/25)*Calculateur!AQ157*Calculateur!AS157*VLOOKUP('Données projet'!$B$10,Paramètres!$A$1:$I$89,3,0)*0.475*44/12</f>
        <v>8.9163800742691794</v>
      </c>
      <c r="AW157" s="23">
        <f>EXP(-LN(2)/2)*AW156+(1-EXP(-LN(2)/2))/(LN(2)/2)*AQ157*AT157*VLOOKUP('Données projet'!$B$10,Paramètres!$A$1:$I$89,3,0)*0.475*44/12</f>
        <v>1.4947866366336377E-10</v>
      </c>
      <c r="AX157" s="23">
        <f t="shared" si="166"/>
        <v>84.118885214334568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2.2737367544323206E-13</v>
      </c>
      <c r="BE157" s="14">
        <f>BD157*VLOOKUP('Données projet'!$B$11,Paramètres!$A$1:$I$89,3,0)*VLOOKUP('Données projet'!$B$11,Paramètres!$A$1:$I$89,5,0)</f>
        <v>1.6671037883497774E-13</v>
      </c>
      <c r="BF157" s="14">
        <f t="shared" si="167"/>
        <v>2.3598166018346595E-12</v>
      </c>
      <c r="BG157" s="22">
        <f t="shared" si="168"/>
        <v>4.400367824666284E-12</v>
      </c>
      <c r="BH157" s="62">
        <f t="shared" si="116"/>
        <v>293.33333333333769</v>
      </c>
      <c r="BI157" s="62">
        <f ca="1">AVERAGE(OFFSET($BH$3,0,0,'Données projet'!$E$11+1,1))-AVERAGE(OFFSET($H$3,0,0,'Données projet'!$E$11+1,1))</f>
        <v>350.22629663422435</v>
      </c>
      <c r="BJ157" s="62">
        <f t="shared" si="146"/>
        <v>375.98044319336645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30.803209119016767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30.803209119016767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-4.5224624045658861E-14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248.15263300983543</v>
      </c>
      <c r="CE157" s="62">
        <f t="shared" si="148"/>
        <v>266.46511459244618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21.699144647152171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21.699144647152171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-3.813056537183002E-14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205.35893113421139</v>
      </c>
      <c r="CZ157" s="62">
        <f t="shared" si="150"/>
        <v>220.4399811285175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18.295357251520468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18.295357251520468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490.96084572840579</v>
      </c>
      <c r="T158" s="62">
        <f t="shared" si="142"/>
        <v>597.91658789908263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52.182159810145876</v>
      </c>
      <c r="AA158" s="23">
        <f>EXP(-LN(2)/25)*AA157+(1-EXP(-LN(2)/25))/(LN(2)/25)*Calculateur!V158*Calculateur!X158*VLOOKUP('Données projet'!$B$9,Paramètres!$A$1:$I$89,3,0)*0.475*44/12</f>
        <v>6.0612581462163586</v>
      </c>
      <c r="AB158" s="23">
        <f>EXP(-LN(2)/2)*AB157+(1-EXP(-LN(2)/2))/(LN(2)/2)*V158*Y158*VLOOKUP('Données projet'!$B$9,Paramètres!$A$1:$I$89,3,0)*0.475*44/12</f>
        <v>1.84509214815636E-12</v>
      </c>
      <c r="AC158" s="24">
        <f t="shared" si="163"/>
        <v>58.243417956364084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482.28841373508675</v>
      </c>
      <c r="AO158" s="62">
        <f t="shared" si="144"/>
        <v>746.97309214631684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73.727829883121103</v>
      </c>
      <c r="AV158" s="23">
        <f>EXP(-LN(2)/25)*AV157+(1-EXP(-LN(2)/25))/(LN(2)/25)*Calculateur!AQ158*Calculateur!AS158*VLOOKUP('Données projet'!$B$10,Paramètres!$A$1:$I$89,3,0)*0.475*44/12</f>
        <v>8.6725611922462384</v>
      </c>
      <c r="AW158" s="23">
        <f>EXP(-LN(2)/2)*AW157+(1-EXP(-LN(2)/2))/(LN(2)/2)*AQ158*AT158*VLOOKUP('Données projet'!$B$10,Paramètres!$A$1:$I$89,3,0)*0.475*44/12</f>
        <v>1.056973767190677E-10</v>
      </c>
      <c r="AX158" s="23">
        <f t="shared" si="166"/>
        <v>82.400391075473038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2.2737367544323206E-13</v>
      </c>
      <c r="BE158" s="14">
        <f>BD158*VLOOKUP('Données projet'!$B$11,Paramètres!$A$1:$I$89,3,0)*VLOOKUP('Données projet'!$B$11,Paramètres!$A$1:$I$89,5,0)</f>
        <v>1.6671037883497774E-13</v>
      </c>
      <c r="BF158" s="14">
        <f t="shared" si="167"/>
        <v>2.3598166018346595E-12</v>
      </c>
      <c r="BG158" s="22">
        <f t="shared" si="168"/>
        <v>4.400367824666284E-12</v>
      </c>
      <c r="BH158" s="62">
        <f t="shared" si="116"/>
        <v>293.33333333333769</v>
      </c>
      <c r="BI158" s="62">
        <f ca="1">AVERAGE(OFFSET($BH$3,0,0,'Données projet'!$E$11+1,1))-AVERAGE(OFFSET($H$3,0,0,'Données projet'!$E$11+1,1))</f>
        <v>350.22629663422435</v>
      </c>
      <c r="BJ158" s="62">
        <f t="shared" si="146"/>
        <v>375.98044319336645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30.199176976295238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30.199176976295238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-4.5224624045658861E-14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248.15263300983543</v>
      </c>
      <c r="CE158" s="62">
        <f t="shared" si="148"/>
        <v>266.46511459244618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21.273637655792886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21.273637655792886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-3.813056537183002E-14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205.35893113421139</v>
      </c>
      <c r="CZ158" s="62">
        <f t="shared" si="150"/>
        <v>220.4399811285175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17.93659645488421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17.93659645488421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490.96084572840579</v>
      </c>
      <c r="T159" s="62">
        <f t="shared" si="142"/>
        <v>597.91658789908263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51.158899484243648</v>
      </c>
      <c r="AA159" s="23">
        <f>EXP(-LN(2)/25)*AA158+(1-EXP(-LN(2)/25))/(LN(2)/25)*Calculateur!V159*Calculateur!X159*VLOOKUP('Données projet'!$B$9,Paramètres!$A$1:$I$89,3,0)*0.475*44/12</f>
        <v>5.8955127234603593</v>
      </c>
      <c r="AB159" s="23">
        <f>EXP(-LN(2)/2)*AB158+(1-EXP(-LN(2)/2))/(LN(2)/2)*V159*Y159*VLOOKUP('Données projet'!$B$9,Paramètres!$A$1:$I$89,3,0)*0.475*44/12</f>
        <v>1.3046771698754162E-12</v>
      </c>
      <c r="AC159" s="24">
        <f t="shared" si="163"/>
        <v>57.054412207705312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482.28841373508675</v>
      </c>
      <c r="AO159" s="62">
        <f t="shared" si="144"/>
        <v>746.97309214631684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72.282072108648961</v>
      </c>
      <c r="AV159" s="23">
        <f>EXP(-LN(2)/25)*AV158+(1-EXP(-LN(2)/25))/(LN(2)/25)*Calculateur!AQ159*Calculateur!AS159*VLOOKUP('Données projet'!$B$10,Paramètres!$A$1:$I$89,3,0)*0.475*44/12</f>
        <v>8.4354095503740929</v>
      </c>
      <c r="AW159" s="23">
        <f>EXP(-LN(2)/2)*AW158+(1-EXP(-LN(2)/2))/(LN(2)/2)*AQ159*AT159*VLOOKUP('Données projet'!$B$10,Paramètres!$A$1:$I$89,3,0)*0.475*44/12</f>
        <v>7.4739331831681884E-11</v>
      </c>
      <c r="AX159" s="23">
        <f t="shared" si="166"/>
        <v>80.717481659097785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2.2737367544323206E-13</v>
      </c>
      <c r="BE159" s="14">
        <f>BD159*VLOOKUP('Données projet'!$B$11,Paramètres!$A$1:$I$89,3,0)*VLOOKUP('Données projet'!$B$11,Paramètres!$A$1:$I$89,5,0)</f>
        <v>1.6671037883497774E-13</v>
      </c>
      <c r="BF159" s="14">
        <f t="shared" si="167"/>
        <v>2.3598166018346595E-12</v>
      </c>
      <c r="BG159" s="22">
        <f t="shared" si="168"/>
        <v>4.400367824666284E-12</v>
      </c>
      <c r="BH159" s="62">
        <f t="shared" si="116"/>
        <v>293.33333333333769</v>
      </c>
      <c r="BI159" s="62">
        <f ca="1">AVERAGE(OFFSET($BH$3,0,0,'Données projet'!$E$11+1,1))-AVERAGE(OFFSET($H$3,0,0,'Données projet'!$E$11+1,1))</f>
        <v>350.22629663422435</v>
      </c>
      <c r="BJ159" s="62">
        <f t="shared" si="146"/>
        <v>375.98044319336645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29.606989535469253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29.606989535469253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-4.5224624045658861E-14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248.15263300983543</v>
      </c>
      <c r="CE159" s="62">
        <f t="shared" si="148"/>
        <v>266.46511459244618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20.856474597000521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20.856474597000521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-3.813056537183002E-14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205.35893113421139</v>
      </c>
      <c r="CZ159" s="62">
        <f t="shared" si="150"/>
        <v>220.4399811285175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17.58487073864751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17.58487073864751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490.96084572840579</v>
      </c>
      <c r="T160" s="62">
        <f t="shared" si="142"/>
        <v>597.91658789908263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50.155704669205193</v>
      </c>
      <c r="AA160" s="23">
        <f>EXP(-LN(2)/25)*AA159+(1-EXP(-LN(2)/25))/(LN(2)/25)*Calculateur!V160*Calculateur!X160*VLOOKUP('Données projet'!$B$9,Paramètres!$A$1:$I$89,3,0)*0.475*44/12</f>
        <v>5.7342996180057959</v>
      </c>
      <c r="AB160" s="23">
        <f>EXP(-LN(2)/2)*AB159+(1-EXP(-LN(2)/2))/(LN(2)/2)*V160*Y160*VLOOKUP('Données projet'!$B$9,Paramètres!$A$1:$I$89,3,0)*0.475*44/12</f>
        <v>9.2254607407818001E-13</v>
      </c>
      <c r="AC160" s="24">
        <f t="shared" si="163"/>
        <v>55.890004287211909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482.28841373508675</v>
      </c>
      <c r="AO160" s="62">
        <f t="shared" si="144"/>
        <v>746.97309214631684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70.864664762309047</v>
      </c>
      <c r="AV160" s="23">
        <f>EXP(-LN(2)/25)*AV159+(1-EXP(-LN(2)/25))/(LN(2)/25)*Calculateur!AQ160*Calculateur!AS160*VLOOKUP('Données projet'!$B$10,Paramètres!$A$1:$I$89,3,0)*0.475*44/12</f>
        <v>8.2047428326202052</v>
      </c>
      <c r="AW160" s="23">
        <f>EXP(-LN(2)/2)*AW159+(1-EXP(-LN(2)/2))/(LN(2)/2)*AQ160*AT160*VLOOKUP('Données projet'!$B$10,Paramètres!$A$1:$I$89,3,0)*0.475*44/12</f>
        <v>5.2848688359533849E-11</v>
      </c>
      <c r="AX160" s="23">
        <f t="shared" si="166"/>
        <v>79.06940759498211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2.2737367544323206E-13</v>
      </c>
      <c r="BE160" s="14">
        <f>BD160*VLOOKUP('Données projet'!$B$11,Paramètres!$A$1:$I$89,3,0)*VLOOKUP('Données projet'!$B$11,Paramètres!$A$1:$I$89,5,0)</f>
        <v>1.6671037883497774E-13</v>
      </c>
      <c r="BF160" s="14">
        <f t="shared" si="167"/>
        <v>2.3598166018346595E-12</v>
      </c>
      <c r="BG160" s="22">
        <f t="shared" si="168"/>
        <v>4.400367824666284E-12</v>
      </c>
      <c r="BH160" s="62">
        <f t="shared" si="116"/>
        <v>293.33333333333769</v>
      </c>
      <c r="BI160" s="62">
        <f ca="1">AVERAGE(OFFSET($BH$3,0,0,'Données projet'!$E$11+1,1))-AVERAGE(OFFSET($H$3,0,0,'Données projet'!$E$11+1,1))</f>
        <v>350.22629663422435</v>
      </c>
      <c r="BJ160" s="62">
        <f t="shared" si="146"/>
        <v>375.98044319336645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29.02641452915919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29.02641452915919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-4.5224624045658861E-14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248.15263300983543</v>
      </c>
      <c r="CE160" s="62">
        <f t="shared" si="148"/>
        <v>266.46511459244618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20.447491851346729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20.447491851346729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-3.813056537183002E-14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205.35893113421139</v>
      </c>
      <c r="CZ160" s="62">
        <f t="shared" si="150"/>
        <v>220.4399811285175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17.240042149174705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17.240042149174705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490.96084572840579</v>
      </c>
      <c r="T161" s="62">
        <f t="shared" si="142"/>
        <v>597.91658789908263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49.172181892601223</v>
      </c>
      <c r="AA161" s="23">
        <f>EXP(-LN(2)/25)*AA160+(1-EXP(-LN(2)/25))/(LN(2)/25)*Calculateur!V161*Calculateur!X161*VLOOKUP('Données projet'!$B$9,Paramètres!$A$1:$I$89,3,0)*0.475*44/12</f>
        <v>5.5774948933977164</v>
      </c>
      <c r="AB161" s="23">
        <f>EXP(-LN(2)/2)*AB160+(1-EXP(-LN(2)/2))/(LN(2)/2)*V161*Y161*VLOOKUP('Données projet'!$B$9,Paramètres!$A$1:$I$89,3,0)*0.475*44/12</f>
        <v>6.5233858493770811E-13</v>
      </c>
      <c r="AC161" s="24">
        <f t="shared" si="163"/>
        <v>54.749676785999597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482.28841373508675</v>
      </c>
      <c r="AO161" s="62">
        <f t="shared" si="144"/>
        <v>746.97309214631684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69.475051909497736</v>
      </c>
      <c r="AV161" s="23">
        <f>EXP(-LN(2)/25)*AV160+(1-EXP(-LN(2)/25))/(LN(2)/25)*Calculateur!AQ161*Calculateur!AS161*VLOOKUP('Données projet'!$B$10,Paramètres!$A$1:$I$89,3,0)*0.475*44/12</f>
        <v>7.9803837083935321</v>
      </c>
      <c r="AW161" s="23">
        <f>EXP(-LN(2)/2)*AW160+(1-EXP(-LN(2)/2))/(LN(2)/2)*AQ161*AT161*VLOOKUP('Données projet'!$B$10,Paramètres!$A$1:$I$89,3,0)*0.475*44/12</f>
        <v>3.7369665915840942E-11</v>
      </c>
      <c r="AX161" s="23">
        <f t="shared" si="166"/>
        <v>77.455435617928643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2.2737367544323206E-13</v>
      </c>
      <c r="BE161" s="14">
        <f>BD161*VLOOKUP('Données projet'!$B$11,Paramètres!$A$1:$I$89,3,0)*VLOOKUP('Données projet'!$B$11,Paramètres!$A$1:$I$89,5,0)</f>
        <v>1.6671037883497774E-13</v>
      </c>
      <c r="BF161" s="14">
        <f t="shared" si="167"/>
        <v>2.3598166018346595E-12</v>
      </c>
      <c r="BG161" s="22">
        <f t="shared" si="168"/>
        <v>4.400367824666284E-12</v>
      </c>
      <c r="BH161" s="62">
        <f t="shared" si="116"/>
        <v>293.33333333333769</v>
      </c>
      <c r="BI161" s="62">
        <f ca="1">AVERAGE(OFFSET($BH$3,0,0,'Données projet'!$E$11+1,1))-AVERAGE(OFFSET($H$3,0,0,'Données projet'!$E$11+1,1))</f>
        <v>350.22629663422435</v>
      </c>
      <c r="BJ161" s="62">
        <f t="shared" si="146"/>
        <v>375.98044319336645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28.45722424460708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28.45722424460708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-4.5224624045658861E-14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248.15263300983543</v>
      </c>
      <c r="CE161" s="62">
        <f t="shared" si="148"/>
        <v>266.46511459244618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20.046529007880366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20.046529007880366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-3.813056537183002E-14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205.35893113421139</v>
      </c>
      <c r="CZ161" s="62">
        <f t="shared" si="150"/>
        <v>220.4399811285175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16.901975438016791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16.901975438016791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490.96084572840579</v>
      </c>
      <c r="T162" s="62">
        <f t="shared" si="142"/>
        <v>597.91658789908263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48.207945397756795</v>
      </c>
      <c r="AA162" s="23">
        <f>EXP(-LN(2)/25)*AA161+(1-EXP(-LN(2)/25))/(LN(2)/25)*Calculateur!V162*Calculateur!X162*VLOOKUP('Données projet'!$B$9,Paramètres!$A$1:$I$89,3,0)*0.475*44/12</f>
        <v>5.4249780022300467</v>
      </c>
      <c r="AB162" s="23">
        <f>EXP(-LN(2)/2)*AB161+(1-EXP(-LN(2)/2))/(LN(2)/2)*V162*Y162*VLOOKUP('Données projet'!$B$9,Paramètres!$A$1:$I$89,3,0)*0.475*44/12</f>
        <v>4.6127303703909E-13</v>
      </c>
      <c r="AC162" s="24">
        <f t="shared" si="163"/>
        <v>53.632923399987305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482.28841373508675</v>
      </c>
      <c r="AO162" s="62">
        <f t="shared" si="144"/>
        <v>746.97309214631684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68.112688517149905</v>
      </c>
      <c r="AV162" s="23">
        <f>EXP(-LN(2)/25)*AV161+(1-EXP(-LN(2)/25))/(LN(2)/25)*Calculateur!AQ162*Calculateur!AS162*VLOOKUP('Données projet'!$B$10,Paramètres!$A$1:$I$89,3,0)*0.475*44/12</f>
        <v>7.7621596962173713</v>
      </c>
      <c r="AW162" s="23">
        <f>EXP(-LN(2)/2)*AW161+(1-EXP(-LN(2)/2))/(LN(2)/2)*AQ162*AT162*VLOOKUP('Données projet'!$B$10,Paramètres!$A$1:$I$89,3,0)*0.475*44/12</f>
        <v>2.6424344179766924E-11</v>
      </c>
      <c r="AX162" s="23">
        <f t="shared" si="166"/>
        <v>75.87484821339369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2.2737367544323206E-13</v>
      </c>
      <c r="BE162" s="14">
        <f>BD162*VLOOKUP('Données projet'!$B$11,Paramètres!$A$1:$I$89,3,0)*VLOOKUP('Données projet'!$B$11,Paramètres!$A$1:$I$89,5,0)</f>
        <v>1.6671037883497774E-13</v>
      </c>
      <c r="BF162" s="14">
        <f t="shared" si="167"/>
        <v>2.3598166018346595E-12</v>
      </c>
      <c r="BG162" s="22">
        <f t="shared" si="168"/>
        <v>4.400367824666284E-12</v>
      </c>
      <c r="BH162" s="62">
        <f t="shared" si="116"/>
        <v>293.33333333333769</v>
      </c>
      <c r="BI162" s="62">
        <f ca="1">AVERAGE(OFFSET($BH$3,0,0,'Données projet'!$E$11+1,1))-AVERAGE(OFFSET($H$3,0,0,'Données projet'!$E$11+1,1))</f>
        <v>350.22629663422435</v>
      </c>
      <c r="BJ162" s="62">
        <f t="shared" si="146"/>
        <v>375.98044319336645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27.899195434363243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27.899195434363243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-4.5224624045658861E-14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248.15263300983543</v>
      </c>
      <c r="CE162" s="62">
        <f t="shared" si="148"/>
        <v>266.46511459244618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19.653428801211195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19.653428801211195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-3.813056537183002E-14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205.35893113421139</v>
      </c>
      <c r="CZ162" s="62">
        <f t="shared" si="150"/>
        <v>220.4399811285175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16.57053800886435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16.57053800886435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490.96084572840579</v>
      </c>
      <c r="T163" s="62">
        <f t="shared" si="142"/>
        <v>597.91658789908263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47.262616992450077</v>
      </c>
      <c r="AA163" s="23">
        <f>EXP(-LN(2)/25)*AA162+(1-EXP(-LN(2)/25))/(LN(2)/25)*Calculateur!V163*Calculateur!X163*VLOOKUP('Données projet'!$B$9,Paramètres!$A$1:$I$89,3,0)*0.475*44/12</f>
        <v>5.276631693471872</v>
      </c>
      <c r="AB163" s="23">
        <f>EXP(-LN(2)/2)*AB162+(1-EXP(-LN(2)/2))/(LN(2)/2)*V163*Y163*VLOOKUP('Données projet'!$B$9,Paramètres!$A$1:$I$89,3,0)*0.475*44/12</f>
        <v>3.2616929246885405E-13</v>
      </c>
      <c r="AC163" s="24">
        <f t="shared" si="163"/>
        <v>52.539248685922274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482.28841373508675</v>
      </c>
      <c r="AO163" s="62">
        <f t="shared" si="144"/>
        <v>746.97309214631684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66.777040239966396</v>
      </c>
      <c r="AV163" s="23">
        <f>EXP(-LN(2)/25)*AV162+(1-EXP(-LN(2)/25))/(LN(2)/25)*Calculateur!AQ163*Calculateur!AS163*VLOOKUP('Données projet'!$B$10,Paramètres!$A$1:$I$89,3,0)*0.475*44/12</f>
        <v>7.5499030311300697</v>
      </c>
      <c r="AW163" s="23">
        <f>EXP(-LN(2)/2)*AW162+(1-EXP(-LN(2)/2))/(LN(2)/2)*AQ163*AT163*VLOOKUP('Données projet'!$B$10,Paramètres!$A$1:$I$89,3,0)*0.475*44/12</f>
        <v>1.8684832957920471E-11</v>
      </c>
      <c r="AX163" s="23">
        <f t="shared" si="166"/>
        <v>74.326943271115155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2.2737367544323206E-13</v>
      </c>
      <c r="BE163" s="14">
        <f>BD163*VLOOKUP('Données projet'!$B$11,Paramètres!$A$1:$I$89,3,0)*VLOOKUP('Données projet'!$B$11,Paramètres!$A$1:$I$89,5,0)</f>
        <v>1.6671037883497774E-13</v>
      </c>
      <c r="BF163" s="14">
        <f t="shared" si="167"/>
        <v>2.3598166018346595E-12</v>
      </c>
      <c r="BG163" s="22">
        <f t="shared" si="168"/>
        <v>4.400367824666284E-12</v>
      </c>
      <c r="BH163" s="62">
        <f t="shared" si="116"/>
        <v>293.33333333333769</v>
      </c>
      <c r="BI163" s="62">
        <f ca="1">AVERAGE(OFFSET($BH$3,0,0,'Données projet'!$E$11+1,1))-AVERAGE(OFFSET($H$3,0,0,'Données projet'!$E$11+1,1))</f>
        <v>350.22629663422435</v>
      </c>
      <c r="BJ163" s="62">
        <f t="shared" si="146"/>
        <v>375.98044319336645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27.352109228724323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27.352109228724323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-4.5224624045658861E-14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248.15263300983543</v>
      </c>
      <c r="CE163" s="62">
        <f t="shared" si="148"/>
        <v>266.46511459244618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19.268037049827353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19.268037049827353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-3.813056537183002E-14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205.35893113421139</v>
      </c>
      <c r="CZ163" s="62">
        <f t="shared" si="150"/>
        <v>220.4399811285175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16.245599865540719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16.245599865540719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490.96084572840579</v>
      </c>
      <c r="T164" s="62">
        <f t="shared" si="142"/>
        <v>597.91658789908263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46.33582590057803</v>
      </c>
      <c r="AA164" s="23">
        <f>EXP(-LN(2)/25)*AA163+(1-EXP(-LN(2)/25))/(LN(2)/25)*Calculateur!V164*Calculateur!X164*VLOOKUP('Données projet'!$B$9,Paramètres!$A$1:$I$89,3,0)*0.475*44/12</f>
        <v>5.1323419223278828</v>
      </c>
      <c r="AB164" s="23">
        <f>EXP(-LN(2)/2)*AB163+(1-EXP(-LN(2)/2))/(LN(2)/2)*V164*Y164*VLOOKUP('Données projet'!$B$9,Paramètres!$A$1:$I$89,3,0)*0.475*44/12</f>
        <v>2.30636518519545E-13</v>
      </c>
      <c r="AC164" s="24">
        <f t="shared" si="163"/>
        <v>51.468167822906139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482.28841373508675</v>
      </c>
      <c r="AO164" s="62">
        <f t="shared" si="144"/>
        <v>746.97309214631684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65.467583210833453</v>
      </c>
      <c r="AV164" s="23">
        <f>EXP(-LN(2)/25)*AV163+(1-EXP(-LN(2)/25))/(LN(2)/25)*Calculateur!AQ164*Calculateur!AS164*VLOOKUP('Données projet'!$B$10,Paramètres!$A$1:$I$89,3,0)*0.475*44/12</f>
        <v>7.3434505357116731</v>
      </c>
      <c r="AW164" s="23">
        <f>EXP(-LN(2)/2)*AW163+(1-EXP(-LN(2)/2))/(LN(2)/2)*AQ164*AT164*VLOOKUP('Données projet'!$B$10,Paramètres!$A$1:$I$89,3,0)*0.475*44/12</f>
        <v>1.3212172089883462E-11</v>
      </c>
      <c r="AX164" s="23">
        <f t="shared" si="166"/>
        <v>72.811033746558337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2.2737367544323206E-13</v>
      </c>
      <c r="BE164" s="14">
        <f>BD164*VLOOKUP('Données projet'!$B$11,Paramètres!$A$1:$I$89,3,0)*VLOOKUP('Données projet'!$B$11,Paramètres!$A$1:$I$89,5,0)</f>
        <v>1.6671037883497774E-13</v>
      </c>
      <c r="BF164" s="14">
        <f t="shared" si="167"/>
        <v>2.3598166018346595E-12</v>
      </c>
      <c r="BG164" s="22">
        <f t="shared" si="168"/>
        <v>4.400367824666284E-12</v>
      </c>
      <c r="BH164" s="62">
        <f t="shared" si="116"/>
        <v>293.33333333333769</v>
      </c>
      <c r="BI164" s="62">
        <f ca="1">AVERAGE(OFFSET($BH$3,0,0,'Données projet'!$E$11+1,1))-AVERAGE(OFFSET($H$3,0,0,'Données projet'!$E$11+1,1))</f>
        <v>350.22629663422435</v>
      </c>
      <c r="BJ164" s="62">
        <f t="shared" si="146"/>
        <v>375.98044319336645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26.815751049888345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26.815751049888345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-4.5224624045658861E-14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248.15263300983543</v>
      </c>
      <c r="CE164" s="62">
        <f t="shared" si="148"/>
        <v>266.46511459244618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18.890202595622391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18.890202595622391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-3.813056537183002E-14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205.35893113421139</v>
      </c>
      <c r="CZ164" s="62">
        <f t="shared" si="150"/>
        <v>220.4399811285175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15.927033561014966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15.927033561014966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490.96084572840579</v>
      </c>
      <c r="T165" s="62">
        <f t="shared" si="142"/>
        <v>597.91658789908263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45.427208616730844</v>
      </c>
      <c r="AA165" s="23">
        <f>EXP(-LN(2)/25)*AA164+(1-EXP(-LN(2)/25))/(LN(2)/25)*Calculateur!V165*Calculateur!X165*VLOOKUP('Données projet'!$B$9,Paramètres!$A$1:$I$89,3,0)*0.475*44/12</f>
        <v>4.9919977625636953</v>
      </c>
      <c r="AB165" s="23">
        <f>EXP(-LN(2)/2)*AB164+(1-EXP(-LN(2)/2))/(LN(2)/2)*V165*Y165*VLOOKUP('Données projet'!$B$9,Paramètres!$A$1:$I$89,3,0)*0.475*44/12</f>
        <v>1.6308464623442703E-13</v>
      </c>
      <c r="AC165" s="24">
        <f t="shared" si="163"/>
        <v>50.4192063792947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482.28841373508675</v>
      </c>
      <c r="AO165" s="62">
        <f t="shared" si="144"/>
        <v>746.97309214631684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64.183803835351881</v>
      </c>
      <c r="AV165" s="23">
        <f>EXP(-LN(2)/25)*AV164+(1-EXP(-LN(2)/25))/(LN(2)/25)*Calculateur!AQ165*Calculateur!AS165*VLOOKUP('Données projet'!$B$10,Paramètres!$A$1:$I$89,3,0)*0.475*44/12</f>
        <v>7.1426434946373574</v>
      </c>
      <c r="AW165" s="23">
        <f>EXP(-LN(2)/2)*AW164+(1-EXP(-LN(2)/2))/(LN(2)/2)*AQ165*AT165*VLOOKUP('Données projet'!$B$10,Paramètres!$A$1:$I$89,3,0)*0.475*44/12</f>
        <v>9.3424164789602355E-12</v>
      </c>
      <c r="AX165" s="23">
        <f t="shared" si="166"/>
        <v>71.326447329998572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2.2737367544323206E-13</v>
      </c>
      <c r="BE165" s="14">
        <f>BD165*VLOOKUP('Données projet'!$B$11,Paramètres!$A$1:$I$89,3,0)*VLOOKUP('Données projet'!$B$11,Paramètres!$A$1:$I$89,5,0)</f>
        <v>1.6671037883497774E-13</v>
      </c>
      <c r="BF165" s="14">
        <f t="shared" si="167"/>
        <v>2.3598166018346595E-12</v>
      </c>
      <c r="BG165" s="22">
        <f t="shared" si="168"/>
        <v>4.400367824666284E-12</v>
      </c>
      <c r="BH165" s="62">
        <f t="shared" si="116"/>
        <v>293.33333333333769</v>
      </c>
      <c r="BI165" s="62">
        <f ca="1">AVERAGE(OFFSET($BH$3,0,0,'Données projet'!$E$11+1,1))-AVERAGE(OFFSET($H$3,0,0,'Données projet'!$E$11+1,1))</f>
        <v>350.22629663422435</v>
      </c>
      <c r="BJ165" s="62">
        <f t="shared" si="146"/>
        <v>375.98044319336645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26.289910527793154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26.289910527793154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-4.5224624045658861E-14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248.15263300983543</v>
      </c>
      <c r="CE165" s="62">
        <f t="shared" si="148"/>
        <v>266.46511459244618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18.519777244608129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18.519777244608129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-3.813056537183002E-14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205.35893113421139</v>
      </c>
      <c r="CZ165" s="62">
        <f t="shared" si="150"/>
        <v>220.4399811285175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15.614714147414704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15.614714147414704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490.96084572840579</v>
      </c>
      <c r="T166" s="62">
        <f t="shared" si="142"/>
        <v>597.91658789908263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44.536408763618084</v>
      </c>
      <c r="AA166" s="23">
        <f>EXP(-LN(2)/25)*AA165+(1-EXP(-LN(2)/25))/(LN(2)/25)*Calculateur!V166*Calculateur!X166*VLOOKUP('Données projet'!$B$9,Paramètres!$A$1:$I$89,3,0)*0.475*44/12</f>
        <v>4.8554913212286381</v>
      </c>
      <c r="AB166" s="23">
        <f>EXP(-LN(2)/2)*AB165+(1-EXP(-LN(2)/2))/(LN(2)/2)*V166*Y166*VLOOKUP('Données projet'!$B$9,Paramètres!$A$1:$I$89,3,0)*0.475*44/12</f>
        <v>1.153182592597725E-13</v>
      </c>
      <c r="AC166" s="24">
        <f t="shared" si="163"/>
        <v>49.391900084846839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482.28841373508675</v>
      </c>
      <c r="AO166" s="62">
        <f t="shared" si="144"/>
        <v>746.97309214631684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62.925198590395404</v>
      </c>
      <c r="AV166" s="23">
        <f>EXP(-LN(2)/25)*AV165+(1-EXP(-LN(2)/25))/(LN(2)/25)*Calculateur!AQ166*Calculateur!AS166*VLOOKUP('Données projet'!$B$10,Paramètres!$A$1:$I$89,3,0)*0.475*44/12</f>
        <v>6.9473275326612018</v>
      </c>
      <c r="AW166" s="23">
        <f>EXP(-LN(2)/2)*AW165+(1-EXP(-LN(2)/2))/(LN(2)/2)*AQ166*AT166*VLOOKUP('Données projet'!$B$10,Paramètres!$A$1:$I$89,3,0)*0.475*44/12</f>
        <v>6.6060860449417311E-12</v>
      </c>
      <c r="AX166" s="23">
        <f t="shared" si="166"/>
        <v>69.87252612306321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2.2737367544323206E-13</v>
      </c>
      <c r="BE166" s="14">
        <f>BD166*VLOOKUP('Données projet'!$B$11,Paramètres!$A$1:$I$89,3,0)*VLOOKUP('Données projet'!$B$11,Paramètres!$A$1:$I$89,5,0)</f>
        <v>1.6671037883497774E-13</v>
      </c>
      <c r="BF166" s="14">
        <f t="shared" si="167"/>
        <v>2.3598166018346595E-12</v>
      </c>
      <c r="BG166" s="22">
        <f t="shared" si="168"/>
        <v>4.400367824666284E-12</v>
      </c>
      <c r="BH166" s="62">
        <f t="shared" si="116"/>
        <v>293.33333333333769</v>
      </c>
      <c r="BI166" s="62">
        <f ca="1">AVERAGE(OFFSET($BH$3,0,0,'Données projet'!$E$11+1,1))-AVERAGE(OFFSET($H$3,0,0,'Données projet'!$E$11+1,1))</f>
        <v>350.22629663422435</v>
      </c>
      <c r="BJ166" s="62">
        <f t="shared" si="146"/>
        <v>375.98044319336645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25.774381417605202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25.774381417605202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-4.5224624045658861E-14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248.15263300983543</v>
      </c>
      <c r="CE166" s="62">
        <f t="shared" si="148"/>
        <v>266.46511459244618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18.156615708790099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18.156615708790099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-3.813056537183002E-14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205.35893113421139</v>
      </c>
      <c r="CZ166" s="62">
        <f t="shared" si="150"/>
        <v>220.4399811285175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15.30851912701911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15.30851912701911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490.96084572840579</v>
      </c>
      <c r="T167" s="62">
        <f t="shared" si="142"/>
        <v>597.91658789908263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43.663076952290602</v>
      </c>
      <c r="AA167" s="23">
        <f>EXP(-LN(2)/25)*AA166+(1-EXP(-LN(2)/25))/(LN(2)/25)*Calculateur!V167*Calculateur!X167*VLOOKUP('Données projet'!$B$9,Paramètres!$A$1:$I$89,3,0)*0.475*44/12</f>
        <v>4.7227176557104498</v>
      </c>
      <c r="AB167" s="23">
        <f>EXP(-LN(2)/2)*AB166+(1-EXP(-LN(2)/2))/(LN(2)/2)*V167*Y167*VLOOKUP('Données projet'!$B$9,Paramètres!$A$1:$I$89,3,0)*0.475*44/12</f>
        <v>8.1542323117213513E-14</v>
      </c>
      <c r="AC167" s="24">
        <f t="shared" si="163"/>
        <v>48.385794608001127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482.28841373508675</v>
      </c>
      <c r="AO167" s="62">
        <f t="shared" si="144"/>
        <v>746.97309214631684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61.691273826619124</v>
      </c>
      <c r="AV167" s="23">
        <f>EXP(-LN(2)/25)*AV166+(1-EXP(-LN(2)/25))/(LN(2)/25)*Calculateur!AQ167*Calculateur!AS167*VLOOKUP('Données projet'!$B$10,Paramètres!$A$1:$I$89,3,0)*0.475*44/12</f>
        <v>6.7573524959365043</v>
      </c>
      <c r="AW167" s="23">
        <f>EXP(-LN(2)/2)*AW166+(1-EXP(-LN(2)/2))/(LN(2)/2)*AQ167*AT167*VLOOKUP('Données projet'!$B$10,Paramètres!$A$1:$I$89,3,0)*0.475*44/12</f>
        <v>4.6712082394801178E-12</v>
      </c>
      <c r="AX167" s="23">
        <f t="shared" si="166"/>
        <v>68.448626322560301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2.2737367544323206E-13</v>
      </c>
      <c r="BE167" s="14">
        <f>BD167*VLOOKUP('Données projet'!$B$11,Paramètres!$A$1:$I$89,3,0)*VLOOKUP('Données projet'!$B$11,Paramètres!$A$1:$I$89,5,0)</f>
        <v>1.6671037883497774E-13</v>
      </c>
      <c r="BF167" s="14">
        <f t="shared" si="167"/>
        <v>2.3598166018346595E-12</v>
      </c>
      <c r="BG167" s="22">
        <f t="shared" si="168"/>
        <v>4.400367824666284E-12</v>
      </c>
      <c r="BH167" s="62">
        <f t="shared" si="116"/>
        <v>293.33333333333769</v>
      </c>
      <c r="BI167" s="62">
        <f ca="1">AVERAGE(OFFSET($BH$3,0,0,'Données projet'!$E$11+1,1))-AVERAGE(OFFSET($H$3,0,0,'Données projet'!$E$11+1,1))</f>
        <v>350.22629663422435</v>
      </c>
      <c r="BJ167" s="62">
        <f t="shared" si="146"/>
        <v>375.98044319336645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25.268961518826327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25.268961518826327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-4.5224624045658861E-14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248.15263300983543</v>
      </c>
      <c r="CE167" s="62">
        <f t="shared" si="148"/>
        <v>266.46511459244618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17.800575549182795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17.800575549182795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-3.813056537183002E-14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205.35893113421139</v>
      </c>
      <c r="CZ167" s="62">
        <f t="shared" si="150"/>
        <v>220.4399811285175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15.008328404212953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15.008328404212953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490.96084572840579</v>
      </c>
      <c r="T168" s="62">
        <f t="shared" si="142"/>
        <v>597.91658789908263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42.806870645103444</v>
      </c>
      <c r="AA168" s="23">
        <f>EXP(-LN(2)/25)*AA167+(1-EXP(-LN(2)/25))/(LN(2)/25)*Calculateur!V168*Calculateur!X168*VLOOKUP('Données projet'!$B$9,Paramètres!$A$1:$I$89,3,0)*0.475*44/12</f>
        <v>4.5935746930581196</v>
      </c>
      <c r="AB168" s="23">
        <f>EXP(-LN(2)/2)*AB167+(1-EXP(-LN(2)/2))/(LN(2)/2)*V168*Y168*VLOOKUP('Données projet'!$B$9,Paramètres!$A$1:$I$89,3,0)*0.475*44/12</f>
        <v>5.765912962988625E-14</v>
      </c>
      <c r="AC168" s="24">
        <f t="shared" si="163"/>
        <v>47.400445338161617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482.28841373508675</v>
      </c>
      <c r="AO168" s="62">
        <f t="shared" si="144"/>
        <v>746.97309214631684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60.481545574840702</v>
      </c>
      <c r="AV168" s="23">
        <f>EXP(-LN(2)/25)*AV167+(1-EXP(-LN(2)/25))/(LN(2)/25)*Calculateur!AQ168*Calculateur!AS168*VLOOKUP('Données projet'!$B$10,Paramètres!$A$1:$I$89,3,0)*0.475*44/12</f>
        <v>6.5725723365813966</v>
      </c>
      <c r="AW168" s="23">
        <f>EXP(-LN(2)/2)*AW167+(1-EXP(-LN(2)/2))/(LN(2)/2)*AQ168*AT168*VLOOKUP('Données projet'!$B$10,Paramètres!$A$1:$I$89,3,0)*0.475*44/12</f>
        <v>3.3030430224708655E-12</v>
      </c>
      <c r="AX168" s="23">
        <f t="shared" si="166"/>
        <v>67.054117911425394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2.2737367544323206E-13</v>
      </c>
      <c r="BE168" s="14">
        <f>BD168*VLOOKUP('Données projet'!$B$11,Paramètres!$A$1:$I$89,3,0)*VLOOKUP('Données projet'!$B$11,Paramètres!$A$1:$I$89,5,0)</f>
        <v>1.6671037883497774E-13</v>
      </c>
      <c r="BF168" s="14">
        <f t="shared" si="167"/>
        <v>2.3598166018346595E-12</v>
      </c>
      <c r="BG168" s="22">
        <f t="shared" si="168"/>
        <v>4.400367824666284E-12</v>
      </c>
      <c r="BH168" s="62">
        <f t="shared" si="116"/>
        <v>293.33333333333769</v>
      </c>
      <c r="BI168" s="62">
        <f ca="1">AVERAGE(OFFSET($BH$3,0,0,'Données projet'!$E$11+1,1))-AVERAGE(OFFSET($H$3,0,0,'Données projet'!$E$11+1,1))</f>
        <v>350.22629663422435</v>
      </c>
      <c r="BJ168" s="62">
        <f t="shared" si="146"/>
        <v>375.98044319336645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24.773452595986807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24.773452595986807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-4.5224624045658861E-14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248.15263300983543</v>
      </c>
      <c r="CE168" s="62">
        <f t="shared" si="148"/>
        <v>266.46511459244618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17.451517119942338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17.451517119942338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-3.813056537183002E-14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205.35893113421139</v>
      </c>
      <c r="CZ168" s="62">
        <f t="shared" si="150"/>
        <v>220.4399811285175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14.714024238382764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14.714024238382764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490.96084572840579</v>
      </c>
      <c r="T169" s="62">
        <f t="shared" si="142"/>
        <v>597.91658789908263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41.967454021365953</v>
      </c>
      <c r="AA169" s="23">
        <f>EXP(-LN(2)/25)*AA168+(1-EXP(-LN(2)/25))/(LN(2)/25)*Calculateur!V169*Calculateur!X169*VLOOKUP('Données projet'!$B$9,Paramètres!$A$1:$I$89,3,0)*0.475*44/12</f>
        <v>4.4679631515108511</v>
      </c>
      <c r="AB169" s="23">
        <f>EXP(-LN(2)/2)*AB168+(1-EXP(-LN(2)/2))/(LN(2)/2)*V169*Y169*VLOOKUP('Données projet'!$B$9,Paramètres!$A$1:$I$89,3,0)*0.475*44/12</f>
        <v>4.0771161558606757E-14</v>
      </c>
      <c r="AC169" s="24">
        <f t="shared" si="163"/>
        <v>46.435417172876846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482.28841373508675</v>
      </c>
      <c r="AO169" s="62">
        <f t="shared" si="144"/>
        <v>746.97309214631684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59.295539356218285</v>
      </c>
      <c r="AV169" s="23">
        <f>EXP(-LN(2)/25)*AV168+(1-EXP(-LN(2)/25))/(LN(2)/25)*Calculateur!AQ169*Calculateur!AS169*VLOOKUP('Données projet'!$B$10,Paramètres!$A$1:$I$89,3,0)*0.475*44/12</f>
        <v>6.3928450004010209</v>
      </c>
      <c r="AW169" s="23">
        <f>EXP(-LN(2)/2)*AW168+(1-EXP(-LN(2)/2))/(LN(2)/2)*AQ169*AT169*VLOOKUP('Données projet'!$B$10,Paramètres!$A$1:$I$89,3,0)*0.475*44/12</f>
        <v>2.3356041197400589E-12</v>
      </c>
      <c r="AX169" s="23">
        <f t="shared" si="166"/>
        <v>65.68838435662164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2.2737367544323206E-13</v>
      </c>
      <c r="BE169" s="14">
        <f>BD169*VLOOKUP('Données projet'!$B$11,Paramètres!$A$1:$I$89,3,0)*VLOOKUP('Données projet'!$B$11,Paramètres!$A$1:$I$89,5,0)</f>
        <v>1.6671037883497774E-13</v>
      </c>
      <c r="BF169" s="14">
        <f t="shared" si="167"/>
        <v>2.3598166018346595E-12</v>
      </c>
      <c r="BG169" s="22">
        <f t="shared" si="168"/>
        <v>4.400367824666284E-12</v>
      </c>
      <c r="BH169" s="62">
        <f t="shared" si="116"/>
        <v>293.33333333333769</v>
      </c>
      <c r="BI169" s="62">
        <f ca="1">AVERAGE(OFFSET($BH$3,0,0,'Données projet'!$E$11+1,1))-AVERAGE(OFFSET($H$3,0,0,'Données projet'!$E$11+1,1))</f>
        <v>350.22629663422435</v>
      </c>
      <c r="BJ169" s="62">
        <f t="shared" si="146"/>
        <v>375.98044319336645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24.28766030089357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24.28766030089357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-4.5224624045658861E-14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248.15263300983543</v>
      </c>
      <c r="CE169" s="62">
        <f t="shared" si="148"/>
        <v>266.46511459244618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17.109303513594668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17.109303513594668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-3.813056537183002E-14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205.35893113421139</v>
      </c>
      <c r="CZ169" s="62">
        <f t="shared" si="150"/>
        <v>220.4399811285175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14.425491197736688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14.425491197736688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490.96084572840579</v>
      </c>
      <c r="T170" s="62">
        <f t="shared" si="142"/>
        <v>597.91658789908263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41.144497845626361</v>
      </c>
      <c r="AA170" s="23">
        <f>EXP(-LN(2)/25)*AA169+(1-EXP(-LN(2)/25))/(LN(2)/25)*Calculateur!V170*Calculateur!X170*VLOOKUP('Données projet'!$B$9,Paramètres!$A$1:$I$89,3,0)*0.475*44/12</f>
        <v>4.3457864641728161</v>
      </c>
      <c r="AB170" s="23">
        <f>EXP(-LN(2)/2)*AB169+(1-EXP(-LN(2)/2))/(LN(2)/2)*V170*Y170*VLOOKUP('Données projet'!$B$9,Paramètres!$A$1:$I$89,3,0)*0.475*44/12</f>
        <v>2.8829564814943125E-14</v>
      </c>
      <c r="AC170" s="24">
        <f t="shared" si="163"/>
        <v>45.490284309799208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482.28841373508675</v>
      </c>
      <c r="AO170" s="62">
        <f t="shared" si="144"/>
        <v>746.97309214631684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58.132789996150684</v>
      </c>
      <c r="AV170" s="23">
        <f>EXP(-LN(2)/25)*AV169+(1-EXP(-LN(2)/25))/(LN(2)/25)*Calculateur!AQ170*Calculateur!AS170*VLOOKUP('Données projet'!$B$10,Paramètres!$A$1:$I$89,3,0)*0.475*44/12</f>
        <v>6.2180323176799472</v>
      </c>
      <c r="AW170" s="23">
        <f>EXP(-LN(2)/2)*AW169+(1-EXP(-LN(2)/2))/(LN(2)/2)*AQ170*AT170*VLOOKUP('Données projet'!$B$10,Paramètres!$A$1:$I$89,3,0)*0.475*44/12</f>
        <v>1.6515215112354328E-12</v>
      </c>
      <c r="AX170" s="23">
        <f t="shared" si="166"/>
        <v>64.350822313832282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2.2737367544323206E-13</v>
      </c>
      <c r="BE170" s="14">
        <f>BD170*VLOOKUP('Données projet'!$B$11,Paramètres!$A$1:$I$89,3,0)*VLOOKUP('Données projet'!$B$11,Paramètres!$A$1:$I$89,5,0)</f>
        <v>1.6671037883497774E-13</v>
      </c>
      <c r="BF170" s="14">
        <f t="shared" si="167"/>
        <v>2.3598166018346595E-12</v>
      </c>
      <c r="BG170" s="22">
        <f t="shared" si="168"/>
        <v>4.400367824666284E-12</v>
      </c>
      <c r="BH170" s="62">
        <f t="shared" si="116"/>
        <v>293.33333333333769</v>
      </c>
      <c r="BI170" s="62">
        <f ca="1">AVERAGE(OFFSET($BH$3,0,0,'Données projet'!$E$11+1,1))-AVERAGE(OFFSET($H$3,0,0,'Données projet'!$E$11+1,1))</f>
        <v>350.22629663422435</v>
      </c>
      <c r="BJ170" s="62">
        <f t="shared" si="146"/>
        <v>375.98044319336645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23.81139409640307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23.81139409640307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-4.5224624045658861E-14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248.15263300983543</v>
      </c>
      <c r="CE170" s="62">
        <f t="shared" si="148"/>
        <v>266.46511459244618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16.773800507337786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16.773800507337786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-3.813056537183002E-14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205.35893113421139</v>
      </c>
      <c r="CZ170" s="62">
        <f t="shared" si="150"/>
        <v>220.4399811285175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14.142616114029906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14.142616114029906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490.96084572840579</v>
      </c>
      <c r="T171" s="62">
        <f t="shared" si="142"/>
        <v>597.91658789908263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40.337679338539324</v>
      </c>
      <c r="AA171" s="23">
        <f>EXP(-LN(2)/25)*AA170+(1-EXP(-LN(2)/25))/(LN(2)/25)*Calculateur!V171*Calculateur!X171*VLOOKUP('Données projet'!$B$9,Paramètres!$A$1:$I$89,3,0)*0.475*44/12</f>
        <v>4.2269507047750325</v>
      </c>
      <c r="AB171" s="23">
        <f>EXP(-LN(2)/2)*AB170+(1-EXP(-LN(2)/2))/(LN(2)/2)*V171*Y171*VLOOKUP('Données projet'!$B$9,Paramètres!$A$1:$I$89,3,0)*0.475*44/12</f>
        <v>2.0385580779303378E-14</v>
      </c>
      <c r="AC171" s="24">
        <f t="shared" si="163"/>
        <v>44.564630043314381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482.28841373508675</v>
      </c>
      <c r="AO171" s="62">
        <f t="shared" si="144"/>
        <v>746.97309214631684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56.992841441826933</v>
      </c>
      <c r="AV171" s="23">
        <f>EXP(-LN(2)/25)*AV170+(1-EXP(-LN(2)/25))/(LN(2)/25)*Calculateur!AQ171*Calculateur!AS171*VLOOKUP('Données projet'!$B$10,Paramètres!$A$1:$I$89,3,0)*0.475*44/12</f>
        <v>6.0479998969608806</v>
      </c>
      <c r="AW171" s="23">
        <f>EXP(-LN(2)/2)*AW170+(1-EXP(-LN(2)/2))/(LN(2)/2)*AQ171*AT171*VLOOKUP('Données projet'!$B$10,Paramètres!$A$1:$I$89,3,0)*0.475*44/12</f>
        <v>1.1678020598700294E-12</v>
      </c>
      <c r="AX171" s="23">
        <f t="shared" si="166"/>
        <v>63.040841338788979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2.2737367544323206E-13</v>
      </c>
      <c r="BE171" s="14">
        <f>BD171*VLOOKUP('Données projet'!$B$11,Paramètres!$A$1:$I$89,3,0)*VLOOKUP('Données projet'!$B$11,Paramètres!$A$1:$I$89,5,0)</f>
        <v>1.6671037883497774E-13</v>
      </c>
      <c r="BF171" s="14">
        <f t="shared" si="167"/>
        <v>2.3598166018346595E-12</v>
      </c>
      <c r="BG171" s="22">
        <f t="shared" si="168"/>
        <v>4.400367824666284E-12</v>
      </c>
      <c r="BH171" s="62">
        <f t="shared" si="116"/>
        <v>293.33333333333769</v>
      </c>
      <c r="BI171" s="62">
        <f ca="1">AVERAGE(OFFSET($BH$3,0,0,'Données projet'!$E$11+1,1))-AVERAGE(OFFSET($H$3,0,0,'Données projet'!$E$11+1,1))</f>
        <v>350.22629663422435</v>
      </c>
      <c r="BJ171" s="62">
        <f t="shared" si="146"/>
        <v>375.98044319336645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23.344467181688927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23.344467181688927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-4.5224624045658861E-14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248.15263300983543</v>
      </c>
      <c r="CE171" s="62">
        <f t="shared" si="148"/>
        <v>266.46511459244618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16.444876510396973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16.444876510396973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-3.813056537183002E-14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205.35893113421139</v>
      </c>
      <c r="CZ171" s="62">
        <f t="shared" si="150"/>
        <v>220.4399811285175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13.865288038177848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13.865288038177848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490.96084572840579</v>
      </c>
      <c r="T172" s="62">
        <f t="shared" si="142"/>
        <v>597.91658789908263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39.546682050265566</v>
      </c>
      <c r="AA172" s="23">
        <f>EXP(-LN(2)/25)*AA171+(1-EXP(-LN(2)/25))/(LN(2)/25)*Calculateur!V172*Calculateur!X172*VLOOKUP('Données projet'!$B$9,Paramètres!$A$1:$I$89,3,0)*0.475*44/12</f>
        <v>4.1113645154672822</v>
      </c>
      <c r="AB172" s="23">
        <f>EXP(-LN(2)/2)*AB171+(1-EXP(-LN(2)/2))/(LN(2)/2)*V172*Y172*VLOOKUP('Données projet'!$B$9,Paramètres!$A$1:$I$89,3,0)*0.475*44/12</f>
        <v>1.4414782407471563E-14</v>
      </c>
      <c r="AC172" s="24">
        <f t="shared" si="163"/>
        <v>43.65804656573286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482.28841373508675</v>
      </c>
      <c r="AO172" s="62">
        <f t="shared" si="144"/>
        <v>746.97309214631684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55.875246583353501</v>
      </c>
      <c r="AV172" s="23">
        <f>EXP(-LN(2)/25)*AV171+(1-EXP(-LN(2)/25))/(LN(2)/25)*Calculateur!AQ172*Calculateur!AS172*VLOOKUP('Données projet'!$B$10,Paramètres!$A$1:$I$89,3,0)*0.475*44/12</f>
        <v>5.8826170217279934</v>
      </c>
      <c r="AW172" s="23">
        <f>EXP(-LN(2)/2)*AW171+(1-EXP(-LN(2)/2))/(LN(2)/2)*AQ172*AT172*VLOOKUP('Données projet'!$B$10,Paramètres!$A$1:$I$89,3,0)*0.475*44/12</f>
        <v>8.2576075561771639E-13</v>
      </c>
      <c r="AX172" s="23">
        <f t="shared" si="166"/>
        <v>61.757863605082321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2.2737367544323206E-13</v>
      </c>
      <c r="BE172" s="14">
        <f>BD172*VLOOKUP('Données projet'!$B$11,Paramètres!$A$1:$I$89,3,0)*VLOOKUP('Données projet'!$B$11,Paramètres!$A$1:$I$89,5,0)</f>
        <v>1.6671037883497774E-13</v>
      </c>
      <c r="BF172" s="14">
        <f t="shared" si="167"/>
        <v>2.3598166018346595E-12</v>
      </c>
      <c r="BG172" s="22">
        <f t="shared" si="168"/>
        <v>4.400367824666284E-12</v>
      </c>
      <c r="BH172" s="62">
        <f t="shared" si="116"/>
        <v>293.33333333333769</v>
      </c>
      <c r="BI172" s="62">
        <f ca="1">AVERAGE(OFFSET($BH$3,0,0,'Données projet'!$E$11+1,1))-AVERAGE(OFFSET($H$3,0,0,'Données projet'!$E$11+1,1))</f>
        <v>350.22629663422435</v>
      </c>
      <c r="BJ172" s="62">
        <f t="shared" si="146"/>
        <v>375.98044319336645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22.886696418975031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22.886696418975031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-4.5224624045658861E-14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248.15263300983543</v>
      </c>
      <c r="CE172" s="62">
        <f t="shared" si="148"/>
        <v>266.46511459244618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16.122402512412343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16.122402512412343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-3.813056537183002E-14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205.35893113421139</v>
      </c>
      <c r="CZ172" s="62">
        <f t="shared" si="150"/>
        <v>220.4399811285175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13.593398196739825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13.593398196739825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490.96084572840579</v>
      </c>
      <c r="T173" s="62">
        <f t="shared" si="142"/>
        <v>597.91658789908263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38.771195736354152</v>
      </c>
      <c r="AA173" s="23">
        <f>EXP(-LN(2)/25)*AA172+(1-EXP(-LN(2)/25))/(LN(2)/25)*Calculateur!V173*Calculateur!X173*VLOOKUP('Données projet'!$B$9,Paramètres!$A$1:$I$89,3,0)*0.475*44/12</f>
        <v>3.9989390365845661</v>
      </c>
      <c r="AB173" s="23">
        <f>EXP(-LN(2)/2)*AB172+(1-EXP(-LN(2)/2))/(LN(2)/2)*V173*Y173*VLOOKUP('Données projet'!$B$9,Paramètres!$A$1:$I$89,3,0)*0.475*44/12</f>
        <v>1.0192790389651689E-14</v>
      </c>
      <c r="AC173" s="24">
        <f t="shared" si="163"/>
        <v>42.770134772938725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482.28841373508675</v>
      </c>
      <c r="AO173" s="62">
        <f t="shared" si="144"/>
        <v>746.97309214631684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54.779567078389185</v>
      </c>
      <c r="AV173" s="23">
        <f>EXP(-LN(2)/25)*AV172+(1-EXP(-LN(2)/25))/(LN(2)/25)*Calculateur!AQ173*Calculateur!AS173*VLOOKUP('Données projet'!$B$10,Paramètres!$A$1:$I$89,3,0)*0.475*44/12</f>
        <v>5.7217565499154572</v>
      </c>
      <c r="AW173" s="23">
        <f>EXP(-LN(2)/2)*AW172+(1-EXP(-LN(2)/2))/(LN(2)/2)*AQ173*AT173*VLOOKUP('Données projet'!$B$10,Paramètres!$A$1:$I$89,3,0)*0.475*44/12</f>
        <v>5.8390102993501472E-13</v>
      </c>
      <c r="AX173" s="23">
        <f t="shared" si="166"/>
        <v>60.501323628305222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2.2737367544323206E-13</v>
      </c>
      <c r="BE173" s="14">
        <f>BD173*VLOOKUP('Données projet'!$B$11,Paramètres!$A$1:$I$89,3,0)*VLOOKUP('Données projet'!$B$11,Paramètres!$A$1:$I$89,5,0)</f>
        <v>1.6671037883497774E-13</v>
      </c>
      <c r="BF173" s="14">
        <f t="shared" si="167"/>
        <v>2.3598166018346595E-12</v>
      </c>
      <c r="BG173" s="22">
        <f t="shared" si="168"/>
        <v>4.400367824666284E-12</v>
      </c>
      <c r="BH173" s="62">
        <f t="shared" si="116"/>
        <v>293.33333333333769</v>
      </c>
      <c r="BI173" s="62">
        <f ca="1">AVERAGE(OFFSET($BH$3,0,0,'Données projet'!$E$11+1,1))-AVERAGE(OFFSET($H$3,0,0,'Données projet'!$E$11+1,1))</f>
        <v>350.22629663422435</v>
      </c>
      <c r="BJ173" s="62">
        <f t="shared" si="146"/>
        <v>375.98044319336645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22.437902261705361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22.437902261705361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-4.5224624045658861E-14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248.15263300983543</v>
      </c>
      <c r="CE173" s="62">
        <f t="shared" si="148"/>
        <v>266.46511459244618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15.806252032838472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15.806252032838472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-3.813056537183002E-14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205.35893113421139</v>
      </c>
      <c r="CZ173" s="62">
        <f t="shared" si="150"/>
        <v>220.4399811285175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13.326839949255973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13.326839949255973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490.96084572840579</v>
      </c>
      <c r="T174" s="62">
        <f t="shared" si="142"/>
        <v>597.91658789908263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38.010916236058591</v>
      </c>
      <c r="AA174" s="23">
        <f>EXP(-LN(2)/25)*AA173+(1-EXP(-LN(2)/25))/(LN(2)/25)*Calculateur!V174*Calculateur!X174*VLOOKUP('Données projet'!$B$9,Paramètres!$A$1:$I$89,3,0)*0.475*44/12</f>
        <v>3.8895878383340969</v>
      </c>
      <c r="AB174" s="23">
        <f>EXP(-LN(2)/2)*AB173+(1-EXP(-LN(2)/2))/(LN(2)/2)*V174*Y174*VLOOKUP('Données projet'!$B$9,Paramètres!$A$1:$I$89,3,0)*0.475*44/12</f>
        <v>7.2073912037357813E-15</v>
      </c>
      <c r="AC174" s="24">
        <f t="shared" si="163"/>
        <v>41.900504074392693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482.28841373508675</v>
      </c>
      <c r="AO174" s="62">
        <f t="shared" si="144"/>
        <v>746.97309214631684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53.705373180218707</v>
      </c>
      <c r="AV174" s="23">
        <f>EXP(-LN(2)/25)*AV173+(1-EXP(-LN(2)/25))/(LN(2)/25)*Calculateur!AQ174*Calculateur!AS174*VLOOKUP('Données projet'!$B$10,Paramètres!$A$1:$I$89,3,0)*0.475*44/12</f>
        <v>5.5652948161639193</v>
      </c>
      <c r="AW174" s="23">
        <f>EXP(-LN(2)/2)*AW173+(1-EXP(-LN(2)/2))/(LN(2)/2)*AQ174*AT174*VLOOKUP('Données projet'!$B$10,Paramètres!$A$1:$I$89,3,0)*0.475*44/12</f>
        <v>4.1288037780885819E-13</v>
      </c>
      <c r="AX174" s="23">
        <f t="shared" si="166"/>
        <v>59.27066799638304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2.2737367544323206E-13</v>
      </c>
      <c r="BE174" s="14">
        <f>BD174*VLOOKUP('Données projet'!$B$11,Paramètres!$A$1:$I$89,3,0)*VLOOKUP('Données projet'!$B$11,Paramètres!$A$1:$I$89,5,0)</f>
        <v>1.6671037883497774E-13</v>
      </c>
      <c r="BF174" s="14">
        <f t="shared" si="167"/>
        <v>2.3598166018346595E-12</v>
      </c>
      <c r="BG174" s="22">
        <f t="shared" si="168"/>
        <v>4.400367824666284E-12</v>
      </c>
      <c r="BH174" s="62">
        <f t="shared" si="116"/>
        <v>293.33333333333769</v>
      </c>
      <c r="BI174" s="62">
        <f ca="1">AVERAGE(OFFSET($BH$3,0,0,'Données projet'!$E$11+1,1))-AVERAGE(OFFSET($H$3,0,0,'Données projet'!$E$11+1,1))</f>
        <v>350.22629663422435</v>
      </c>
      <c r="BJ174" s="62">
        <f t="shared" si="146"/>
        <v>375.98044319336645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21.99790868412234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21.99790868412234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-4.5224624045658861E-14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248.15263300983543</v>
      </c>
      <c r="CE174" s="62">
        <f t="shared" si="148"/>
        <v>266.46511459244618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15.496301071336294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15.496301071336294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-3.813056537183002E-14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205.35893113421139</v>
      </c>
      <c r="CZ174" s="62">
        <f t="shared" si="150"/>
        <v>220.4399811285175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13.065508746420804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13.065508746420804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490.96084572840579</v>
      </c>
      <c r="T175" s="62">
        <f t="shared" si="142"/>
        <v>597.91658789908263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37.265545353039123</v>
      </c>
      <c r="AA175" s="23">
        <f>EXP(-LN(2)/25)*AA174+(1-EXP(-LN(2)/25))/(LN(2)/25)*Calculateur!V175*Calculateur!X175*VLOOKUP('Données projet'!$B$9,Paramètres!$A$1:$I$89,3,0)*0.475*44/12</f>
        <v>3.7832268543503162</v>
      </c>
      <c r="AB175" s="23">
        <f>EXP(-LN(2)/2)*AB174+(1-EXP(-LN(2)/2))/(LN(2)/2)*V175*Y175*VLOOKUP('Données projet'!$B$9,Paramètres!$A$1:$I$89,3,0)*0.475*44/12</f>
        <v>5.0963951948258446E-15</v>
      </c>
      <c r="AC175" s="24">
        <f t="shared" si="163"/>
        <v>41.048772207389447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482.28841373508675</v>
      </c>
      <c r="AO175" s="62">
        <f t="shared" si="144"/>
        <v>746.97309214631684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52.652243569197772</v>
      </c>
      <c r="AV175" s="23">
        <f>EXP(-LN(2)/25)*AV174+(1-EXP(-LN(2)/25))/(LN(2)/25)*Calculateur!AQ175*Calculateur!AS175*VLOOKUP('Données projet'!$B$10,Paramètres!$A$1:$I$89,3,0)*0.475*44/12</f>
        <v>5.4131115367497822</v>
      </c>
      <c r="AW175" s="23">
        <f>EXP(-LN(2)/2)*AW174+(1-EXP(-LN(2)/2))/(LN(2)/2)*AQ175*AT175*VLOOKUP('Données projet'!$B$10,Paramètres!$A$1:$I$89,3,0)*0.475*44/12</f>
        <v>2.9195051496750736E-13</v>
      </c>
      <c r="AX175" s="23">
        <f t="shared" si="166"/>
        <v>58.065355105947845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2.2737367544323206E-13</v>
      </c>
      <c r="BE175" s="14">
        <f>BD175*VLOOKUP('Données projet'!$B$11,Paramètres!$A$1:$I$89,3,0)*VLOOKUP('Données projet'!$B$11,Paramètres!$A$1:$I$89,5,0)</f>
        <v>1.6671037883497774E-13</v>
      </c>
      <c r="BF175" s="14">
        <f t="shared" si="167"/>
        <v>2.3598166018346595E-12</v>
      </c>
      <c r="BG175" s="22">
        <f t="shared" si="168"/>
        <v>4.400367824666284E-12</v>
      </c>
      <c r="BH175" s="62">
        <f t="shared" si="116"/>
        <v>293.33333333333769</v>
      </c>
      <c r="BI175" s="62">
        <f ca="1">AVERAGE(OFFSET($BH$3,0,0,'Données projet'!$E$11+1,1))-AVERAGE(OFFSET($H$3,0,0,'Données projet'!$E$11+1,1))</f>
        <v>350.22629663422435</v>
      </c>
      <c r="BJ175" s="62">
        <f t="shared" si="146"/>
        <v>375.98044319336645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21.566543112226139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21.566543112226139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-4.5224624045658861E-14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248.15263300983543</v>
      </c>
      <c r="CE175" s="62">
        <f t="shared" si="148"/>
        <v>266.46511459244618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15.192428059137754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15.192428059137754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-3.813056537183002E-14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205.35893113421139</v>
      </c>
      <c r="CZ175" s="62">
        <f t="shared" si="150"/>
        <v>220.4399811285175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12.809302089076937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12.809302089076937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490.96084572840579</v>
      </c>
      <c r="T176" s="62">
        <f t="shared" si="142"/>
        <v>597.91658789908263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36.534790738404318</v>
      </c>
      <c r="AA176" s="23">
        <f>EXP(-LN(2)/25)*AA175+(1-EXP(-LN(2)/25))/(LN(2)/25)*Calculateur!V176*Calculateur!X176*VLOOKUP('Données projet'!$B$9,Paramètres!$A$1:$I$89,3,0)*0.475*44/12</f>
        <v>3.6797743170668533</v>
      </c>
      <c r="AB176" s="23">
        <f>EXP(-LN(2)/2)*AB175+(1-EXP(-LN(2)/2))/(LN(2)/2)*V176*Y176*VLOOKUP('Données projet'!$B$9,Paramètres!$A$1:$I$89,3,0)*0.475*44/12</f>
        <v>3.6036956018678907E-15</v>
      </c>
      <c r="AC176" s="24">
        <f t="shared" si="163"/>
        <v>40.214565055471176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482.28841373508675</v>
      </c>
      <c r="AO176" s="62">
        <f t="shared" si="144"/>
        <v>746.97309214631684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51.619765187503319</v>
      </c>
      <c r="AV176" s="23">
        <f>EXP(-LN(2)/25)*AV175+(1-EXP(-LN(2)/25))/(LN(2)/25)*Calculateur!AQ176*Calculateur!AS176*VLOOKUP('Données projet'!$B$10,Paramètres!$A$1:$I$89,3,0)*0.475*44/12</f>
        <v>5.2650897171141953</v>
      </c>
      <c r="AW176" s="23">
        <f>EXP(-LN(2)/2)*AW175+(1-EXP(-LN(2)/2))/(LN(2)/2)*AQ176*AT176*VLOOKUP('Données projet'!$B$10,Paramètres!$A$1:$I$89,3,0)*0.475*44/12</f>
        <v>2.064401889044291E-13</v>
      </c>
      <c r="AX176" s="23">
        <f t="shared" si="166"/>
        <v>56.884854904617718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2.2737367544323206E-13</v>
      </c>
      <c r="BE176" s="14">
        <f>BD176*VLOOKUP('Données projet'!$B$11,Paramètres!$A$1:$I$89,3,0)*VLOOKUP('Données projet'!$B$11,Paramètres!$A$1:$I$89,5,0)</f>
        <v>1.6671037883497774E-13</v>
      </c>
      <c r="BF176" s="14">
        <f t="shared" si="167"/>
        <v>2.3598166018346595E-12</v>
      </c>
      <c r="BG176" s="22">
        <f t="shared" si="168"/>
        <v>4.400367824666284E-12</v>
      </c>
      <c r="BH176" s="62">
        <f t="shared" si="116"/>
        <v>293.33333333333769</v>
      </c>
      <c r="BI176" s="62">
        <f ca="1">AVERAGE(OFFSET($BH$3,0,0,'Données projet'!$E$11+1,1))-AVERAGE(OFFSET($H$3,0,0,'Données projet'!$E$11+1,1))</f>
        <v>350.22629663422435</v>
      </c>
      <c r="BJ176" s="62">
        <f t="shared" si="146"/>
        <v>375.98044319336645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21.143636356087804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21.143636356087804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-4.5224624045658861E-14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248.15263300983543</v>
      </c>
      <c r="CE176" s="62">
        <f t="shared" si="148"/>
        <v>266.46511459244618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14.894513811364192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14.894513811364192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-3.813056537183002E-14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205.35893113421139</v>
      </c>
      <c r="CZ176" s="62">
        <f t="shared" si="150"/>
        <v>220.4399811285175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12.558119488012952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12.558119488012952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490.96084572840579</v>
      </c>
      <c r="T177" s="62">
        <f t="shared" si="142"/>
        <v>597.91658789908263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35.818365776046193</v>
      </c>
      <c r="AA177" s="23">
        <f>EXP(-LN(2)/25)*AA176+(1-EXP(-LN(2)/25))/(LN(2)/25)*Calculateur!V177*Calculateur!X177*VLOOKUP('Données projet'!$B$9,Paramètres!$A$1:$I$89,3,0)*0.475*44/12</f>
        <v>3.579150694855739</v>
      </c>
      <c r="AB177" s="23">
        <f>EXP(-LN(2)/2)*AB176+(1-EXP(-LN(2)/2))/(LN(2)/2)*V177*Y177*VLOOKUP('Données projet'!$B$9,Paramètres!$A$1:$I$89,3,0)*0.475*44/12</f>
        <v>2.5481975974129223E-15</v>
      </c>
      <c r="AC177" s="24">
        <f t="shared" si="163"/>
        <v>39.397516470901934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482.28841373508675</v>
      </c>
      <c r="AO177" s="62">
        <f t="shared" si="144"/>
        <v>746.97309214631684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50.607533077124266</v>
      </c>
      <c r="AV177" s="23">
        <f>EXP(-LN(2)/25)*AV176+(1-EXP(-LN(2)/25))/(LN(2)/25)*Calculateur!AQ177*Calculateur!AS177*VLOOKUP('Données projet'!$B$10,Paramètres!$A$1:$I$89,3,0)*0.475*44/12</f>
        <v>5.1211155619206732</v>
      </c>
      <c r="AW177" s="23">
        <f>EXP(-LN(2)/2)*AW176+(1-EXP(-LN(2)/2))/(LN(2)/2)*AQ177*AT177*VLOOKUP('Données projet'!$B$10,Paramètres!$A$1:$I$89,3,0)*0.475*44/12</f>
        <v>1.4597525748375368E-13</v>
      </c>
      <c r="AX177" s="23">
        <f t="shared" si="166"/>
        <v>55.72864863904509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2.2737367544323206E-13</v>
      </c>
      <c r="BE177" s="14">
        <f>BD177*VLOOKUP('Données projet'!$B$11,Paramètres!$A$1:$I$89,3,0)*VLOOKUP('Données projet'!$B$11,Paramètres!$A$1:$I$89,5,0)</f>
        <v>1.6671037883497774E-13</v>
      </c>
      <c r="BF177" s="14">
        <f t="shared" si="167"/>
        <v>2.3598166018346595E-12</v>
      </c>
      <c r="BG177" s="22">
        <f t="shared" si="168"/>
        <v>4.400367824666284E-12</v>
      </c>
      <c r="BH177" s="62">
        <f t="shared" si="116"/>
        <v>293.33333333333769</v>
      </c>
      <c r="BI177" s="62">
        <f ca="1">AVERAGE(OFFSET($BH$3,0,0,'Données projet'!$E$11+1,1))-AVERAGE(OFFSET($H$3,0,0,'Données projet'!$E$11+1,1))</f>
        <v>350.22629663422435</v>
      </c>
      <c r="BJ177" s="62">
        <f t="shared" si="146"/>
        <v>375.98044319336645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20.729022543489691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20.729022543489691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-4.5224624045658861E-14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248.15263300983543</v>
      </c>
      <c r="CE177" s="62">
        <f t="shared" si="148"/>
        <v>266.46511459244618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14.602441480279719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14.602441480279719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-3.813056537183002E-14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205.35893113421139</v>
      </c>
      <c r="CZ177" s="62">
        <f t="shared" si="150"/>
        <v>220.4399811285175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12.311862424549574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12.311862424549574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490.96084572840579</v>
      </c>
      <c r="T178" s="62">
        <f t="shared" si="142"/>
        <v>597.91658789908263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35.11598947022383</v>
      </c>
      <c r="AA178" s="23">
        <f>EXP(-LN(2)/25)*AA177+(1-EXP(-LN(2)/25))/(LN(2)/25)*Calculateur!V178*Calculateur!X178*VLOOKUP('Données projet'!$B$9,Paramètres!$A$1:$I$89,3,0)*0.475*44/12</f>
        <v>3.4812786308855541</v>
      </c>
      <c r="AB178" s="23">
        <f>EXP(-LN(2)/2)*AB177+(1-EXP(-LN(2)/2))/(LN(2)/2)*V178*Y178*VLOOKUP('Données projet'!$B$9,Paramètres!$A$1:$I$89,3,0)*0.475*44/12</f>
        <v>1.8018478009339453E-15</v>
      </c>
      <c r="AC178" s="24">
        <f t="shared" si="163"/>
        <v>38.597268101109385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482.28841373508675</v>
      </c>
      <c r="AO178" s="62">
        <f t="shared" si="144"/>
        <v>746.97309214631684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49.615150221029118</v>
      </c>
      <c r="AV178" s="23">
        <f>EXP(-LN(2)/25)*AV177+(1-EXP(-LN(2)/25))/(LN(2)/25)*Calculateur!AQ178*Calculateur!AS178*VLOOKUP('Données projet'!$B$10,Paramètres!$A$1:$I$89,3,0)*0.475*44/12</f>
        <v>4.9810783875721896</v>
      </c>
      <c r="AW178" s="23">
        <f>EXP(-LN(2)/2)*AW177+(1-EXP(-LN(2)/2))/(LN(2)/2)*AQ178*AT178*VLOOKUP('Données projet'!$B$10,Paramètres!$A$1:$I$89,3,0)*0.475*44/12</f>
        <v>1.0322009445221455E-13</v>
      </c>
      <c r="AX178" s="23">
        <f t="shared" si="166"/>
        <v>54.596228608601415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2.2737367544323206E-13</v>
      </c>
      <c r="BE178" s="14">
        <f>BD178*VLOOKUP('Données projet'!$B$11,Paramètres!$A$1:$I$89,3,0)*VLOOKUP('Données projet'!$B$11,Paramètres!$A$1:$I$89,5,0)</f>
        <v>1.6671037883497774E-13</v>
      </c>
      <c r="BF178" s="14">
        <f t="shared" si="167"/>
        <v>2.3598166018346595E-12</v>
      </c>
      <c r="BG178" s="22">
        <f t="shared" si="168"/>
        <v>4.400367824666284E-12</v>
      </c>
      <c r="BH178" s="62">
        <f t="shared" si="116"/>
        <v>293.33333333333769</v>
      </c>
      <c r="BI178" s="62">
        <f ca="1">AVERAGE(OFFSET($BH$3,0,0,'Données projet'!$E$11+1,1))-AVERAGE(OFFSET($H$3,0,0,'Données projet'!$E$11+1,1))</f>
        <v>350.22629663422435</v>
      </c>
      <c r="BJ178" s="62">
        <f t="shared" si="146"/>
        <v>375.98044319336645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20.322539054867171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20.322539054867171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-4.5224624045658861E-14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248.15263300983543</v>
      </c>
      <c r="CE178" s="62">
        <f t="shared" si="148"/>
        <v>266.46511459244618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14.316096509461282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14.316096509461282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-3.813056537183002E-14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205.35893113421139</v>
      </c>
      <c r="CZ178" s="62">
        <f t="shared" si="150"/>
        <v>220.4399811285175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12.070434311898735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12.070434311898735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490.96084572840579</v>
      </c>
      <c r="T179" s="62">
        <f t="shared" si="142"/>
        <v>597.91658789908263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34.4273863353514</v>
      </c>
      <c r="AA179" s="23">
        <f>EXP(-LN(2)/25)*AA178+(1-EXP(-LN(2)/25))/(LN(2)/25)*Calculateur!V179*Calculateur!X179*VLOOKUP('Données projet'!$B$9,Paramètres!$A$1:$I$89,3,0)*0.475*44/12</f>
        <v>3.3860828836515022</v>
      </c>
      <c r="AB179" s="23">
        <f>EXP(-LN(2)/2)*AB178+(1-EXP(-LN(2)/2))/(LN(2)/2)*V179*Y179*VLOOKUP('Données projet'!$B$9,Paramètres!$A$1:$I$89,3,0)*0.475*44/12</f>
        <v>1.2740987987064611E-15</v>
      </c>
      <c r="AC179" s="24">
        <f t="shared" si="163"/>
        <v>37.813469219002904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482.28841373508675</v>
      </c>
      <c r="AO179" s="62">
        <f t="shared" si="144"/>
        <v>746.97309214631684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48.642227387448223</v>
      </c>
      <c r="AV179" s="23">
        <f>EXP(-LN(2)/25)*AV178+(1-EXP(-LN(2)/25))/(LN(2)/25)*Calculateur!AQ179*Calculateur!AS179*VLOOKUP('Données projet'!$B$10,Paramètres!$A$1:$I$89,3,0)*0.475*44/12</f>
        <v>4.8448705371205003</v>
      </c>
      <c r="AW179" s="23">
        <f>EXP(-LN(2)/2)*AW178+(1-EXP(-LN(2)/2))/(LN(2)/2)*AQ179*AT179*VLOOKUP('Données projet'!$B$10,Paramètres!$A$1:$I$89,3,0)*0.475*44/12</f>
        <v>7.298762874187684E-14</v>
      </c>
      <c r="AX179" s="23">
        <f t="shared" si="166"/>
        <v>53.487097924568793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2.2737367544323206E-13</v>
      </c>
      <c r="BE179" s="14">
        <f>BD179*VLOOKUP('Données projet'!$B$11,Paramètres!$A$1:$I$89,3,0)*VLOOKUP('Données projet'!$B$11,Paramètres!$A$1:$I$89,5,0)</f>
        <v>1.6671037883497774E-13</v>
      </c>
      <c r="BF179" s="14">
        <f t="shared" si="167"/>
        <v>2.3598166018346595E-12</v>
      </c>
      <c r="BG179" s="22">
        <f t="shared" si="168"/>
        <v>4.400367824666284E-12</v>
      </c>
      <c r="BH179" s="62">
        <f t="shared" si="116"/>
        <v>293.33333333333769</v>
      </c>
      <c r="BI179" s="62">
        <f ca="1">AVERAGE(OFFSET($BH$3,0,0,'Données projet'!$E$11+1,1))-AVERAGE(OFFSET($H$3,0,0,'Données projet'!$E$11+1,1))</f>
        <v>350.22629663422435</v>
      </c>
      <c r="BJ179" s="62">
        <f t="shared" si="146"/>
        <v>375.98044319336645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19.924026459526093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19.924026459526093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-4.5224624045658861E-14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248.15263300983543</v>
      </c>
      <c r="CE179" s="62">
        <f t="shared" si="148"/>
        <v>266.46511459244618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14.035366588867408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14.035366588867408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-3.813056537183002E-14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205.35893113421139</v>
      </c>
      <c r="CZ179" s="62">
        <f t="shared" si="150"/>
        <v>220.4399811285175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11.833740457280371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11.833740457280371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490.96084572840579</v>
      </c>
      <c r="T180" s="62">
        <f t="shared" si="142"/>
        <v>597.91658789908263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33.752286287947378</v>
      </c>
      <c r="AA180" s="23">
        <f>EXP(-LN(2)/25)*AA179+(1-EXP(-LN(2)/25))/(LN(2)/25)*Calculateur!V180*Calculateur!X180*VLOOKUP('Données projet'!$B$9,Paramètres!$A$1:$I$89,3,0)*0.475*44/12</f>
        <v>3.2934902691316918</v>
      </c>
      <c r="AB180" s="23">
        <f>EXP(-LN(2)/2)*AB179+(1-EXP(-LN(2)/2))/(LN(2)/2)*V180*Y180*VLOOKUP('Données projet'!$B$9,Paramètres!$A$1:$I$89,3,0)*0.475*44/12</f>
        <v>9.0092390046697266E-16</v>
      </c>
      <c r="AC180" s="24">
        <f t="shared" si="163"/>
        <v>37.045776557079073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482.28841373508675</v>
      </c>
      <c r="AO180" s="62">
        <f t="shared" si="144"/>
        <v>746.97309214631684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47.688382977209514</v>
      </c>
      <c r="AV180" s="23">
        <f>EXP(-LN(2)/25)*AV179+(1-EXP(-LN(2)/25))/(LN(2)/25)*Calculateur!AQ180*Calculateur!AS180*VLOOKUP('Données projet'!$B$10,Paramètres!$A$1:$I$89,3,0)*0.475*44/12</f>
        <v>4.7123872975022714</v>
      </c>
      <c r="AW180" s="23">
        <f>EXP(-LN(2)/2)*AW179+(1-EXP(-LN(2)/2))/(LN(2)/2)*AQ180*AT180*VLOOKUP('Données projet'!$B$10,Paramètres!$A$1:$I$89,3,0)*0.475*44/12</f>
        <v>5.1610047226107274E-14</v>
      </c>
      <c r="AX180" s="23">
        <f t="shared" si="166"/>
        <v>52.400770274711839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2.2737367544323206E-13</v>
      </c>
      <c r="BE180" s="14">
        <f>BD180*VLOOKUP('Données projet'!$B$11,Paramètres!$A$1:$I$89,3,0)*VLOOKUP('Données projet'!$B$11,Paramètres!$A$1:$I$89,5,0)</f>
        <v>1.6671037883497774E-13</v>
      </c>
      <c r="BF180" s="14">
        <f t="shared" si="167"/>
        <v>2.3598166018346595E-12</v>
      </c>
      <c r="BG180" s="22">
        <f t="shared" si="168"/>
        <v>4.400367824666284E-12</v>
      </c>
      <c r="BH180" s="62">
        <f t="shared" si="116"/>
        <v>293.33333333333769</v>
      </c>
      <c r="BI180" s="62">
        <f ca="1">AVERAGE(OFFSET($BH$3,0,0,'Données projet'!$E$11+1,1))-AVERAGE(OFFSET($H$3,0,0,'Données projet'!$E$11+1,1))</f>
        <v>350.22629663422435</v>
      </c>
      <c r="BJ180" s="62">
        <f t="shared" si="146"/>
        <v>375.98044319336645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19.533328453110972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19.533328453110972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-4.5224624045658861E-14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248.15263300983543</v>
      </c>
      <c r="CE180" s="62">
        <f t="shared" si="148"/>
        <v>266.46511459244618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13.760141610788036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13.760141610788036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-3.813056537183002E-14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205.35893113421139</v>
      </c>
      <c r="CZ180" s="62">
        <f t="shared" si="150"/>
        <v>220.4399811285175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11.601688024782076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11.601688024782076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490.96084572840579</v>
      </c>
      <c r="T181" s="62">
        <f t="shared" si="142"/>
        <v>597.91658789908263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33.090424540702578</v>
      </c>
      <c r="AA181" s="23">
        <f>EXP(-LN(2)/25)*AA180+(1-EXP(-LN(2)/25))/(LN(2)/25)*Calculateur!V181*Calculateur!X181*VLOOKUP('Données projet'!$B$9,Paramètres!$A$1:$I$89,3,0)*0.475*44/12</f>
        <v>3.20342960452516</v>
      </c>
      <c r="AB181" s="23">
        <f>EXP(-LN(2)/2)*AB180+(1-EXP(-LN(2)/2))/(LN(2)/2)*V181*Y181*VLOOKUP('Données projet'!$B$9,Paramètres!$A$1:$I$89,3,0)*0.475*44/12</f>
        <v>6.3704939935323057E-16</v>
      </c>
      <c r="AC181" s="24">
        <f t="shared" si="163"/>
        <v>36.293854145227741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482.28841373508675</v>
      </c>
      <c r="AO181" s="62">
        <f t="shared" si="144"/>
        <v>746.97309214631684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46.753242874067944</v>
      </c>
      <c r="AV181" s="23">
        <f>EXP(-LN(2)/25)*AV180+(1-EXP(-LN(2)/25))/(LN(2)/25)*Calculateur!AQ181*Calculateur!AS181*VLOOKUP('Données projet'!$B$10,Paramètres!$A$1:$I$89,3,0)*0.475*44/12</f>
        <v>4.5835268190383944</v>
      </c>
      <c r="AW181" s="23">
        <f>EXP(-LN(2)/2)*AW180+(1-EXP(-LN(2)/2))/(LN(2)/2)*AQ181*AT181*VLOOKUP('Données projet'!$B$10,Paramètres!$A$1:$I$89,3,0)*0.475*44/12</f>
        <v>3.649381437093842E-14</v>
      </c>
      <c r="AX181" s="23">
        <f t="shared" si="166"/>
        <v>51.336769693106376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2.2737367544323206E-13</v>
      </c>
      <c r="BE181" s="14">
        <f>BD181*VLOOKUP('Données projet'!$B$11,Paramètres!$A$1:$I$89,3,0)*VLOOKUP('Données projet'!$B$11,Paramètres!$A$1:$I$89,5,0)</f>
        <v>1.6671037883497774E-13</v>
      </c>
      <c r="BF181" s="14">
        <f t="shared" si="167"/>
        <v>2.3598166018346595E-12</v>
      </c>
      <c r="BG181" s="22">
        <f t="shared" si="168"/>
        <v>4.400367824666284E-12</v>
      </c>
      <c r="BH181" s="62">
        <f t="shared" si="116"/>
        <v>293.33333333333769</v>
      </c>
      <c r="BI181" s="62">
        <f ca="1">AVERAGE(OFFSET($BH$3,0,0,'Données projet'!$E$11+1,1))-AVERAGE(OFFSET($H$3,0,0,'Données projet'!$E$11+1,1))</f>
        <v>350.22629663422435</v>
      </c>
      <c r="BJ181" s="62">
        <f t="shared" si="146"/>
        <v>375.98044319336645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19.150291796299395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19.150291796299395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-4.5224624045658861E-14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248.15263300983543</v>
      </c>
      <c r="CE181" s="62">
        <f t="shared" si="148"/>
        <v>266.46511459244618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13.490313626658139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13.490313626658139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-3.813056537183002E-14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205.35893113421139</v>
      </c>
      <c r="CZ181" s="62">
        <f t="shared" si="150"/>
        <v>220.4399811285175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11.374185998947064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11.374185998947064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490.96084572840579</v>
      </c>
      <c r="T182" s="62">
        <f t="shared" si="142"/>
        <v>597.91658789908263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32.441541498625448</v>
      </c>
      <c r="AA182" s="23">
        <f>EXP(-LN(2)/25)*AA181+(1-EXP(-LN(2)/25))/(LN(2)/25)*Calculateur!V182*Calculateur!X182*VLOOKUP('Données projet'!$B$9,Paramètres!$A$1:$I$89,3,0)*0.475*44/12</f>
        <v>3.1158316535283781</v>
      </c>
      <c r="AB182" s="23">
        <f>EXP(-LN(2)/2)*AB181+(1-EXP(-LN(2)/2))/(LN(2)/2)*V182*Y182*VLOOKUP('Données projet'!$B$9,Paramètres!$A$1:$I$89,3,0)*0.475*44/12</f>
        <v>4.5046195023348633E-16</v>
      </c>
      <c r="AC182" s="24">
        <f t="shared" si="163"/>
        <v>35.557373152153829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482.28841373508675</v>
      </c>
      <c r="AO182" s="62">
        <f t="shared" si="144"/>
        <v>746.97309214631684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45.836440297969837</v>
      </c>
      <c r="AV182" s="23">
        <f>EXP(-LN(2)/25)*AV181+(1-EXP(-LN(2)/25))/(LN(2)/25)*Calculateur!AQ182*Calculateur!AS182*VLOOKUP('Données projet'!$B$10,Paramètres!$A$1:$I$89,3,0)*0.475*44/12</f>
        <v>4.4581900371345897</v>
      </c>
      <c r="AW182" s="23">
        <f>EXP(-LN(2)/2)*AW181+(1-EXP(-LN(2)/2))/(LN(2)/2)*AQ182*AT182*VLOOKUP('Données projet'!$B$10,Paramètres!$A$1:$I$89,3,0)*0.475*44/12</f>
        <v>2.5805023613053637E-14</v>
      </c>
      <c r="AX182" s="23">
        <f t="shared" si="166"/>
        <v>50.294630335104458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2.2737367544323206E-13</v>
      </c>
      <c r="BE182" s="14">
        <f>BD182*VLOOKUP('Données projet'!$B$11,Paramètres!$A$1:$I$89,3,0)*VLOOKUP('Données projet'!$B$11,Paramètres!$A$1:$I$89,5,0)</f>
        <v>1.6671037883497774E-13</v>
      </c>
      <c r="BF182" s="14">
        <f t="shared" si="167"/>
        <v>2.3598166018346595E-12</v>
      </c>
      <c r="BG182" s="22">
        <f t="shared" si="168"/>
        <v>4.400367824666284E-12</v>
      </c>
      <c r="BH182" s="62">
        <f t="shared" si="116"/>
        <v>293.33333333333769</v>
      </c>
      <c r="BI182" s="62">
        <f ca="1">AVERAGE(OFFSET($BH$3,0,0,'Données projet'!$E$11+1,1))-AVERAGE(OFFSET($H$3,0,0,'Données projet'!$E$11+1,1))</f>
        <v>350.22629663422435</v>
      </c>
      <c r="BJ182" s="62">
        <f t="shared" si="146"/>
        <v>375.98044319336645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18.774766254698605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18.774766254698605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-4.5224624045658861E-14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248.15263300983543</v>
      </c>
      <c r="CE182" s="62">
        <f t="shared" si="148"/>
        <v>266.46511459244618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13.22577680471821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13.22577680471821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-3.813056537183002E-14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205.35893113421139</v>
      </c>
      <c r="CZ182" s="62">
        <f t="shared" si="150"/>
        <v>220.4399811285175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11.151145149076143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11.151145149076143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490.96084572840579</v>
      </c>
      <c r="T183" s="62">
        <f t="shared" si="142"/>
        <v>597.91658789908263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31.805382657223873</v>
      </c>
      <c r="AA183" s="23">
        <f>EXP(-LN(2)/25)*AA182+(1-EXP(-LN(2)/25))/(LN(2)/25)*Calculateur!V183*Calculateur!X183*VLOOKUP('Données projet'!$B$9,Paramètres!$A$1:$I$89,3,0)*0.475*44/12</f>
        <v>3.0306290731081793</v>
      </c>
      <c r="AB183" s="23">
        <f>EXP(-LN(2)/2)*AB182+(1-EXP(-LN(2)/2))/(LN(2)/2)*V183*Y183*VLOOKUP('Données projet'!$B$9,Paramètres!$A$1:$I$89,3,0)*0.475*44/12</f>
        <v>3.1852469967661529E-16</v>
      </c>
      <c r="AC183" s="24">
        <f t="shared" si="163"/>
        <v>34.836011730332054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482.28841373508675</v>
      </c>
      <c r="AO183" s="62">
        <f t="shared" si="144"/>
        <v>746.97309214631684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44.937615661194663</v>
      </c>
      <c r="AV183" s="23">
        <f>EXP(-LN(2)/25)*AV182+(1-EXP(-LN(2)/25))/(LN(2)/25)*Calculateur!AQ183*Calculateur!AS183*VLOOKUP('Données projet'!$B$10,Paramètres!$A$1:$I$89,3,0)*0.475*44/12</f>
        <v>4.3362805961231192</v>
      </c>
      <c r="AW183" s="23">
        <f>EXP(-LN(2)/2)*AW182+(1-EXP(-LN(2)/2))/(LN(2)/2)*AQ183*AT183*VLOOKUP('Données projet'!$B$10,Paramètres!$A$1:$I$89,3,0)*0.475*44/12</f>
        <v>1.824690718546921E-14</v>
      </c>
      <c r="AX183" s="23">
        <f t="shared" si="166"/>
        <v>49.273896257317801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2.2737367544323206E-13</v>
      </c>
      <c r="BE183" s="14">
        <f>BD183*VLOOKUP('Données projet'!$B$11,Paramètres!$A$1:$I$89,3,0)*VLOOKUP('Données projet'!$B$11,Paramètres!$A$1:$I$89,5,0)</f>
        <v>1.6671037883497774E-13</v>
      </c>
      <c r="BF183" s="14">
        <f t="shared" si="167"/>
        <v>2.3598166018346595E-12</v>
      </c>
      <c r="BG183" s="22">
        <f t="shared" si="168"/>
        <v>4.400367824666284E-12</v>
      </c>
      <c r="BH183" s="62">
        <f t="shared" si="116"/>
        <v>293.33333333333769</v>
      </c>
      <c r="BI183" s="62">
        <f ca="1">AVERAGE(OFFSET($BH$3,0,0,'Données projet'!$E$11+1,1))-AVERAGE(OFFSET($H$3,0,0,'Données projet'!$E$11+1,1))</f>
        <v>350.22629663422435</v>
      </c>
      <c r="BJ183" s="62">
        <f t="shared" si="146"/>
        <v>375.98044319336645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18.406604539920639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18.406604539920639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-4.5224624045658861E-14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248.15263300983543</v>
      </c>
      <c r="CE183" s="62">
        <f t="shared" si="148"/>
        <v>266.46511459244618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12.966427388504995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12.966427388504995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-3.813056537183002E-14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205.35893113421139</v>
      </c>
      <c r="CZ183" s="62">
        <f t="shared" si="150"/>
        <v>220.4399811285175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10.932477994229705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10.932477994229705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490.96084572840579</v>
      </c>
      <c r="T184" s="62">
        <f t="shared" si="142"/>
        <v>597.91658789908263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31.181698502683606</v>
      </c>
      <c r="AA184" s="23">
        <f>EXP(-LN(2)/25)*AA183+(1-EXP(-LN(2)/25))/(LN(2)/25)*Calculateur!V184*Calculateur!X184*VLOOKUP('Données projet'!$B$9,Paramètres!$A$1:$I$89,3,0)*0.475*44/12</f>
        <v>2.9477563617301796</v>
      </c>
      <c r="AB184" s="23">
        <f>EXP(-LN(2)/2)*AB183+(1-EXP(-LN(2)/2))/(LN(2)/2)*V184*Y184*VLOOKUP('Données projet'!$B$9,Paramètres!$A$1:$I$89,3,0)*0.475*44/12</f>
        <v>2.2523097511674317E-16</v>
      </c>
      <c r="AC184" s="24">
        <f t="shared" si="163"/>
        <v>34.129454864413788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482.28841373508675</v>
      </c>
      <c r="AO184" s="62">
        <f t="shared" si="144"/>
        <v>746.97309214631684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44.05641642731775</v>
      </c>
      <c r="AV184" s="23">
        <f>EXP(-LN(2)/25)*AV183+(1-EXP(-LN(2)/25))/(LN(2)/25)*Calculateur!AQ184*Calculateur!AS184*VLOOKUP('Données projet'!$B$10,Paramètres!$A$1:$I$89,3,0)*0.475*44/12</f>
        <v>4.2177047751870465</v>
      </c>
      <c r="AW184" s="23">
        <f>EXP(-LN(2)/2)*AW183+(1-EXP(-LN(2)/2))/(LN(2)/2)*AQ184*AT184*VLOOKUP('Données projet'!$B$10,Paramètres!$A$1:$I$89,3,0)*0.475*44/12</f>
        <v>1.2902511806526819E-14</v>
      </c>
      <c r="AX184" s="23">
        <f t="shared" si="166"/>
        <v>48.274121202504809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projet'!$B$11,Paramètres!$A$1:$I$89,3,0)*VLOOKUP('Données projet'!$B$11,Paramètres!$A$1:$I$89,5,0)</f>
        <v>1.6671037883497774E-13</v>
      </c>
      <c r="BF184" s="14">
        <f t="shared" si="167"/>
        <v>2.3598166018346595E-12</v>
      </c>
      <c r="BG184" s="22">
        <f t="shared" si="168"/>
        <v>4.400367824666284E-12</v>
      </c>
      <c r="BH184" s="62">
        <f t="shared" si="116"/>
        <v>293.33333333333769</v>
      </c>
      <c r="BI184" s="62">
        <f ca="1">AVERAGE(OFFSET($BH$3,0,0,'Données projet'!$E$11+1,1))-AVERAGE(OFFSET($H$3,0,0,'Données projet'!$E$11+1,1))</f>
        <v>350.22629663422435</v>
      </c>
      <c r="BJ184" s="62">
        <f t="shared" si="146"/>
        <v>375.98044319336645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18.045662251812999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18.045662251812999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-4.5224624045658861E-14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248.15263300983543</v>
      </c>
      <c r="CE184" s="62">
        <f t="shared" si="148"/>
        <v>266.46511459244618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12.712163656156196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12.712163656156196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-3.813056537183002E-14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205.35893113421139</v>
      </c>
      <c r="CZ184" s="62">
        <f t="shared" si="150"/>
        <v>220.4399811285175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10.718098768916011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10.718098768916011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490.96084572840579</v>
      </c>
      <c r="T185" s="62">
        <f t="shared" si="142"/>
        <v>597.91658789908263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30.570244414004101</v>
      </c>
      <c r="AA185" s="23">
        <f>EXP(-LN(2)/25)*AA184+(1-EXP(-LN(2)/25))/(LN(2)/25)*Calculateur!V185*Calculateur!X185*VLOOKUP('Données projet'!$B$9,Paramètres!$A$1:$I$89,3,0)*0.475*44/12</f>
        <v>2.867149809002898</v>
      </c>
      <c r="AB185" s="23">
        <f>EXP(-LN(2)/2)*AB184+(1-EXP(-LN(2)/2))/(LN(2)/2)*V185*Y185*VLOOKUP('Données projet'!$B$9,Paramètres!$A$1:$I$89,3,0)*0.475*44/12</f>
        <v>1.5926234983830764E-16</v>
      </c>
      <c r="AC185" s="24">
        <f t="shared" si="163"/>
        <v>33.437394223006997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482.28841373508675</v>
      </c>
      <c r="AO185" s="62">
        <f t="shared" si="144"/>
        <v>746.97309214631684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43.192496972938706</v>
      </c>
      <c r="AV185" s="23">
        <f>EXP(-LN(2)/25)*AV184+(1-EXP(-LN(2)/25))/(LN(2)/25)*Calculateur!AQ185*Calculateur!AS185*VLOOKUP('Données projet'!$B$10,Paramètres!$A$1:$I$89,3,0)*0.475*44/12</f>
        <v>4.1023714163101026</v>
      </c>
      <c r="AW185" s="23">
        <f>EXP(-LN(2)/2)*AW184+(1-EXP(-LN(2)/2))/(LN(2)/2)*AQ185*AT185*VLOOKUP('Données projet'!$B$10,Paramètres!$A$1:$I$89,3,0)*0.475*44/12</f>
        <v>9.123453592734605E-15</v>
      </c>
      <c r="AX185" s="23">
        <f t="shared" si="166"/>
        <v>47.294868389248812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projet'!$B$11,Paramètres!$A$1:$I$89,3,0)*VLOOKUP('Données projet'!$B$11,Paramètres!$A$1:$I$89,5,0)</f>
        <v>1.6671037883497774E-13</v>
      </c>
      <c r="BF185" s="14">
        <f t="shared" si="167"/>
        <v>2.3598166018346595E-12</v>
      </c>
      <c r="BG185" s="22">
        <f t="shared" si="168"/>
        <v>4.400367824666284E-12</v>
      </c>
      <c r="BH185" s="62">
        <f t="shared" si="116"/>
        <v>293.33333333333769</v>
      </c>
      <c r="BI185" s="62">
        <f ca="1">AVERAGE(OFFSET($BH$3,0,0,'Données projet'!$E$11+1,1))-AVERAGE(OFFSET($H$3,0,0,'Données projet'!$E$11+1,1))</f>
        <v>350.22629663422435</v>
      </c>
      <c r="BJ185" s="62">
        <f t="shared" si="146"/>
        <v>375.98044319336645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17.691797821822092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17.691797821822092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-4.5224624045658861E-14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248.15263300983543</v>
      </c>
      <c r="CE185" s="62">
        <f t="shared" si="148"/>
        <v>266.46511459244618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12.462885880513193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12.462885880513193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-3.813056537183002E-14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205.35893113421139</v>
      </c>
      <c r="CZ185" s="62">
        <f t="shared" si="150"/>
        <v>220.4399811285175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10.507923389452303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10.507923389452303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490.96084572840579</v>
      </c>
      <c r="T186" s="62">
        <f t="shared" si="142"/>
        <v>597.91658789908263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29.970780567053431</v>
      </c>
      <c r="AA186" s="23">
        <f>EXP(-LN(2)/25)*AA185+(1-EXP(-LN(2)/25))/(LN(2)/25)*Calculateur!V186*Calculateur!X186*VLOOKUP('Données projet'!$B$9,Paramètres!$A$1:$I$89,3,0)*0.475*44/12</f>
        <v>2.7887474466988582</v>
      </c>
      <c r="AB186" s="23">
        <f>EXP(-LN(2)/2)*AB185+(1-EXP(-LN(2)/2))/(LN(2)/2)*V186*Y186*VLOOKUP('Données projet'!$B$9,Paramètres!$A$1:$I$89,3,0)*0.475*44/12</f>
        <v>1.1261548755837158E-16</v>
      </c>
      <c r="AC186" s="24">
        <f t="shared" si="163"/>
        <v>32.759528013752288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482.28841373508675</v>
      </c>
      <c r="AO186" s="62">
        <f t="shared" si="144"/>
        <v>746.97309214631684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42.345518452121198</v>
      </c>
      <c r="AV186" s="23">
        <f>EXP(-LN(2)/25)*AV185+(1-EXP(-LN(2)/25))/(LN(2)/25)*Calculateur!AQ186*Calculateur!AS186*VLOOKUP('Données projet'!$B$10,Paramètres!$A$1:$I$89,3,0)*0.475*44/12</f>
        <v>3.990191854196766</v>
      </c>
      <c r="AW186" s="23">
        <f>EXP(-LN(2)/2)*AW185+(1-EXP(-LN(2)/2))/(LN(2)/2)*AQ186*AT186*VLOOKUP('Données projet'!$B$10,Paramètres!$A$1:$I$89,3,0)*0.475*44/12</f>
        <v>6.4512559032634093E-15</v>
      </c>
      <c r="AX186" s="23">
        <f t="shared" si="166"/>
        <v>46.335710306317971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projet'!$B$11,Paramètres!$A$1:$I$89,3,0)*VLOOKUP('Données projet'!$B$11,Paramètres!$A$1:$I$89,5,0)</f>
        <v>1.6671037883497774E-13</v>
      </c>
      <c r="BF186" s="14">
        <f t="shared" si="167"/>
        <v>2.3598166018346595E-12</v>
      </c>
      <c r="BG186" s="22">
        <f t="shared" si="168"/>
        <v>4.400367824666284E-12</v>
      </c>
      <c r="BH186" s="62">
        <f t="shared" si="116"/>
        <v>293.33333333333769</v>
      </c>
      <c r="BI186" s="62">
        <f ca="1">AVERAGE(OFFSET($BH$3,0,0,'Données projet'!$E$11+1,1))-AVERAGE(OFFSET($H$3,0,0,'Données projet'!$E$11+1,1))</f>
        <v>350.22629663422435</v>
      </c>
      <c r="BJ186" s="62">
        <f t="shared" si="146"/>
        <v>375.98044319336645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17.344872457467318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17.344872457467318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-4.5224624045658861E-14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248.15263300983543</v>
      </c>
      <c r="CE186" s="62">
        <f t="shared" si="148"/>
        <v>266.46511459244618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12.21849629000612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12.21849629000612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-3.813056537183002E-14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205.35893113421139</v>
      </c>
      <c r="CZ186" s="62">
        <f t="shared" si="150"/>
        <v>220.4399811285175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10.301869420985556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10.301869420985556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490.96084572840579</v>
      </c>
      <c r="T187" s="62">
        <f t="shared" si="142"/>
        <v>597.91658789908263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29.383071840504623</v>
      </c>
      <c r="AA187" s="23">
        <f>EXP(-LN(2)/25)*AA186+(1-EXP(-LN(2)/25))/(LN(2)/25)*Calculateur!V187*Calculateur!X187*VLOOKUP('Données projet'!$B$9,Paramètres!$A$1:$I$89,3,0)*0.475*44/12</f>
        <v>2.7124890011150233</v>
      </c>
      <c r="AB187" s="23">
        <f>EXP(-LN(2)/2)*AB186+(1-EXP(-LN(2)/2))/(LN(2)/2)*V187*Y187*VLOOKUP('Données projet'!$B$9,Paramètres!$A$1:$I$89,3,0)*0.475*44/12</f>
        <v>7.9631174919153822E-17</v>
      </c>
      <c r="AC187" s="24">
        <f t="shared" si="163"/>
        <v>32.095560841619644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482.28841373508675</v>
      </c>
      <c r="AO187" s="62">
        <f t="shared" si="144"/>
        <v>746.97309214631684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41.515148663491033</v>
      </c>
      <c r="AV187" s="23">
        <f>EXP(-LN(2)/25)*AV186+(1-EXP(-LN(2)/25))/(LN(2)/25)*Calculateur!AQ187*Calculateur!AS187*VLOOKUP('Données projet'!$B$10,Paramètres!$A$1:$I$89,3,0)*0.475*44/12</f>
        <v>3.8810798481086857</v>
      </c>
      <c r="AW187" s="23">
        <f>EXP(-LN(2)/2)*AW186+(1-EXP(-LN(2)/2))/(LN(2)/2)*AQ187*AT187*VLOOKUP('Données projet'!$B$10,Paramètres!$A$1:$I$89,3,0)*0.475*44/12</f>
        <v>4.5617267963673025E-15</v>
      </c>
      <c r="AX187" s="23">
        <f t="shared" si="166"/>
        <v>45.396228511599723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projet'!$B$11,Paramètres!$A$1:$I$89,3,0)*VLOOKUP('Données projet'!$B$11,Paramètres!$A$1:$I$89,5,0)</f>
        <v>1.6671037883497774E-13</v>
      </c>
      <c r="BF187" s="14">
        <f t="shared" si="167"/>
        <v>2.3598166018346595E-12</v>
      </c>
      <c r="BG187" s="22">
        <f t="shared" si="168"/>
        <v>4.400367824666284E-12</v>
      </c>
      <c r="BH187" s="62">
        <f t="shared" si="116"/>
        <v>293.33333333333769</v>
      </c>
      <c r="BI187" s="62">
        <f ca="1">AVERAGE(OFFSET($BH$3,0,0,'Données projet'!$E$11+1,1))-AVERAGE(OFFSET($H$3,0,0,'Données projet'!$E$11+1,1))</f>
        <v>350.22629663422435</v>
      </c>
      <c r="BJ187" s="62">
        <f t="shared" si="146"/>
        <v>375.98044319336645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17.004750087903961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17.004750087903961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-4.5224624045658861E-14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248.15263300983543</v>
      </c>
      <c r="CE187" s="62">
        <f t="shared" si="148"/>
        <v>266.46511459244618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11.978899030305959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11.978899030305959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-3.813056537183002E-14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205.35893113421139</v>
      </c>
      <c r="CZ187" s="62">
        <f t="shared" si="150"/>
        <v>220.4399811285175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10.09985604515993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10.09985604515993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490.96084572840579</v>
      </c>
      <c r="T188" s="62">
        <f t="shared" si="142"/>
        <v>597.91658789908263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28.806887723616509</v>
      </c>
      <c r="AA188" s="23">
        <f>EXP(-LN(2)/25)*AA187+(1-EXP(-LN(2)/25))/(LN(2)/25)*Calculateur!V188*Calculateur!X188*VLOOKUP('Données projet'!$B$9,Paramètres!$A$1:$I$89,3,0)*0.475*44/12</f>
        <v>2.638315846735936</v>
      </c>
      <c r="AB188" s="23">
        <f>EXP(-LN(2)/2)*AB187+(1-EXP(-LN(2)/2))/(LN(2)/2)*V188*Y188*VLOOKUP('Données projet'!$B$9,Paramètres!$A$1:$I$89,3,0)*0.475*44/12</f>
        <v>5.6307743779185791E-17</v>
      </c>
      <c r="AC188" s="24">
        <f t="shared" si="163"/>
        <v>31.445203570352444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482.28841373508675</v>
      </c>
      <c r="AO188" s="62">
        <f t="shared" si="144"/>
        <v>746.97309214631684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40.701061919940344</v>
      </c>
      <c r="AV188" s="23">
        <f>EXP(-LN(2)/25)*AV187+(1-EXP(-LN(2)/25))/(LN(2)/25)*Calculateur!AQ188*Calculateur!AS188*VLOOKUP('Données projet'!$B$10,Paramètres!$A$1:$I$89,3,0)*0.475*44/12</f>
        <v>3.7749515155650348</v>
      </c>
      <c r="AW188" s="23">
        <f>EXP(-LN(2)/2)*AW187+(1-EXP(-LN(2)/2))/(LN(2)/2)*AQ188*AT188*VLOOKUP('Données projet'!$B$10,Paramètres!$A$1:$I$89,3,0)*0.475*44/12</f>
        <v>3.2256279516317046E-15</v>
      </c>
      <c r="AX188" s="23">
        <f t="shared" si="166"/>
        <v>44.476013435505379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projet'!$B$11,Paramètres!$A$1:$I$89,3,0)*VLOOKUP('Données projet'!$B$11,Paramètres!$A$1:$I$89,5,0)</f>
        <v>1.6671037883497774E-13</v>
      </c>
      <c r="BF188" s="14">
        <f t="shared" si="167"/>
        <v>2.3598166018346595E-12</v>
      </c>
      <c r="BG188" s="22">
        <f t="shared" si="168"/>
        <v>4.400367824666284E-12</v>
      </c>
      <c r="BH188" s="62">
        <f t="shared" si="116"/>
        <v>293.33333333333769</v>
      </c>
      <c r="BI188" s="62">
        <f ca="1">AVERAGE(OFFSET($BH$3,0,0,'Données projet'!$E$11+1,1))-AVERAGE(OFFSET($H$3,0,0,'Données projet'!$E$11+1,1))</f>
        <v>350.22629663422435</v>
      </c>
      <c r="BJ188" s="62">
        <f t="shared" si="146"/>
        <v>375.98044319336645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16.67129731055358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16.67129731055358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-4.5224624045658861E-14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248.15263300983543</v>
      </c>
      <c r="CE188" s="62">
        <f t="shared" si="148"/>
        <v>266.46511459244618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11.74400012672862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11.74400012672862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-3.813056537183002E-14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205.35893113421139</v>
      </c>
      <c r="CZ188" s="62">
        <f t="shared" si="150"/>
        <v>220.4399811285175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9.9018040284182511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9.9018040284182511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490.96084572840579</v>
      </c>
      <c r="T189" s="62">
        <f t="shared" si="142"/>
        <v>597.91658789908263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28.242002225822961</v>
      </c>
      <c r="AA189" s="23">
        <f>EXP(-LN(2)/25)*AA188+(1-EXP(-LN(2)/25))/(LN(2)/25)*Calculateur!V189*Calculateur!X189*VLOOKUP('Données projet'!$B$9,Paramètres!$A$1:$I$89,3,0)*0.475*44/12</f>
        <v>2.5661709611639414</v>
      </c>
      <c r="AB189" s="23">
        <f>EXP(-LN(2)/2)*AB188+(1-EXP(-LN(2)/2))/(LN(2)/2)*V189*Y189*VLOOKUP('Données projet'!$B$9,Paramètres!$A$1:$I$89,3,0)*0.475*44/12</f>
        <v>3.9815587459576911E-17</v>
      </c>
      <c r="AC189" s="24">
        <f t="shared" si="163"/>
        <v>30.808173186986902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482.28841373508675</v>
      </c>
      <c r="AO189" s="62">
        <f t="shared" si="144"/>
        <v>746.97309214631684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39.902938920886797</v>
      </c>
      <c r="AV189" s="23">
        <f>EXP(-LN(2)/25)*AV188+(1-EXP(-LN(2)/25))/(LN(2)/25)*Calculateur!AQ189*Calculateur!AS189*VLOOKUP('Données projet'!$B$10,Paramètres!$A$1:$I$89,3,0)*0.475*44/12</f>
        <v>3.6717252678558365</v>
      </c>
      <c r="AW189" s="23">
        <f>EXP(-LN(2)/2)*AW188+(1-EXP(-LN(2)/2))/(LN(2)/2)*AQ189*AT189*VLOOKUP('Données projet'!$B$10,Paramètres!$A$1:$I$89,3,0)*0.475*44/12</f>
        <v>2.2808633981836512E-15</v>
      </c>
      <c r="AX189" s="23">
        <f t="shared" si="166"/>
        <v>43.574664188742631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projet'!$B$11,Paramètres!$A$1:$I$89,3,0)*VLOOKUP('Données projet'!$B$11,Paramètres!$A$1:$I$89,5,0)</f>
        <v>1.6671037883497774E-13</v>
      </c>
      <c r="BF189" s="14">
        <f t="shared" si="167"/>
        <v>2.3598166018346595E-12</v>
      </c>
      <c r="BG189" s="22">
        <f t="shared" si="168"/>
        <v>4.400367824666284E-12</v>
      </c>
      <c r="BH189" s="62">
        <f t="shared" si="116"/>
        <v>293.33333333333769</v>
      </c>
      <c r="BI189" s="62">
        <f ca="1">AVERAGE(OFFSET($BH$3,0,0,'Données projet'!$E$11+1,1))-AVERAGE(OFFSET($H$3,0,0,'Données projet'!$E$11+1,1))</f>
        <v>350.22629663422435</v>
      </c>
      <c r="BJ189" s="62">
        <f t="shared" si="146"/>
        <v>375.98044319336645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16.344383338780929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16.344383338780929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-4.5224624045658861E-14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248.15263300983543</v>
      </c>
      <c r="CE189" s="62">
        <f t="shared" si="148"/>
        <v>266.46511459244618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11.513707447376248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11.513707447376248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-3.813056537183002E-14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205.35893113421139</v>
      </c>
      <c r="CZ189" s="62">
        <f t="shared" si="150"/>
        <v>220.4399811285175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9.7076356909250752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9.7076356909250752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490.96084572840579</v>
      </c>
      <c r="T190" s="62">
        <f t="shared" si="142"/>
        <v>597.91658789908263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27.688193788095013</v>
      </c>
      <c r="AA190" s="23">
        <f>EXP(-LN(2)/25)*AA189+(1-EXP(-LN(2)/25))/(LN(2)/25)*Calculateur!V190*Calculateur!X190*VLOOKUP('Données projet'!$B$9,Paramètres!$A$1:$I$89,3,0)*0.475*44/12</f>
        <v>2.4959988812818477</v>
      </c>
      <c r="AB190" s="23">
        <f>EXP(-LN(2)/2)*AB189+(1-EXP(-LN(2)/2))/(LN(2)/2)*V190*Y190*VLOOKUP('Données projet'!$B$9,Paramètres!$A$1:$I$89,3,0)*0.475*44/12</f>
        <v>2.8153871889592896E-17</v>
      </c>
      <c r="AC190" s="24">
        <f t="shared" si="163"/>
        <v>30.184192669376863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482.28841373508675</v>
      </c>
      <c r="AO190" s="62">
        <f t="shared" si="144"/>
        <v>746.97309214631684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39.120466627037729</v>
      </c>
      <c r="AV190" s="23">
        <f>EXP(-LN(2)/25)*AV189+(1-EXP(-LN(2)/25))/(LN(2)/25)*Calculateur!AQ190*Calculateur!AS190*VLOOKUP('Données projet'!$B$10,Paramètres!$A$1:$I$89,3,0)*0.475*44/12</f>
        <v>3.5713217473186787</v>
      </c>
      <c r="AW190" s="23">
        <f>EXP(-LN(2)/2)*AW189+(1-EXP(-LN(2)/2))/(LN(2)/2)*AQ190*AT190*VLOOKUP('Données projet'!$B$10,Paramètres!$A$1:$I$89,3,0)*0.475*44/12</f>
        <v>1.6128139758158523E-15</v>
      </c>
      <c r="AX190" s="23">
        <f t="shared" si="166"/>
        <v>42.691788374356406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projet'!$B$11,Paramètres!$A$1:$I$89,3,0)*VLOOKUP('Données projet'!$B$11,Paramètres!$A$1:$I$89,5,0)</f>
        <v>1.6671037883497774E-13</v>
      </c>
      <c r="BF190" s="14">
        <f t="shared" si="167"/>
        <v>2.3598166018346595E-12</v>
      </c>
      <c r="BG190" s="22">
        <f t="shared" si="168"/>
        <v>4.400367824666284E-12</v>
      </c>
      <c r="BH190" s="62">
        <f t="shared" si="116"/>
        <v>293.33333333333769</v>
      </c>
      <c r="BI190" s="62">
        <f ca="1">AVERAGE(OFFSET($BH$3,0,0,'Données projet'!$E$11+1,1))-AVERAGE(OFFSET($H$3,0,0,'Données projet'!$E$11+1,1))</f>
        <v>350.22629663422435</v>
      </c>
      <c r="BJ190" s="62">
        <f t="shared" si="146"/>
        <v>375.98044319336645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16.023879950596907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16.023879950596907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-4.5224624045658861E-14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248.15263300983543</v>
      </c>
      <c r="CE190" s="62">
        <f t="shared" si="148"/>
        <v>266.46511459244618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11.287930667001312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11.287930667001312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-3.813056537183002E-14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205.35893113421139</v>
      </c>
      <c r="CZ190" s="62">
        <f t="shared" si="150"/>
        <v>220.4399811285175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9.5172748760991492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9.5172748760991492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490.96084572840579</v>
      </c>
      <c r="T191" s="62">
        <f t="shared" si="142"/>
        <v>597.91658789908263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27.145245196041117</v>
      </c>
      <c r="AA191" s="23">
        <f>EXP(-LN(2)/25)*AA190+(1-EXP(-LN(2)/25))/(LN(2)/25)*Calculateur!V191*Calculateur!X191*VLOOKUP('Données projet'!$B$9,Paramètres!$A$1:$I$89,3,0)*0.475*44/12</f>
        <v>2.4277456606143191</v>
      </c>
      <c r="AB191" s="23">
        <f>EXP(-LN(2)/2)*AB190+(1-EXP(-LN(2)/2))/(LN(2)/2)*V191*Y191*VLOOKUP('Données projet'!$B$9,Paramètres!$A$1:$I$89,3,0)*0.475*44/12</f>
        <v>1.9907793729788455E-17</v>
      </c>
      <c r="AC191" s="24">
        <f t="shared" si="163"/>
        <v>29.572990856655437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482.28841373508675</v>
      </c>
      <c r="AO191" s="62">
        <f t="shared" si="144"/>
        <v>746.97309214631684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38.353338137610073</v>
      </c>
      <c r="AV191" s="23">
        <f>EXP(-LN(2)/25)*AV190+(1-EXP(-LN(2)/25))/(LN(2)/25)*Calculateur!AQ191*Calculateur!AS191*VLOOKUP('Données projet'!$B$10,Paramètres!$A$1:$I$89,3,0)*0.475*44/12</f>
        <v>3.4736637663306009</v>
      </c>
      <c r="AW191" s="23">
        <f>EXP(-LN(2)/2)*AW190+(1-EXP(-LN(2)/2))/(LN(2)/2)*AQ191*AT191*VLOOKUP('Données projet'!$B$10,Paramètres!$A$1:$I$89,3,0)*0.475*44/12</f>
        <v>1.1404316990918256E-15</v>
      </c>
      <c r="AX191" s="23">
        <f t="shared" si="166"/>
        <v>41.827001903940676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projet'!$B$11,Paramètres!$A$1:$I$89,3,0)*VLOOKUP('Données projet'!$B$11,Paramètres!$A$1:$I$89,5,0)</f>
        <v>1.6671037883497774E-13</v>
      </c>
      <c r="BF191" s="14">
        <f t="shared" si="167"/>
        <v>2.3598166018346595E-12</v>
      </c>
      <c r="BG191" s="22">
        <f t="shared" si="168"/>
        <v>4.400367824666284E-12</v>
      </c>
      <c r="BH191" s="62">
        <f t="shared" si="116"/>
        <v>293.33333333333769</v>
      </c>
      <c r="BI191" s="62">
        <f ca="1">AVERAGE(OFFSET($BH$3,0,0,'Données projet'!$E$11+1,1))-AVERAGE(OFFSET($H$3,0,0,'Données projet'!$E$11+1,1))</f>
        <v>350.22629663422435</v>
      </c>
      <c r="BJ191" s="62">
        <f t="shared" si="146"/>
        <v>375.98044319336645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15.709661438367409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15.709661438367409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-4.5224624045658861E-14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248.15263300983543</v>
      </c>
      <c r="CE191" s="62">
        <f t="shared" si="148"/>
        <v>266.46511459244618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11.06658123157929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11.06658123157929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-3.813056537183002E-14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205.35893113421139</v>
      </c>
      <c r="CZ191" s="62">
        <f t="shared" si="150"/>
        <v>220.4399811285175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9.3306469207433267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9.3306469207433267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490.96084572840579</v>
      </c>
      <c r="T192" s="62">
        <f t="shared" si="142"/>
        <v>597.91658789908263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26.612943494711455</v>
      </c>
      <c r="AA192" s="23">
        <f>EXP(-LN(2)/25)*AA191+(1-EXP(-LN(2)/25))/(LN(2)/25)*Calculateur!V192*Calculateur!X192*VLOOKUP('Données projet'!$B$9,Paramètres!$A$1:$I$89,3,0)*0.475*44/12</f>
        <v>2.3613588278552249</v>
      </c>
      <c r="AB192" s="23">
        <f>EXP(-LN(2)/2)*AB191+(1-EXP(-LN(2)/2))/(LN(2)/2)*V192*Y192*VLOOKUP('Données projet'!$B$9,Paramètres!$A$1:$I$89,3,0)*0.475*44/12</f>
        <v>1.4076935944796448E-17</v>
      </c>
      <c r="AC192" s="24">
        <f t="shared" si="163"/>
        <v>28.974302322566679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482.28841373508675</v>
      </c>
      <c r="AO192" s="62">
        <f t="shared" si="144"/>
        <v>746.97309214631684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37.601252569957914</v>
      </c>
      <c r="AV192" s="23">
        <f>EXP(-LN(2)/25)*AV191+(1-EXP(-LN(2)/25))/(LN(2)/25)*Calculateur!AQ192*Calculateur!AS192*VLOOKUP('Données projet'!$B$10,Paramètres!$A$1:$I$89,3,0)*0.475*44/12</f>
        <v>3.3786762479682522</v>
      </c>
      <c r="AW192" s="23">
        <f>EXP(-LN(2)/2)*AW191+(1-EXP(-LN(2)/2))/(LN(2)/2)*AQ192*AT192*VLOOKUP('Données projet'!$B$10,Paramètres!$A$1:$I$89,3,0)*0.475*44/12</f>
        <v>8.0640698790792616E-16</v>
      </c>
      <c r="AX192" s="23">
        <f t="shared" si="166"/>
        <v>40.979928817926165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projet'!$B$11,Paramètres!$A$1:$I$89,3,0)*VLOOKUP('Données projet'!$B$11,Paramètres!$A$1:$I$89,5,0)</f>
        <v>1.6671037883497774E-13</v>
      </c>
      <c r="BF192" s="14">
        <f t="shared" si="167"/>
        <v>2.3598166018346595E-12</v>
      </c>
      <c r="BG192" s="22">
        <f t="shared" si="168"/>
        <v>4.400367824666284E-12</v>
      </c>
      <c r="BH192" s="62">
        <f t="shared" si="116"/>
        <v>293.33333333333769</v>
      </c>
      <c r="BI192" s="62">
        <f ca="1">AVERAGE(OFFSET($BH$3,0,0,'Données projet'!$E$11+1,1))-AVERAGE(OFFSET($H$3,0,0,'Données projet'!$E$11+1,1))</f>
        <v>350.22629663422435</v>
      </c>
      <c r="BJ192" s="62">
        <f t="shared" si="146"/>
        <v>375.98044319336645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15.401604559508362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15.401604559508362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-4.5224624045658861E-14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248.15263300983543</v>
      </c>
      <c r="CE192" s="62">
        <f t="shared" si="148"/>
        <v>266.46511459244618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10.849572323576069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10.849572323576069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-3.813056537183002E-14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205.35893113421139</v>
      </c>
      <c r="CZ192" s="62">
        <f t="shared" si="150"/>
        <v>220.4399811285175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9.1476786257602196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9.1476786257602196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490.96084572840579</v>
      </c>
      <c r="T193" s="62">
        <f t="shared" si="142"/>
        <v>597.91658789908263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26.091079905072888</v>
      </c>
      <c r="AA193" s="23">
        <f>EXP(-LN(2)/25)*AA192+(1-EXP(-LN(2)/25))/(LN(2)/25)*Calculateur!V193*Calculateur!X193*VLOOKUP('Données projet'!$B$9,Paramètres!$A$1:$I$89,3,0)*0.475*44/12</f>
        <v>2.2967873465290598</v>
      </c>
      <c r="AB193" s="23">
        <f>EXP(-LN(2)/2)*AB192+(1-EXP(-LN(2)/2))/(LN(2)/2)*V193*Y193*VLOOKUP('Données projet'!$B$9,Paramètres!$A$1:$I$89,3,0)*0.475*44/12</f>
        <v>9.9538968648942277E-18</v>
      </c>
      <c r="AC193" s="24">
        <f t="shared" si="163"/>
        <v>28.387867251601946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482.28841373508675</v>
      </c>
      <c r="AO193" s="62">
        <f t="shared" si="144"/>
        <v>746.97309214631684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36.863914941560516</v>
      </c>
      <c r="AV193" s="23">
        <f>EXP(-LN(2)/25)*AV192+(1-EXP(-LN(2)/25))/(LN(2)/25)*Calculateur!AQ193*Calculateur!AS193*VLOOKUP('Données projet'!$B$10,Paramètres!$A$1:$I$89,3,0)*0.475*44/12</f>
        <v>3.2862861682906983</v>
      </c>
      <c r="AW193" s="23">
        <f>EXP(-LN(2)/2)*AW192+(1-EXP(-LN(2)/2))/(LN(2)/2)*AQ193*AT193*VLOOKUP('Données projet'!$B$10,Paramètres!$A$1:$I$89,3,0)*0.475*44/12</f>
        <v>5.7021584954591281E-16</v>
      </c>
      <c r="AX193" s="23">
        <f t="shared" si="166"/>
        <v>40.150201109851217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projet'!$B$11,Paramètres!$A$1:$I$89,3,0)*VLOOKUP('Données projet'!$B$11,Paramètres!$A$1:$I$89,5,0)</f>
        <v>1.6671037883497774E-13</v>
      </c>
      <c r="BF193" s="14">
        <f t="shared" si="167"/>
        <v>2.3598166018346595E-12</v>
      </c>
      <c r="BG193" s="22">
        <f t="shared" si="168"/>
        <v>4.400367824666284E-12</v>
      </c>
      <c r="BH193" s="62">
        <f t="shared" si="116"/>
        <v>293.33333333333769</v>
      </c>
      <c r="BI193" s="62">
        <f ca="1">AVERAGE(OFFSET($BH$3,0,0,'Données projet'!$E$11+1,1))-AVERAGE(OFFSET($H$3,0,0,'Données projet'!$E$11+1,1))</f>
        <v>350.22629663422435</v>
      </c>
      <c r="BJ193" s="62">
        <f t="shared" si="146"/>
        <v>375.98044319336645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15.099588488147599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15.099588488147599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-4.5224624045658861E-14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248.15263300983543</v>
      </c>
      <c r="CE193" s="62">
        <f t="shared" si="148"/>
        <v>266.46511459244618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10.636818827896427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10.636818827896427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-3.813056537183002E-14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205.35893113421139</v>
      </c>
      <c r="CZ193" s="62">
        <f t="shared" si="150"/>
        <v>220.4399811285175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8.9682982274420908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8.9682982274420908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490.96084572840579</v>
      </c>
      <c r="T194" s="62">
        <f t="shared" si="142"/>
        <v>597.91658789908263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25.579449742121774</v>
      </c>
      <c r="AA194" s="23">
        <f>EXP(-LN(2)/25)*AA193+(1-EXP(-LN(2)/25))/(LN(2)/25)*Calculateur!V194*Calculateur!X194*VLOOKUP('Données projet'!$B$9,Paramètres!$A$1:$I$89,3,0)*0.475*44/12</f>
        <v>2.2339815757554256</v>
      </c>
      <c r="AB194" s="23">
        <f>EXP(-LN(2)/2)*AB193+(1-EXP(-LN(2)/2))/(LN(2)/2)*V194*Y194*VLOOKUP('Données projet'!$B$9,Paramètres!$A$1:$I$89,3,0)*0.475*44/12</f>
        <v>7.0384679723982239E-18</v>
      </c>
      <c r="AC194" s="24">
        <f t="shared" si="163"/>
        <v>27.8134313178772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482.28841373508675</v>
      </c>
      <c r="AO194" s="62">
        <f t="shared" si="144"/>
        <v>746.97309214631684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36.141036054324445</v>
      </c>
      <c r="AV194" s="23">
        <f>EXP(-LN(2)/25)*AV193+(1-EXP(-LN(2)/25))/(LN(2)/25)*Calculateur!AQ194*Calculateur!AS194*VLOOKUP('Données projet'!$B$10,Paramètres!$A$1:$I$89,3,0)*0.475*44/12</f>
        <v>3.1964225002005104</v>
      </c>
      <c r="AW194" s="23">
        <f>EXP(-LN(2)/2)*AW193+(1-EXP(-LN(2)/2))/(LN(2)/2)*AQ194*AT194*VLOOKUP('Données projet'!$B$10,Paramètres!$A$1:$I$89,3,0)*0.475*44/12</f>
        <v>4.0320349395396308E-16</v>
      </c>
      <c r="AX194" s="23">
        <f t="shared" si="166"/>
        <v>39.337458554524957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projet'!$B$11,Paramètres!$A$1:$I$89,3,0)*VLOOKUP('Données projet'!$B$11,Paramètres!$A$1:$I$89,5,0)</f>
        <v>1.6671037883497774E-13</v>
      </c>
      <c r="BF194" s="14">
        <f t="shared" si="167"/>
        <v>2.3598166018346595E-12</v>
      </c>
      <c r="BG194" s="22">
        <f t="shared" si="168"/>
        <v>4.400367824666284E-12</v>
      </c>
      <c r="BH194" s="62">
        <f t="shared" si="116"/>
        <v>293.33333333333769</v>
      </c>
      <c r="BI194" s="62">
        <f ca="1">AVERAGE(OFFSET($BH$3,0,0,'Données projet'!$E$11+1,1))-AVERAGE(OFFSET($H$3,0,0,'Données projet'!$E$11+1,1))</f>
        <v>350.22629663422435</v>
      </c>
      <c r="BJ194" s="62">
        <f t="shared" si="146"/>
        <v>375.98044319336645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14.803494767734607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14.803494767734607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-4.5224624045658861E-14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248.15263300983543</v>
      </c>
      <c r="CE194" s="62">
        <f t="shared" si="148"/>
        <v>266.46511459244618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10.428237298500244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10.428237298500244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-3.813056537183002E-14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205.35893113421139</v>
      </c>
      <c r="CZ194" s="62">
        <f t="shared" si="150"/>
        <v>220.4399811285175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8.7924353693237407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8.7924353693237407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490.96084572840579</v>
      </c>
      <c r="T195" s="62">
        <f t="shared" si="142"/>
        <v>597.91658789908263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25.077852334602547</v>
      </c>
      <c r="AA195" s="23">
        <f>EXP(-LN(2)/25)*AA194+(1-EXP(-LN(2)/25))/(LN(2)/25)*Calculateur!V195*Calculateur!X195*VLOOKUP('Données projet'!$B$9,Paramètres!$A$1:$I$89,3,0)*0.475*44/12</f>
        <v>2.1728932320864081</v>
      </c>
      <c r="AB195" s="23">
        <f>EXP(-LN(2)/2)*AB194+(1-EXP(-LN(2)/2))/(LN(2)/2)*V195*Y195*VLOOKUP('Données projet'!$B$9,Paramètres!$A$1:$I$89,3,0)*0.475*44/12</f>
        <v>4.9769484324471138E-18</v>
      </c>
      <c r="AC195" s="24">
        <f t="shared" si="163"/>
        <v>27.250745566688956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482.28841373508675</v>
      </c>
      <c r="AO195" s="62">
        <f t="shared" si="144"/>
        <v>746.97309214631684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35.432332381154488</v>
      </c>
      <c r="AV195" s="23">
        <f>EXP(-LN(2)/25)*AV194+(1-EXP(-LN(2)/25))/(LN(2)/25)*Calculateur!AQ195*Calculateur!AS195*VLOOKUP('Données projet'!$B$10,Paramètres!$A$1:$I$89,3,0)*0.475*44/12</f>
        <v>3.1090161588399736</v>
      </c>
      <c r="AW195" s="23">
        <f>EXP(-LN(2)/2)*AW194+(1-EXP(-LN(2)/2))/(LN(2)/2)*AQ195*AT195*VLOOKUP('Données projet'!$B$10,Paramètres!$A$1:$I$89,3,0)*0.475*44/12</f>
        <v>2.8510792477295641E-16</v>
      </c>
      <c r="AX195" s="23">
        <f t="shared" si="166"/>
        <v>38.541348539994459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projet'!$B$11,Paramètres!$A$1:$I$89,3,0)*VLOOKUP('Données projet'!$B$11,Paramètres!$A$1:$I$89,5,0)</f>
        <v>1.6671037883497774E-13</v>
      </c>
      <c r="BF195" s="14">
        <f t="shared" si="167"/>
        <v>2.3598166018346595E-12</v>
      </c>
      <c r="BG195" s="22">
        <f t="shared" si="168"/>
        <v>4.400367824666284E-12</v>
      </c>
      <c r="BH195" s="62">
        <f t="shared" si="116"/>
        <v>293.33333333333769</v>
      </c>
      <c r="BI195" s="62">
        <f ca="1">AVERAGE(OFFSET($BH$3,0,0,'Données projet'!$E$11+1,1))-AVERAGE(OFFSET($H$3,0,0,'Données projet'!$E$11+1,1))</f>
        <v>350.22629663422435</v>
      </c>
      <c r="BJ195" s="62">
        <f t="shared" si="146"/>
        <v>375.98044319336645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14.513207264579576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14.513207264579576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-4.5224624045658861E-14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248.15263300983543</v>
      </c>
      <c r="CE195" s="62">
        <f t="shared" si="148"/>
        <v>266.46511459244618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10.22374592567335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10.22374592567335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-3.813056537183002E-14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205.35893113421139</v>
      </c>
      <c r="CZ195" s="62">
        <f t="shared" si="150"/>
        <v>220.4399811285175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8.6200210745873402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8.6200210745873402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490.96084572840579</v>
      </c>
      <c r="T196" s="62">
        <f t="shared" si="142"/>
        <v>597.91658789908263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24.586090946300562</v>
      </c>
      <c r="AA196" s="23">
        <f>EXP(-LN(2)/25)*AA195+(1-EXP(-LN(2)/25))/(LN(2)/25)*Calculateur!V196*Calculateur!X196*VLOOKUP('Données projet'!$B$9,Paramètres!$A$1:$I$89,3,0)*0.475*44/12</f>
        <v>2.1134753523875163</v>
      </c>
      <c r="AB196" s="23">
        <f>EXP(-LN(2)/2)*AB195+(1-EXP(-LN(2)/2))/(LN(2)/2)*V196*Y196*VLOOKUP('Données projet'!$B$9,Paramètres!$A$1:$I$89,3,0)*0.475*44/12</f>
        <v>3.519233986199112E-18</v>
      </c>
      <c r="AC196" s="24">
        <f t="shared" si="163"/>
        <v>26.69956629868808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482.28841373508675</v>
      </c>
      <c r="AO196" s="62">
        <f t="shared" si="144"/>
        <v>746.97309214631684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34.737525954748833</v>
      </c>
      <c r="AV196" s="23">
        <f>EXP(-LN(2)/25)*AV195+(1-EXP(-LN(2)/25))/(LN(2)/25)*Calculateur!AQ196*Calculateur!AS196*VLOOKUP('Données projet'!$B$10,Paramètres!$A$1:$I$89,3,0)*0.475*44/12</f>
        <v>3.0239999484804403</v>
      </c>
      <c r="AW196" s="23">
        <f>EXP(-LN(2)/2)*AW195+(1-EXP(-LN(2)/2))/(LN(2)/2)*AQ196*AT196*VLOOKUP('Données projet'!$B$10,Paramètres!$A$1:$I$89,3,0)*0.475*44/12</f>
        <v>2.0160174697698154E-16</v>
      </c>
      <c r="AX196" s="23">
        <f t="shared" si="166"/>
        <v>37.76152590322927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projet'!$B$11,Paramètres!$A$1:$I$89,3,0)*VLOOKUP('Données projet'!$B$11,Paramètres!$A$1:$I$89,5,0)</f>
        <v>1.6671037883497774E-13</v>
      </c>
      <c r="BF196" s="14">
        <f t="shared" si="167"/>
        <v>2.3598166018346595E-12</v>
      </c>
      <c r="BG196" s="22">
        <f t="shared" si="168"/>
        <v>4.400367824666284E-12</v>
      </c>
      <c r="BH196" s="62">
        <f t="shared" ref="BH196:BH203" si="194">BG196+(AY196+AZ196)*44/12</f>
        <v>293.33333333333769</v>
      </c>
      <c r="BI196" s="62">
        <f ca="1">AVERAGE(OFFSET($BH$3,0,0,'Données projet'!$E$11+1,1))-AVERAGE(OFFSET($H$3,0,0,'Données projet'!$E$11+1,1))</f>
        <v>350.22629663422435</v>
      </c>
      <c r="BJ196" s="62">
        <f t="shared" si="146"/>
        <v>375.98044319336645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14.22861212230352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14.22861212230352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-4.5224624045658861E-14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248.15263300983543</v>
      </c>
      <c r="CE196" s="62">
        <f t="shared" si="148"/>
        <v>266.46511459244618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10.023264503940171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10.023264503940171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-3.813056537183002E-14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205.35893113421139</v>
      </c>
      <c r="CZ196" s="62">
        <f t="shared" si="150"/>
        <v>220.4399811285175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8.4509877190083831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8.4509877190083831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490.96084572840579</v>
      </c>
      <c r="T197" s="62">
        <f t="shared" ref="T197:T203" si="204">$T$3</f>
        <v>597.91658789908263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24.103972698878351</v>
      </c>
      <c r="AA197" s="23">
        <f>EXP(-LN(2)/25)*AA196+(1-EXP(-LN(2)/25))/(LN(2)/25)*Calculateur!V197*Calculateur!X197*VLOOKUP('Données projet'!$B$9,Paramètres!$A$1:$I$89,3,0)*0.475*44/12</f>
        <v>2.0556822577336411</v>
      </c>
      <c r="AB197" s="23">
        <f>EXP(-LN(2)/2)*AB196+(1-EXP(-LN(2)/2))/(LN(2)/2)*V197*Y197*VLOOKUP('Données projet'!$B$9,Paramètres!$A$1:$I$89,3,0)*0.475*44/12</f>
        <v>2.4884742162235569E-18</v>
      </c>
      <c r="AC197" s="24">
        <f t="shared" si="163"/>
        <v>26.159654956611991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482.28841373508675</v>
      </c>
      <c r="AO197" s="62">
        <f t="shared" ref="AO197:AO203" si="205">$AO$3</f>
        <v>746.97309214631684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34.056344258574917</v>
      </c>
      <c r="AV197" s="23">
        <f>EXP(-LN(2)/25)*AV196+(1-EXP(-LN(2)/25))/(LN(2)/25)*Calculateur!AQ197*Calculateur!AS197*VLOOKUP('Données projet'!$B$10,Paramètres!$A$1:$I$89,3,0)*0.475*44/12</f>
        <v>2.9413085108639967</v>
      </c>
      <c r="AW197" s="23">
        <f>EXP(-LN(2)/2)*AW196+(1-EXP(-LN(2)/2))/(LN(2)/2)*AQ197*AT197*VLOOKUP('Données projet'!$B$10,Paramètres!$A$1:$I$89,3,0)*0.475*44/12</f>
        <v>1.425539623864782E-16</v>
      </c>
      <c r="AX197" s="23">
        <f t="shared" si="166"/>
        <v>36.997652769438915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projet'!$B$11,Paramètres!$A$1:$I$89,3,0)*VLOOKUP('Données projet'!$B$11,Paramètres!$A$1:$I$89,5,0)</f>
        <v>1.6671037883497774E-13</v>
      </c>
      <c r="BF197" s="14">
        <f t="shared" si="167"/>
        <v>2.3598166018346595E-12</v>
      </c>
      <c r="BG197" s="22">
        <f t="shared" si="168"/>
        <v>4.400367824666284E-12</v>
      </c>
      <c r="BH197" s="62">
        <f t="shared" si="194"/>
        <v>293.33333333333769</v>
      </c>
      <c r="BI197" s="62">
        <f ca="1">AVERAGE(OFFSET($BH$3,0,0,'Données projet'!$E$11+1,1))-AVERAGE(OFFSET($H$3,0,0,'Données projet'!$E$11+1,1))</f>
        <v>350.22629663422435</v>
      </c>
      <c r="BJ197" s="62">
        <f t="shared" ref="BJ197:BJ203" si="206">$BJ$3</f>
        <v>375.98044319336645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13.949597717181602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13.949597717181602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-4.5224624045658861E-14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248.15263300983543</v>
      </c>
      <c r="CE197" s="62">
        <f t="shared" ref="CE197:CE203" si="207">$CE$3</f>
        <v>266.46511459244618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9.8267144006055851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9.8267144006055851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-3.813056537183002E-14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205.35893113421139</v>
      </c>
      <c r="CZ197" s="62">
        <f t="shared" ref="CZ197:CZ203" si="208">$CZ$3</f>
        <v>220.4399811285175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8.2852690044321626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8.2852690044321626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490.96084572840579</v>
      </c>
      <c r="T198" s="62">
        <f t="shared" si="204"/>
        <v>597.91658789908263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23.631308496224992</v>
      </c>
      <c r="AA198" s="23">
        <f>EXP(-LN(2)/25)*AA197+(1-EXP(-LN(2)/25))/(LN(2)/25)*Calculateur!V198*Calculateur!X198*VLOOKUP('Données projet'!$B$9,Paramètres!$A$1:$I$89,3,0)*0.475*44/12</f>
        <v>1.999469518292283</v>
      </c>
      <c r="AB198" s="23">
        <f>EXP(-LN(2)/2)*AB197+(1-EXP(-LN(2)/2))/(LN(2)/2)*V198*Y198*VLOOKUP('Données projet'!$B$9,Paramètres!$A$1:$I$89,3,0)*0.475*44/12</f>
        <v>1.759616993099556E-18</v>
      </c>
      <c r="AC198" s="24">
        <f t="shared" si="163"/>
        <v>25.630778014517276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482.28841373508675</v>
      </c>
      <c r="AO198" s="62">
        <f t="shared" si="205"/>
        <v>746.97309214631684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33.388520119983163</v>
      </c>
      <c r="AV198" s="23">
        <f>EXP(-LN(2)/25)*AV197+(1-EXP(-LN(2)/25))/(LN(2)/25)*Calculateur!AQ198*Calculateur!AS198*VLOOKUP('Données projet'!$B$10,Paramètres!$A$1:$I$89,3,0)*0.475*44/12</f>
        <v>2.8608782749577286</v>
      </c>
      <c r="AW198" s="23">
        <f>EXP(-LN(2)/2)*AW197+(1-EXP(-LN(2)/2))/(LN(2)/2)*AQ198*AT198*VLOOKUP('Données projet'!$B$10,Paramètres!$A$1:$I$89,3,0)*0.475*44/12</f>
        <v>1.0080087348849077E-16</v>
      </c>
      <c r="AX198" s="23">
        <f t="shared" si="166"/>
        <v>36.24939839494089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projet'!$B$11,Paramètres!$A$1:$I$89,3,0)*VLOOKUP('Données projet'!$B$11,Paramètres!$A$1:$I$89,5,0)</f>
        <v>1.6671037883497774E-13</v>
      </c>
      <c r="BF198" s="14">
        <f t="shared" si="167"/>
        <v>2.3598166018346595E-12</v>
      </c>
      <c r="BG198" s="22">
        <f t="shared" si="168"/>
        <v>4.400367824666284E-12</v>
      </c>
      <c r="BH198" s="62">
        <f t="shared" si="194"/>
        <v>293.33333333333769</v>
      </c>
      <c r="BI198" s="62">
        <f ca="1">AVERAGE(OFFSET($BH$3,0,0,'Données projet'!$E$11+1,1))-AVERAGE(OFFSET($H$3,0,0,'Données projet'!$E$11+1,1))</f>
        <v>350.22629663422435</v>
      </c>
      <c r="BJ198" s="62">
        <f t="shared" si="206"/>
        <v>375.98044319336645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13.676054614362142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13.676054614362142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-4.5224624045658861E-14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248.15263300983543</v>
      </c>
      <c r="CE198" s="62">
        <f t="shared" si="207"/>
        <v>266.46511459244618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9.6340185249136656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9.6340185249136656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-3.813056537183002E-14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205.35893113421139</v>
      </c>
      <c r="CZ198" s="62">
        <f t="shared" si="208"/>
        <v>220.4399811285175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8.1227999327703468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8.1227999327703468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490.96084572840579</v>
      </c>
      <c r="T199" s="62">
        <f t="shared" si="204"/>
        <v>597.91658789908263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23.167912950288972</v>
      </c>
      <c r="AA199" s="23">
        <f>EXP(-LN(2)/25)*AA198+(1-EXP(-LN(2)/25))/(LN(2)/25)*Calculateur!V199*Calculateur!X199*VLOOKUP('Données projet'!$B$9,Paramètres!$A$1:$I$89,3,0)*0.475*44/12</f>
        <v>1.9447939191670485</v>
      </c>
      <c r="AB199" s="23">
        <f>EXP(-LN(2)/2)*AB198+(1-EXP(-LN(2)/2))/(LN(2)/2)*V199*Y199*VLOOKUP('Données projet'!$B$9,Paramètres!$A$1:$I$89,3,0)*0.475*44/12</f>
        <v>1.2442371081117785E-18</v>
      </c>
      <c r="AC199" s="24">
        <f t="shared" si="163"/>
        <v>25.112706869456019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482.28841373508675</v>
      </c>
      <c r="AO199" s="62">
        <f t="shared" si="205"/>
        <v>746.97309214631684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32.733791605416691</v>
      </c>
      <c r="AV199" s="23">
        <f>EXP(-LN(2)/25)*AV198+(1-EXP(-LN(2)/25))/(LN(2)/25)*Calculateur!AQ199*Calculateur!AS199*VLOOKUP('Données projet'!$B$10,Paramètres!$A$1:$I$89,3,0)*0.475*44/12</f>
        <v>2.7826474080819597</v>
      </c>
      <c r="AW199" s="23">
        <f>EXP(-LN(2)/2)*AW198+(1-EXP(-LN(2)/2))/(LN(2)/2)*AQ199*AT199*VLOOKUP('Données projet'!$B$10,Paramètres!$A$1:$I$89,3,0)*0.475*44/12</f>
        <v>7.1276981193239101E-17</v>
      </c>
      <c r="AX199" s="23">
        <f t="shared" si="166"/>
        <v>35.516439013498648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projet'!$B$11,Paramètres!$A$1:$I$89,3,0)*VLOOKUP('Données projet'!$B$11,Paramètres!$A$1:$I$89,5,0)</f>
        <v>1.6671037883497774E-13</v>
      </c>
      <c r="BF199" s="14">
        <f t="shared" si="167"/>
        <v>2.3598166018346595E-12</v>
      </c>
      <c r="BG199" s="22">
        <f t="shared" si="168"/>
        <v>4.400367824666284E-12</v>
      </c>
      <c r="BH199" s="62">
        <f t="shared" si="194"/>
        <v>293.33333333333769</v>
      </c>
      <c r="BI199" s="62">
        <f ca="1">AVERAGE(OFFSET($BH$3,0,0,'Données projet'!$E$11+1,1))-AVERAGE(OFFSET($H$3,0,0,'Données projet'!$E$11+1,1))</f>
        <v>350.22629663422435</v>
      </c>
      <c r="BJ199" s="62">
        <f t="shared" si="206"/>
        <v>375.98044319336645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13.407875524944155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13.407875524944155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-4.5224624045658861E-14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248.15263300983543</v>
      </c>
      <c r="CE199" s="62">
        <f t="shared" si="207"/>
        <v>266.46511459244618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9.4451012978111848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9.4451012978111848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-3.813056537183002E-14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205.35893113421139</v>
      </c>
      <c r="CZ199" s="62">
        <f t="shared" si="208"/>
        <v>220.4399811285175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7.9635167805074714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7.9635167805074714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490.96084572840579</v>
      </c>
      <c r="T200" s="62">
        <f t="shared" si="204"/>
        <v>597.91658789908263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22.713604308365383</v>
      </c>
      <c r="AA200" s="23">
        <f>EXP(-LN(2)/25)*AA199+(1-EXP(-LN(2)/25))/(LN(2)/25)*Calculateur!V200*Calculateur!X200*VLOOKUP('Données projet'!$B$9,Paramètres!$A$1:$I$89,3,0)*0.475*44/12</f>
        <v>1.8916134271751581</v>
      </c>
      <c r="AB200" s="23">
        <f>EXP(-LN(2)/2)*AB199+(1-EXP(-LN(2)/2))/(LN(2)/2)*V200*Y200*VLOOKUP('Données projet'!$B$9,Paramètres!$A$1:$I$89,3,0)*0.475*44/12</f>
        <v>8.7980849654977799E-19</v>
      </c>
      <c r="AC200" s="24">
        <f t="shared" si="163"/>
        <v>24.605217735540542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482.28841373508675</v>
      </c>
      <c r="AO200" s="62">
        <f t="shared" si="205"/>
        <v>746.97309214631684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32.091901917675905</v>
      </c>
      <c r="AV200" s="23">
        <f>EXP(-LN(2)/25)*AV199+(1-EXP(-LN(2)/25))/(LN(2)/25)*Calculateur!AQ200*Calculateur!AS200*VLOOKUP('Données projet'!$B$10,Paramètres!$A$1:$I$89,3,0)*0.475*44/12</f>
        <v>2.7065557683748911</v>
      </c>
      <c r="AW200" s="23">
        <f>EXP(-LN(2)/2)*AW199+(1-EXP(-LN(2)/2))/(LN(2)/2)*AQ200*AT200*VLOOKUP('Données projet'!$B$10,Paramètres!$A$1:$I$89,3,0)*0.475*44/12</f>
        <v>5.0400436744245385E-17</v>
      </c>
      <c r="AX200" s="23">
        <f t="shared" si="166"/>
        <v>34.798457686050796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projet'!$B$11,Paramètres!$A$1:$I$89,3,0)*VLOOKUP('Données projet'!$B$11,Paramètres!$A$1:$I$89,5,0)</f>
        <v>1.6671037883497774E-13</v>
      </c>
      <c r="BF200" s="14">
        <f t="shared" si="167"/>
        <v>2.3598166018346595E-12</v>
      </c>
      <c r="BG200" s="22">
        <f t="shared" si="168"/>
        <v>4.400367824666284E-12</v>
      </c>
      <c r="BH200" s="62">
        <f t="shared" si="194"/>
        <v>293.33333333333769</v>
      </c>
      <c r="BI200" s="62">
        <f ca="1">AVERAGE(OFFSET($BH$3,0,0,'Données projet'!$E$11+1,1))-AVERAGE(OFFSET($H$3,0,0,'Données projet'!$E$11+1,1))</f>
        <v>350.22629663422435</v>
      </c>
      <c r="BJ200" s="62">
        <f t="shared" si="206"/>
        <v>375.98044319336645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13.144955263896559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13.144955263896559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-4.5224624045658861E-14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248.15263300983543</v>
      </c>
      <c r="CE200" s="62">
        <f t="shared" si="207"/>
        <v>266.46511459244618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9.2598886223040537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9.2598886223040537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-3.813056537183002E-14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205.35893113421139</v>
      </c>
      <c r="CZ200" s="62">
        <f t="shared" si="208"/>
        <v>220.4399811285175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7.8073570737073412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7.8073570737073412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490.96084572840579</v>
      </c>
      <c r="T201" s="62">
        <f t="shared" si="204"/>
        <v>597.91658789908263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22.268204381809003</v>
      </c>
      <c r="AA201" s="23">
        <f>EXP(-LN(2)/25)*AA200+(1-EXP(-LN(2)/25))/(LN(2)/25)*Calculateur!V201*Calculateur!X201*VLOOKUP('Données projet'!$B$9,Paramètres!$A$1:$I$89,3,0)*0.475*44/12</f>
        <v>1.8398871585334267</v>
      </c>
      <c r="AB201" s="23">
        <f>EXP(-LN(2)/2)*AB200+(1-EXP(-LN(2)/2))/(LN(2)/2)*V201*Y201*VLOOKUP('Données projet'!$B$9,Paramètres!$A$1:$I$89,3,0)*0.475*44/12</f>
        <v>6.2211855405588923E-19</v>
      </c>
      <c r="AC201" s="24">
        <f t="shared" si="163"/>
        <v>24.108091540342429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482.28841373508675</v>
      </c>
      <c r="AO201" s="62">
        <f t="shared" si="205"/>
        <v>746.97309214631684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31.462599295197666</v>
      </c>
      <c r="AV201" s="23">
        <f>EXP(-LN(2)/25)*AV200+(1-EXP(-LN(2)/25))/(LN(2)/25)*Calculateur!AQ201*Calculateur!AS201*VLOOKUP('Données projet'!$B$10,Paramètres!$A$1:$I$89,3,0)*0.475*44/12</f>
        <v>2.6325448585570976</v>
      </c>
      <c r="AW201" s="23">
        <f>EXP(-LN(2)/2)*AW200+(1-EXP(-LN(2)/2))/(LN(2)/2)*AQ201*AT201*VLOOKUP('Données projet'!$B$10,Paramètres!$A$1:$I$89,3,0)*0.475*44/12</f>
        <v>3.5638490596619551E-17</v>
      </c>
      <c r="AX201" s="23">
        <f t="shared" si="166"/>
        <v>34.095144153754767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projet'!$B$11,Paramètres!$A$1:$I$89,3,0)*VLOOKUP('Données projet'!$B$11,Paramètres!$A$1:$I$89,5,0)</f>
        <v>1.6671037883497774E-13</v>
      </c>
      <c r="BF201" s="14">
        <f t="shared" si="167"/>
        <v>2.3598166018346595E-12</v>
      </c>
      <c r="BG201" s="22">
        <f t="shared" si="168"/>
        <v>4.400367824666284E-12</v>
      </c>
      <c r="BH201" s="62">
        <f t="shared" si="194"/>
        <v>293.33333333333769</v>
      </c>
      <c r="BI201" s="62">
        <f ca="1">AVERAGE(OFFSET($BH$3,0,0,'Données projet'!$E$11+1,1))-AVERAGE(OFFSET($H$3,0,0,'Données projet'!$E$11+1,1))</f>
        <v>350.22629663422435</v>
      </c>
      <c r="BJ201" s="62">
        <f t="shared" si="206"/>
        <v>375.98044319336645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12.887190708802583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12.887190708802583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-4.5224624045658861E-14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248.15263300983543</v>
      </c>
      <c r="CE201" s="62">
        <f t="shared" si="207"/>
        <v>266.46511459244618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9.0783078543950388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9.0783078543950388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-3.813056537183002E-14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205.35893113421139</v>
      </c>
      <c r="CZ201" s="62">
        <f t="shared" si="208"/>
        <v>220.4399811285175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7.6542595635095454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7.6542595635095454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490.96084572840579</v>
      </c>
      <c r="T202" s="62">
        <f t="shared" si="204"/>
        <v>597.91658789908263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21.831538476145266</v>
      </c>
      <c r="AA202" s="23">
        <f>EXP(-LN(2)/25)*AA201+(1-EXP(-LN(2)/25))/(LN(2)/25)*Calculateur!V202*Calculateur!X202*VLOOKUP('Données projet'!$B$9,Paramètres!$A$1:$I$89,3,0)*0.475*44/12</f>
        <v>1.7895753474278695</v>
      </c>
      <c r="AB202" s="23">
        <f>EXP(-LN(2)/2)*AB201+(1-EXP(-LN(2)/2))/(LN(2)/2)*V202*Y202*VLOOKUP('Données projet'!$B$9,Paramètres!$A$1:$I$89,3,0)*0.475*44/12</f>
        <v>4.39904248274889E-19</v>
      </c>
      <c r="AC202" s="24">
        <f t="shared" si="163"/>
        <v>23.621113823573136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482.28841373508675</v>
      </c>
      <c r="AO202" s="62">
        <f t="shared" si="205"/>
        <v>746.97309214631684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30.845636913309527</v>
      </c>
      <c r="AV202" s="23">
        <f>EXP(-LN(2)/25)*AV201+(1-EXP(-LN(2)/25))/(LN(2)/25)*Calculateur!AQ202*Calculateur!AS202*VLOOKUP('Données projet'!$B$10,Paramètres!$A$1:$I$89,3,0)*0.475*44/12</f>
        <v>2.5605577809603366</v>
      </c>
      <c r="AW202" s="23">
        <f>EXP(-LN(2)/2)*AW201+(1-EXP(-LN(2)/2))/(LN(2)/2)*AQ202*AT202*VLOOKUP('Données projet'!$B$10,Paramètres!$A$1:$I$89,3,0)*0.475*44/12</f>
        <v>2.5200218372122692E-17</v>
      </c>
      <c r="AX202" s="23">
        <f t="shared" si="166"/>
        <v>33.406194694269864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projet'!$B$11,Paramètres!$A$1:$I$89,3,0)*VLOOKUP('Données projet'!$B$11,Paramètres!$A$1:$I$89,5,0)</f>
        <v>1.6671037883497774E-13</v>
      </c>
      <c r="BF202" s="14">
        <f t="shared" si="167"/>
        <v>2.3598166018346595E-12</v>
      </c>
      <c r="BG202" s="22">
        <f t="shared" si="168"/>
        <v>4.400367824666284E-12</v>
      </c>
      <c r="BH202" s="62">
        <f t="shared" si="194"/>
        <v>293.33333333333769</v>
      </c>
      <c r="BI202" s="62">
        <f ca="1">AVERAGE(OFFSET($BH$3,0,0,'Données projet'!$E$11+1,1))-AVERAGE(OFFSET($H$3,0,0,'Données projet'!$E$11+1,1))</f>
        <v>350.22629663422435</v>
      </c>
      <c r="BJ202" s="62">
        <f t="shared" si="206"/>
        <v>375.98044319336645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12.634480759413146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12.634480759413146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-4.5224624045658861E-14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248.15263300983543</v>
      </c>
      <c r="CE202" s="62">
        <f t="shared" si="207"/>
        <v>266.46511459244618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8.9002877745913889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8.9002877745913889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-3.813056537183002E-14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205.35893113421139</v>
      </c>
      <c r="CZ202" s="62">
        <f t="shared" si="208"/>
        <v>220.4399811285175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7.504164202106467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7.504164202106467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490.96084572840579</v>
      </c>
      <c r="T203" s="62">
        <f t="shared" si="204"/>
        <v>597.91658789908263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21.40343532255169</v>
      </c>
      <c r="AA203" s="23">
        <f>EXP(-LN(2)/25)*AA202+(1-EXP(-LN(2)/25))/(LN(2)/25)*Calculateur!V203*Calculateur!X203*VLOOKUP('Données projet'!$B$9,Paramètres!$A$1:$I$89,3,0)*0.475*44/12</f>
        <v>1.7406393154427771</v>
      </c>
      <c r="AB203" s="23">
        <f>EXP(-LN(2)/2)*AB202+(1-EXP(-LN(2)/2))/(LN(2)/2)*V203*Y203*VLOOKUP('Données projet'!$B$9,Paramètres!$A$1:$I$89,3,0)*0.475*44/12</f>
        <v>3.1105927702794462E-19</v>
      </c>
      <c r="AC203" s="24">
        <f t="shared" si="163"/>
        <v>23.144074637994468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482.28841373508675</v>
      </c>
      <c r="AO203" s="62">
        <f t="shared" si="205"/>
        <v>746.97309214631684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30.240772787420319</v>
      </c>
      <c r="AV203" s="23">
        <f>EXP(-LN(2)/25)*AV202+(1-EXP(-LN(2)/25))/(LN(2)/25)*Calculateur!AQ203*Calculateur!AS203*VLOOKUP('Données projet'!$B$10,Paramètres!$A$1:$I$89,3,0)*0.475*44/12</f>
        <v>2.4905391937860948</v>
      </c>
      <c r="AW203" s="23">
        <f>EXP(-LN(2)/2)*AW202+(1-EXP(-LN(2)/2))/(LN(2)/2)*AQ203*AT203*VLOOKUP('Données projet'!$B$10,Paramètres!$A$1:$I$89,3,0)*0.475*44/12</f>
        <v>1.7819245298309775E-17</v>
      </c>
      <c r="AX203" s="23">
        <f t="shared" si="166"/>
        <v>32.731311981206417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projet'!$B$11,Paramètres!$A$1:$I$89,3,0)*VLOOKUP('Données projet'!$B$11,Paramètres!$A$1:$I$89,5,0)</f>
        <v>1.6671037883497774E-13</v>
      </c>
      <c r="BF203" s="14">
        <f t="shared" si="167"/>
        <v>2.3598166018346595E-12</v>
      </c>
      <c r="BG203" s="22">
        <f t="shared" si="168"/>
        <v>4.400367824666284E-12</v>
      </c>
      <c r="BH203" s="62">
        <f t="shared" si="194"/>
        <v>293.33333333333769</v>
      </c>
      <c r="BI203" s="62">
        <f ca="1">AVERAGE(OFFSET($BH$3,0,0,'Données projet'!$E$11+1,1))-AVERAGE(OFFSET($H$3,0,0,'Données projet'!$E$11+1,1))</f>
        <v>350.22629663422435</v>
      </c>
      <c r="BJ203" s="62">
        <f t="shared" si="206"/>
        <v>375.98044319336645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12.386726297993386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12.386726297993386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-4.5224624045658861E-14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248.15263300983543</v>
      </c>
      <c r="CE203" s="62">
        <f t="shared" si="207"/>
        <v>266.46511459244618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8.72575855997116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8.72575855997116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-3.813056537183002E-14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205.35893113421139</v>
      </c>
      <c r="CZ203" s="62">
        <f t="shared" si="208"/>
        <v>220.4399811285175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7.3570121191913724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7.3570121191913724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1.4037863041747067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1.4714192565876152</v>
      </c>
      <c r="BA205" s="88">
        <f>EXP(LN('Données projet'!B88)/'Données projet'!A88)</f>
        <v>1.3759798784509836</v>
      </c>
      <c r="BV205" s="88">
        <f>EXP(LN('Données projet'!B114)/'Données projet'!A114)</f>
        <v>1.3405093326912476</v>
      </c>
      <c r="CQ205" s="88">
        <f>EXP(LN('Données projet'!B140)/'Données projet'!A140)</f>
        <v>1.3405093326912476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4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5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4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6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6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5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4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5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80" zoomScaleNormal="80" workbookViewId="0">
      <selection activeCell="Q16" sqref="Q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25" t="s">
        <v>271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7.2433699999999996</v>
      </c>
      <c r="C6" s="156">
        <f ca="1">IF(OR('Données projet'!B9="",'Données projet'!C9="",'Données projet'!C9=0%),0,Calculateur!S3)</f>
        <v>490.96084572840579</v>
      </c>
      <c r="D6" s="156">
        <f>IF(OR('Données projet'!B9="",'Données projet'!C9="",'Données projet'!C9=0%),0,Calculateur!T3)</f>
        <v>597.91658789908263</v>
      </c>
      <c r="E6" s="156">
        <f ca="1">MIN(C6,D6)</f>
        <v>490.96084572840579</v>
      </c>
      <c r="F6" s="156">
        <f ca="1">E6*B6</f>
        <v>3556.2110611237626</v>
      </c>
      <c r="G6" s="156">
        <f ca="1">F6*(100%-'Données projet'!$C$24)*(100%-'Données projet'!$C$25)*(100%-'Données projet'!$C$26)*(100%-'Données projet'!$C$27)</f>
        <v>3200.5899550113863</v>
      </c>
      <c r="H6" s="157">
        <f>IF(OR('Données projet'!B9="",'Données projet'!C9="",'Données projet'!C9=0%),0,AVERAGE(Calculateur!$AC$3:$AC$33)*B6)</f>
        <v>72.239765369397645</v>
      </c>
      <c r="I6" s="158">
        <f>H6*(100%-'Données projet'!$C$24)*(100%-'Données projet'!$C$25)*(100%-'Données projet'!$C$26)*(100%-'Données projet'!$C$27)</f>
        <v>65.015788832457886</v>
      </c>
      <c r="J6" s="159">
        <f>IF(OR('Données projet'!B9="",'Données projet'!C9="",'Données projet'!C9=0%),0,SUM(Calculateur!$V$3:$V$33)*VLOOKUP('Données projet'!$B$9,Paramètres!$A$1:$I$89,9,0)*B6)</f>
        <v>601.12727629999995</v>
      </c>
      <c r="K6" s="160">
        <f>J6*(100%-'Données projet'!$C$24)*(100%-'Données projet'!$C$25)*(100%-'Données projet'!$C$26)*(100%-'Données projet'!$C$27)</f>
        <v>541.01454866999995</v>
      </c>
      <c r="L6" s="161">
        <f ca="1">G6+I6+K6</f>
        <v>3806.6202925138441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Mélèze d'Europe</v>
      </c>
      <c r="B7" s="163">
        <f>'Données projet'!D10</f>
        <v>4.1627100000000006</v>
      </c>
      <c r="C7" s="156">
        <f ca="1">IF(OR('Données projet'!B10="",'Données projet'!C10="",'Données projet'!C10=0%),0,Calculateur!AN3)</f>
        <v>482.28841373508675</v>
      </c>
      <c r="D7" s="156">
        <f>IF(OR('Données projet'!B10="",'Données projet'!C10="",'Données projet'!C10=0%),0,Calculateur!AO3)</f>
        <v>746.97309214631684</v>
      </c>
      <c r="E7" s="156">
        <f t="shared" ref="E7:E15" ca="1" si="0">MIN(C7,D7)</f>
        <v>482.28841373508675</v>
      </c>
      <c r="F7" s="156">
        <f t="shared" ref="F7:F15" ca="1" si="1">E7*B7</f>
        <v>2007.6268027391832</v>
      </c>
      <c r="G7" s="156">
        <f ca="1">F7*(100%-'Données projet'!$C$24)*(100%-'Données projet'!$C$25)*(100%-'Données projet'!$C$26)*(100%-'Données projet'!$C$27)</f>
        <v>1806.8641224652649</v>
      </c>
      <c r="H7" s="164">
        <f>IF(OR('Données projet'!B10="",'Données projet'!C10="",'Données projet'!C10=0%),0,AVERAGE(Calculateur!$AX$3:$AX$33)*B7)</f>
        <v>7.5293973617495684</v>
      </c>
      <c r="I7" s="158">
        <f>H7*(100%-'Données projet'!$C$24)*(100%-'Données projet'!$C$25)*(100%-'Données projet'!$C$26)*(100%-'Données projet'!$C$27)</f>
        <v>6.7764576255746114</v>
      </c>
      <c r="J7" s="159">
        <f>IF(OR('Données projet'!B10="",'Données projet'!C10="",'Données projet'!C10=0%),0,SUM(Calculateur!$AQ$3:$AQ$33)*VLOOKUP('Données projet'!$B$10,Paramètres!$A$1:$I$89,9,0)*B7)</f>
        <v>191.52628710000002</v>
      </c>
      <c r="K7" s="160">
        <f>J7*(100%-'Données projet'!$C$24)*(100%-'Données projet'!$C$25)*(100%-'Données projet'!$C$26)*(100%-'Données projet'!$C$27)</f>
        <v>172.37365839000003</v>
      </c>
      <c r="L7" s="161">
        <f t="shared" ref="L7:L15" ca="1" si="2">G7+I7+K7</f>
        <v>1986.0142384808396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Châtaignier</v>
      </c>
      <c r="B8" s="163">
        <f>'Données projet'!D11</f>
        <v>0.99294000000000004</v>
      </c>
      <c r="C8" s="156">
        <f ca="1">IF(OR('Données projet'!B11="",'Données projet'!C11="",'Données projet'!C11=0%),0,Calculateur!BI3)</f>
        <v>350.22629663422435</v>
      </c>
      <c r="D8" s="156">
        <f>IF(OR('Données projet'!B11="",'Données projet'!C11="",'Données projet'!C11=0%),0,Calculateur!BJ3)</f>
        <v>375.98044319336645</v>
      </c>
      <c r="E8" s="156">
        <f t="shared" ca="1" si="0"/>
        <v>350.22629663422435</v>
      </c>
      <c r="F8" s="156">
        <f t="shared" ca="1" si="1"/>
        <v>347.75369897998672</v>
      </c>
      <c r="G8" s="156">
        <f ca="1">F8*(100%-'Données projet'!$C$24)*(100%-'Données projet'!$C$25)*(100%-'Données projet'!$C$26)*(100%-'Données projet'!$C$27)</f>
        <v>312.97832908198808</v>
      </c>
      <c r="H8" s="164">
        <f>IF(OR('Données projet'!B11="",'Données projet'!C11="",'Données projet'!C11=0%),0,AVERAGE(Calculateur!$BS$3:$BS$33)*B8)</f>
        <v>1.6073015216067486</v>
      </c>
      <c r="I8" s="158">
        <f>H8*(100%-'Données projet'!$C$24)*(100%-'Données projet'!$C$25)*(100%-'Données projet'!$C$26)*(100%-'Données projet'!$C$27)</f>
        <v>1.4465713694460738</v>
      </c>
      <c r="J8" s="159">
        <f>IF(OR('Données projet'!B11="",'Données projet'!C11="",'Données projet'!C11=0%),0,SUM(Calculateur!$BL$3:$BL$33)*VLOOKUP('Données projet'!$B$11,Paramètres!$A$1:$I$89,9,0)*B8)</f>
        <v>13.901160000000001</v>
      </c>
      <c r="K8" s="160">
        <f>J8*(100%-'Données projet'!$C$24)*(100%-'Données projet'!$C$25)*(100%-'Données projet'!$C$26)*(100%-'Données projet'!$C$27)</f>
        <v>12.511044000000002</v>
      </c>
      <c r="L8" s="161">
        <f t="shared" ca="1" si="2"/>
        <v>326.93594445143418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Erable plane</v>
      </c>
      <c r="B9" s="163">
        <f>'Données projet'!D12</f>
        <v>0.16549000000000086</v>
      </c>
      <c r="C9" s="156">
        <f ca="1">IF(OR('Données projet'!B12="",'Données projet'!C12="",'Données projet'!C12=0%),0,Calculateur!CD3)</f>
        <v>248.15263300983543</v>
      </c>
      <c r="D9" s="156">
        <f>IF(OR('Données projet'!B12="",'Données projet'!C12="",'Données projet'!C12=0%),0,Calculateur!CE3)</f>
        <v>266.46511459244618</v>
      </c>
      <c r="E9" s="156">
        <f t="shared" ca="1" si="0"/>
        <v>248.15263300983543</v>
      </c>
      <c r="F9" s="156">
        <f t="shared" ca="1" si="1"/>
        <v>41.066779236797878</v>
      </c>
      <c r="G9" s="156">
        <f ca="1">F9*(100%-'Données projet'!$C$24)*(100%-'Données projet'!$C$25)*(100%-'Données projet'!$C$26)*(100%-'Données projet'!$C$27)</f>
        <v>36.960101313118088</v>
      </c>
      <c r="H9" s="164">
        <f>IF(OR('Données projet'!B12="",'Données projet'!C12="",'Données projet'!C12=0%),0,AVERAGE(Calculateur!$CN$3:$CN$33)*B9)</f>
        <v>0.24338757495116825</v>
      </c>
      <c r="I9" s="158">
        <f>H9*(100%-'Données projet'!$C$24)*(100%-'Données projet'!$C$25)*(100%-'Données projet'!$C$26)*(100%-'Données projet'!$C$27)</f>
        <v>0.21904881745605143</v>
      </c>
      <c r="J9" s="159">
        <f>IF(OR('Données projet'!B12="",'Données projet'!C12="",'Données projet'!C12=0%),0,SUM(Calculateur!$CG$3:$CG$33)*VLOOKUP('Données projet'!$B$12,Paramètres!$A$1:$I$89,9,0)*B9)</f>
        <v>1.571034494791675</v>
      </c>
      <c r="K9" s="160">
        <f>J9*(100%-'Données projet'!$C$24)*(100%-'Données projet'!$C$25)*(100%-'Données projet'!$C$26)*(100%-'Données projet'!$C$27)</f>
        <v>1.4139310453125076</v>
      </c>
      <c r="L9" s="161">
        <f t="shared" ca="1" si="2"/>
        <v>38.593081175886645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Tilleul</v>
      </c>
      <c r="B10" s="163">
        <f>'Données projet'!D13</f>
        <v>0.16549000000000086</v>
      </c>
      <c r="C10" s="156">
        <f ca="1">IF(OR('Données projet'!B13="",'Données projet'!C13="",'Données projet'!C13=0%),0,Calculateur!CY3)</f>
        <v>205.35893113421139</v>
      </c>
      <c r="D10" s="156">
        <f>IF(OR('Données projet'!B13="",'Données projet'!C13="",'Données projet'!C13=0%),0,Calculateur!CZ3)</f>
        <v>220.4399811285175</v>
      </c>
      <c r="E10" s="156">
        <f t="shared" ca="1" si="0"/>
        <v>205.35893113421139</v>
      </c>
      <c r="F10" s="156">
        <f t="shared" ca="1" si="1"/>
        <v>33.984849513400818</v>
      </c>
      <c r="G10" s="156">
        <f ca="1">F10*(100%-'Données projet'!$C$24)*(100%-'Données projet'!$C$25)*(100%-'Données projet'!$C$26)*(100%-'Données projet'!$C$27)</f>
        <v>30.586364562060737</v>
      </c>
      <c r="H10" s="164">
        <f>IF(OR('Données projet'!B13="",'Données projet'!C13="",'Données projet'!C13=0%),0,AVERAGE(Calculateur!$DI$3:$DI$33)*B10)</f>
        <v>0.20520913182157327</v>
      </c>
      <c r="I10" s="158">
        <f>H10*(100%-'Données projet'!$C$24)*(100%-'Données projet'!$C$25)*(100%-'Données projet'!$C$26)*(100%-'Données projet'!$C$27)</f>
        <v>0.18468821863941595</v>
      </c>
      <c r="J10" s="159">
        <f>IF(OR('Données projet'!B13="",'Données projet'!C13="",'Données projet'!C13=0%),0,SUM(Calculateur!$DB$3:$DB$33)*VLOOKUP('Données projet'!$B$13,Paramètres!$A$1:$I$89,9,0)*B10)</f>
        <v>1.571034494791675</v>
      </c>
      <c r="K10" s="160">
        <f>J10*(100%-'Données projet'!$C$24)*(100%-'Données projet'!$C$25)*(100%-'Données projet'!$C$26)*(100%-'Données projet'!$C$27)</f>
        <v>1.4139310453125076</v>
      </c>
      <c r="L10" s="161">
        <f t="shared" ca="1" si="2"/>
        <v>32.184983826012662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5986.6431915931307</v>
      </c>
      <c r="G16" s="175">
        <f t="shared" ca="1" si="3"/>
        <v>5387.9788724338177</v>
      </c>
      <c r="H16" s="176">
        <f t="shared" si="3"/>
        <v>81.825060959526709</v>
      </c>
      <c r="I16" s="176">
        <f t="shared" si="3"/>
        <v>73.642554863574048</v>
      </c>
      <c r="J16" s="177">
        <f t="shared" si="3"/>
        <v>809.69679238958327</v>
      </c>
      <c r="K16" s="177">
        <f t="shared" si="3"/>
        <v>728.72711315062509</v>
      </c>
      <c r="L16" s="178">
        <f t="shared" ca="1" si="3"/>
        <v>6190.3485404480161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37" t="s">
        <v>246</v>
      </c>
      <c r="G17" s="338"/>
      <c r="H17" s="338"/>
      <c r="I17" s="338"/>
      <c r="J17" s="338"/>
      <c r="K17" s="338"/>
      <c r="L17" s="33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39"/>
      <c r="G18" s="339"/>
      <c r="H18" s="339"/>
      <c r="I18" s="339"/>
      <c r="J18" s="339"/>
      <c r="K18" s="339"/>
      <c r="L18" s="33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Mélèze d'Europe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Erable plane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Tilleul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F16" sqref="F16:F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25" t="s">
        <v>272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43" t="s">
        <v>315</v>
      </c>
      <c r="I4" s="343"/>
      <c r="K4" s="340" t="s">
        <v>253</v>
      </c>
      <c r="L4" s="341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1" t="s">
        <v>310</v>
      </c>
      <c r="S7" s="352"/>
      <c r="T7" s="352"/>
      <c r="U7" s="352"/>
      <c r="V7" s="35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65.400347211228564</v>
      </c>
      <c r="U10" s="190">
        <f>'Données projet'!D9</f>
        <v>7.2433699999999996</v>
      </c>
      <c r="V10" s="189">
        <f>U10*T10</f>
        <v>473.71891297939663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d'Europe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-1449.5543458617049</v>
      </c>
      <c r="U11" s="190">
        <f>'Données projet'!D10</f>
        <v>4.1627100000000006</v>
      </c>
      <c r="V11" s="189">
        <f t="shared" ref="V11" si="0">U11*T11</f>
        <v>-6034.0743710619781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-5850.6248200557711</v>
      </c>
      <c r="U12" s="190">
        <f>'Données projet'!D11</f>
        <v>0.99294000000000004</v>
      </c>
      <c r="V12" s="189">
        <f t="shared" ref="V12:V19" si="1">U12*T12</f>
        <v>-5809.319408826178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plane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-9773.1187335897466</v>
      </c>
      <c r="U13" s="190">
        <f>'Données projet'!D12</f>
        <v>0.16549000000000086</v>
      </c>
      <c r="V13" s="189">
        <f t="shared" si="1"/>
        <v>-1617.3534192217755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Tilleul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-11038.621775374066</v>
      </c>
      <c r="U14" s="190">
        <f>'Données projet'!D13</f>
        <v>0.16549000000000086</v>
      </c>
      <c r="V14" s="189">
        <f t="shared" si="1"/>
        <v>-1826.7815176066636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44" t="s">
        <v>318</v>
      </c>
      <c r="H15" s="203">
        <v>0</v>
      </c>
      <c r="I15" s="204">
        <v>498.03613511390415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4"/>
      <c r="H16" s="203">
        <v>1</v>
      </c>
      <c r="I16" s="204">
        <v>0</v>
      </c>
      <c r="J16" s="216"/>
      <c r="K16" s="225"/>
      <c r="L16" s="340" t="s">
        <v>254</v>
      </c>
      <c r="M16" s="341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/>
      <c r="D17" s="211" t="s">
        <v>132</v>
      </c>
      <c r="E17" s="206">
        <v>4033.5063419536477</v>
      </c>
      <c r="F17" s="261"/>
      <c r="G17" s="344"/>
      <c r="J17" s="216"/>
      <c r="K17" s="225"/>
      <c r="L17" s="311" t="s">
        <v>289</v>
      </c>
      <c r="M17" s="313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/>
      <c r="D18" s="211" t="s">
        <v>132</v>
      </c>
      <c r="E18" s="206">
        <v>828.7509819324431</v>
      </c>
      <c r="F18" s="261"/>
      <c r="G18" s="344"/>
      <c r="J18" s="216"/>
      <c r="K18" s="225"/>
      <c r="L18" s="311" t="s">
        <v>255</v>
      </c>
      <c r="M18" s="313"/>
      <c r="N18" s="205">
        <v>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/>
      <c r="D19" s="211" t="s">
        <v>132</v>
      </c>
      <c r="E19" s="206">
        <v>828.7509819324431</v>
      </c>
      <c r="F19" s="261"/>
      <c r="G19" s="344"/>
      <c r="H19" s="232" t="s">
        <v>178</v>
      </c>
      <c r="I19" s="232" t="s">
        <v>287</v>
      </c>
      <c r="J19" s="260"/>
      <c r="K19" s="183"/>
      <c r="L19" s="340" t="s">
        <v>288</v>
      </c>
      <c r="M19" s="341"/>
      <c r="N19" s="191">
        <f>N17*N18</f>
        <v>239.99999999999994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/>
      <c r="D20" s="211" t="s">
        <v>132</v>
      </c>
      <c r="E20" s="206">
        <v>828.7509819324431</v>
      </c>
      <c r="F20" s="261"/>
      <c r="G20" s="344"/>
      <c r="H20" s="203">
        <v>0</v>
      </c>
      <c r="I20" s="204">
        <v>6090.5590468709088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/>
      <c r="D21" s="211" t="s">
        <v>132</v>
      </c>
      <c r="E21" s="206">
        <v>0</v>
      </c>
      <c r="F21" s="261"/>
      <c r="H21" s="203">
        <v>1</v>
      </c>
      <c r="I21" s="204">
        <v>113.09243257397225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486.22676093218121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15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113.09243257397225</v>
      </c>
      <c r="K23" s="225"/>
      <c r="L23" s="342" t="s">
        <v>260</v>
      </c>
      <c r="M23" s="342"/>
      <c r="N23" s="342"/>
      <c r="O23" s="25"/>
      <c r="P23" s="25"/>
      <c r="Q23" s="265"/>
      <c r="R23" s="25"/>
      <c r="S23" s="185" t="s">
        <v>264</v>
      </c>
      <c r="T23" s="35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-113422.52259071769</v>
      </c>
      <c r="U23" s="356"/>
      <c r="V23" s="35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20</v>
      </c>
      <c r="B24" s="193">
        <f>'Données projet'!D37</f>
        <v>43</v>
      </c>
      <c r="C24" s="206">
        <v>11.760000000000002</v>
      </c>
      <c r="D24" s="194">
        <f t="shared" ref="D24:D42" si="2">B24*C24</f>
        <v>505.68000000000006</v>
      </c>
      <c r="E24" s="206"/>
      <c r="F24" s="264"/>
      <c r="H24" s="203">
        <v>4</v>
      </c>
      <c r="I24" s="204">
        <v>113.09243257397225</v>
      </c>
      <c r="K24" s="225"/>
      <c r="O24" s="25"/>
      <c r="P24" s="25"/>
      <c r="Q24" s="265"/>
      <c r="R24" s="25"/>
      <c r="S24" s="185" t="s">
        <v>261</v>
      </c>
      <c r="T24" s="357">
        <f ca="1">'Scénario référence'!$B$8*$M$30*'Données projet'!$C$5+('Scénario référence'!B9+'Scénario référence'!B10+'Scénario référence'!F8+'Scénario référence'!F9)*$N$19/(1+M4)^N16*'Données projet'!$C$5</f>
        <v>815.73844737699551</v>
      </c>
      <c r="U24" s="357"/>
      <c r="V24" s="35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60</v>
      </c>
      <c r="C25" s="206">
        <v>31.527999999999999</v>
      </c>
      <c r="D25" s="194">
        <f t="shared" si="2"/>
        <v>1891.6799999999998</v>
      </c>
      <c r="E25" s="206"/>
      <c r="F25" s="264"/>
      <c r="G25" s="1"/>
      <c r="H25" s="203">
        <v>5</v>
      </c>
      <c r="I25" s="204">
        <v>113.09243257397225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58">
        <f ca="1">T23-T24</f>
        <v>-114238.26103809469</v>
      </c>
      <c r="U25" s="358"/>
      <c r="V25" s="35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30</v>
      </c>
      <c r="B26" s="193">
        <f>'Données projet'!D39</f>
        <v>90</v>
      </c>
      <c r="C26" s="206">
        <v>31.527999999999999</v>
      </c>
      <c r="D26" s="194">
        <f t="shared" si="2"/>
        <v>2837.52</v>
      </c>
      <c r="E26" s="206"/>
      <c r="F26" s="264"/>
      <c r="G26" s="259"/>
      <c r="H26" s="203">
        <v>6</v>
      </c>
      <c r="I26" s="204">
        <v>113.09243257397225</v>
      </c>
      <c r="K26" s="225"/>
      <c r="L26" s="345" t="s">
        <v>258</v>
      </c>
      <c r="M26" s="346"/>
      <c r="N26" s="346"/>
      <c r="O26" s="346"/>
      <c r="P26" s="347"/>
      <c r="Q26" s="265"/>
      <c r="R26" s="25"/>
      <c r="S26" s="198" t="s">
        <v>265</v>
      </c>
      <c r="T26" s="355" t="str">
        <f ca="1">IF(T25&lt;0,"Votre projet est additionnel","Votre projet n'est pas additionnel")</f>
        <v>Votre projet est additionnel</v>
      </c>
      <c r="U26" s="355"/>
      <c r="V26" s="35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35</v>
      </c>
      <c r="B27" s="193">
        <f>'Données projet'!D40</f>
        <v>72</v>
      </c>
      <c r="C27" s="206">
        <v>42.027999999999999</v>
      </c>
      <c r="D27" s="194">
        <f t="shared" si="2"/>
        <v>3026.0160000000001</v>
      </c>
      <c r="E27" s="206"/>
      <c r="F27" s="264"/>
      <c r="G27" s="259"/>
      <c r="H27" s="203">
        <v>7</v>
      </c>
      <c r="I27" s="204">
        <v>113.09243257397225</v>
      </c>
      <c r="K27" s="225"/>
      <c r="L27" s="348"/>
      <c r="M27" s="349"/>
      <c r="N27" s="349"/>
      <c r="O27" s="349"/>
      <c r="P27" s="350"/>
      <c r="Q27" s="265"/>
      <c r="R27" s="25"/>
      <c r="S27" s="354" t="s">
        <v>267</v>
      </c>
      <c r="T27" s="354"/>
      <c r="U27" s="354"/>
      <c r="V27" s="35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40</v>
      </c>
      <c r="B28" s="193">
        <f>'Données projet'!D41</f>
        <v>77</v>
      </c>
      <c r="C28" s="206">
        <v>42.027999999999999</v>
      </c>
      <c r="D28" s="194">
        <f t="shared" si="2"/>
        <v>3236.1559999999999</v>
      </c>
      <c r="E28" s="206"/>
      <c r="F28" s="264"/>
      <c r="G28" s="222"/>
      <c r="H28" s="203">
        <v>8</v>
      </c>
      <c r="I28" s="204">
        <v>113.09243257397225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45</v>
      </c>
      <c r="B29" s="193">
        <f>'Données projet'!D42</f>
        <v>64</v>
      </c>
      <c r="C29" s="206">
        <v>42.027999999999999</v>
      </c>
      <c r="D29" s="194">
        <f t="shared" si="2"/>
        <v>2689.7919999999999</v>
      </c>
      <c r="E29" s="206"/>
      <c r="F29" s="264"/>
      <c r="G29" s="218"/>
      <c r="H29" s="203">
        <v>9</v>
      </c>
      <c r="I29" s="204">
        <v>113.09243257397225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50</v>
      </c>
      <c r="B30" s="193">
        <f>'Données projet'!D43</f>
        <v>62</v>
      </c>
      <c r="C30" s="206">
        <v>42.027999999999999</v>
      </c>
      <c r="D30" s="194">
        <f t="shared" si="2"/>
        <v>2605.7359999999999</v>
      </c>
      <c r="E30" s="206"/>
      <c r="F30" s="264"/>
      <c r="G30" s="218"/>
      <c r="H30" s="203">
        <v>10</v>
      </c>
      <c r="I30" s="204">
        <v>113.09243257397225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55</v>
      </c>
      <c r="B31" s="193">
        <f>'Données projet'!D44</f>
        <v>46</v>
      </c>
      <c r="C31" s="206">
        <v>42.027999999999999</v>
      </c>
      <c r="D31" s="194">
        <f t="shared" si="2"/>
        <v>1933.288</v>
      </c>
      <c r="E31" s="206"/>
      <c r="F31" s="264"/>
      <c r="G31" s="218"/>
      <c r="H31" s="203">
        <v>11</v>
      </c>
      <c r="I31" s="204">
        <v>113.09243257397225</v>
      </c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60</v>
      </c>
      <c r="B32" s="193">
        <f>'Données projet'!D45</f>
        <v>35</v>
      </c>
      <c r="C32" s="206">
        <v>42.027999999999999</v>
      </c>
      <c r="D32" s="194">
        <f t="shared" si="2"/>
        <v>1470.98</v>
      </c>
      <c r="E32" s="206"/>
      <c r="F32" s="264"/>
      <c r="G32" s="218"/>
      <c r="H32" s="203">
        <v>12</v>
      </c>
      <c r="I32" s="204">
        <v>113.09243257397225</v>
      </c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65</v>
      </c>
      <c r="B33" s="193">
        <f>'Données projet'!D46</f>
        <v>769</v>
      </c>
      <c r="C33" s="206">
        <v>60</v>
      </c>
      <c r="D33" s="194">
        <f t="shared" si="2"/>
        <v>46140</v>
      </c>
      <c r="E33" s="206"/>
      <c r="F33" s="264"/>
      <c r="G33" s="218"/>
      <c r="H33" s="203">
        <v>13</v>
      </c>
      <c r="I33" s="204">
        <v>113.09243257397225</v>
      </c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>
        <v>14</v>
      </c>
      <c r="I34" s="204">
        <v>113.09243257397225</v>
      </c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>
        <v>15</v>
      </c>
      <c r="I35" s="204">
        <v>113.09243257397225</v>
      </c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>
        <v>16</v>
      </c>
      <c r="I36" s="204">
        <v>113.09243257397225</v>
      </c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>
        <v>17</v>
      </c>
      <c r="I37" s="204">
        <v>113.09243257397225</v>
      </c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>
        <v>18</v>
      </c>
      <c r="I38" s="204">
        <v>113.09243257397225</v>
      </c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>
        <v>19</v>
      </c>
      <c r="I39" s="204">
        <v>113.09243257397225</v>
      </c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>
        <v>20</v>
      </c>
      <c r="I40" s="204">
        <v>113.09243257397225</v>
      </c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>
        <v>21</v>
      </c>
      <c r="I41" s="204">
        <v>113.09243257397225</v>
      </c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>
        <v>22</v>
      </c>
      <c r="I42" s="204">
        <v>113.09243257397225</v>
      </c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>
        <v>23</v>
      </c>
      <c r="I43" s="204">
        <v>113.09243257397225</v>
      </c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>
        <v>24</v>
      </c>
      <c r="I44" s="204">
        <v>113.09243257397225</v>
      </c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Mélèze d'Europe</v>
      </c>
      <c r="C45" s="5"/>
      <c r="D45" s="5"/>
      <c r="E45" s="5"/>
      <c r="F45" s="261"/>
      <c r="G45" s="218"/>
      <c r="H45" s="203">
        <v>25</v>
      </c>
      <c r="I45" s="204">
        <v>113.09243257397225</v>
      </c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>
        <v>26</v>
      </c>
      <c r="I46" s="204">
        <v>113.09243257397225</v>
      </c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>
        <v>27</v>
      </c>
      <c r="I47" s="204">
        <v>113.09243257397225</v>
      </c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>
        <v>0</v>
      </c>
      <c r="D48" s="211" t="s">
        <v>132</v>
      </c>
      <c r="E48" s="206">
        <v>4577.2636498538714</v>
      </c>
      <c r="F48" s="262"/>
      <c r="G48" s="218"/>
      <c r="H48" s="203">
        <v>28</v>
      </c>
      <c r="I48" s="204">
        <v>113.09243257397225</v>
      </c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>
        <v>0</v>
      </c>
      <c r="D49" s="211" t="s">
        <v>132</v>
      </c>
      <c r="E49" s="206">
        <v>828.75098193244287</v>
      </c>
      <c r="F49" s="262"/>
      <c r="G49" s="219"/>
      <c r="H49" s="203">
        <v>29</v>
      </c>
      <c r="I49" s="204">
        <v>113.09243257397225</v>
      </c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>
        <v>0</v>
      </c>
      <c r="D50" s="211" t="s">
        <v>132</v>
      </c>
      <c r="E50" s="206">
        <v>828.75098193244287</v>
      </c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>
        <v>0</v>
      </c>
      <c r="D51" s="211" t="s">
        <v>132</v>
      </c>
      <c r="E51" s="206">
        <v>828.75098193244287</v>
      </c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>
        <v>0</v>
      </c>
      <c r="D52" s="211" t="s">
        <v>132</v>
      </c>
      <c r="E52" s="206">
        <v>0</v>
      </c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>
        <v>0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12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18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24</v>
      </c>
      <c r="B56" s="193">
        <f>'Données projet'!D64</f>
        <v>0</v>
      </c>
      <c r="C56" s="204">
        <v>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30</v>
      </c>
      <c r="B57" s="193">
        <f>'Données projet'!D65</f>
        <v>107</v>
      </c>
      <c r="C57" s="204">
        <v>31.527999999999999</v>
      </c>
      <c r="D57" s="191">
        <f t="shared" si="4"/>
        <v>3373.4959999999996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36</v>
      </c>
      <c r="B58" s="193">
        <f>'Données projet'!D66</f>
        <v>119</v>
      </c>
      <c r="C58" s="204">
        <v>42.027999999999999</v>
      </c>
      <c r="D58" s="191">
        <f t="shared" si="4"/>
        <v>5001.3319999999994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42</v>
      </c>
      <c r="B59" s="193">
        <f>'Données projet'!D67</f>
        <v>121</v>
      </c>
      <c r="C59" s="204">
        <v>42.027999999999999</v>
      </c>
      <c r="D59" s="191">
        <f t="shared" si="4"/>
        <v>5085.3879999999999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48</v>
      </c>
      <c r="B60" s="193">
        <f>'Données projet'!D68</f>
        <v>123</v>
      </c>
      <c r="C60" s="204">
        <v>42.027999999999999</v>
      </c>
      <c r="D60" s="191">
        <f t="shared" si="4"/>
        <v>5169.4439999999995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54</v>
      </c>
      <c r="B61" s="193">
        <f>'Données projet'!D69</f>
        <v>119</v>
      </c>
      <c r="C61" s="204">
        <v>42.027999999999999</v>
      </c>
      <c r="D61" s="191">
        <f t="shared" si="4"/>
        <v>5001.3319999999994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60</v>
      </c>
      <c r="B62" s="193">
        <f>'Données projet'!D70</f>
        <v>112</v>
      </c>
      <c r="C62" s="204">
        <v>42.027999999999999</v>
      </c>
      <c r="D62" s="191">
        <f t="shared" si="4"/>
        <v>4707.1359999999995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66</v>
      </c>
      <c r="B63" s="193">
        <f>'Données projet'!D71</f>
        <v>109</v>
      </c>
      <c r="C63" s="204">
        <v>42.027999999999999</v>
      </c>
      <c r="D63" s="191">
        <f t="shared" si="4"/>
        <v>4581.0519999999997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72</v>
      </c>
      <c r="B64" s="193">
        <f>'Données projet'!D72</f>
        <v>101</v>
      </c>
      <c r="C64" s="204">
        <v>42.027999999999999</v>
      </c>
      <c r="D64" s="191">
        <f t="shared" si="4"/>
        <v>4244.8279999999995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78</v>
      </c>
      <c r="B65" s="193">
        <f>'Données projet'!D73</f>
        <v>426</v>
      </c>
      <c r="C65" s="204">
        <v>60</v>
      </c>
      <c r="D65" s="191">
        <f t="shared" si="4"/>
        <v>25560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>
        <v>0</v>
      </c>
      <c r="D79" s="211" t="s">
        <v>132</v>
      </c>
      <c r="E79" s="206">
        <v>7062.0883437065686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>
        <v>0</v>
      </c>
      <c r="D80" s="211" t="s">
        <v>132</v>
      </c>
      <c r="E80" s="206">
        <v>828.75098193244298</v>
      </c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>
        <v>0</v>
      </c>
      <c r="D81" s="211" t="s">
        <v>132</v>
      </c>
      <c r="E81" s="206">
        <v>828.75098193244298</v>
      </c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>
        <v>0</v>
      </c>
      <c r="D82" s="211" t="s">
        <v>132</v>
      </c>
      <c r="E82" s="206">
        <v>828.75098193244298</v>
      </c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>
        <v>0</v>
      </c>
      <c r="D83" s="211" t="s">
        <v>132</v>
      </c>
      <c r="E83" s="206">
        <v>0</v>
      </c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>
        <v>0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15</v>
      </c>
      <c r="B85" s="193">
        <f>'Données projet'!D88</f>
        <v>20</v>
      </c>
      <c r="C85" s="204">
        <v>8</v>
      </c>
      <c r="D85" s="191">
        <f>B85*C85</f>
        <v>160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25</v>
      </c>
      <c r="B86" s="193">
        <f>'Données projet'!D89</f>
        <v>36</v>
      </c>
      <c r="C86" s="204">
        <v>33.9</v>
      </c>
      <c r="D86" s="191">
        <f t="shared" ref="D86:D104" si="6">B86*C86</f>
        <v>1220.3999999999999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35</v>
      </c>
      <c r="B87" s="193">
        <f>'Données projet'!D90</f>
        <v>55</v>
      </c>
      <c r="C87" s="204">
        <v>33.9</v>
      </c>
      <c r="D87" s="191">
        <f t="shared" si="6"/>
        <v>1864.5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45</v>
      </c>
      <c r="B88" s="193">
        <f>'Données projet'!D91</f>
        <v>76</v>
      </c>
      <c r="C88" s="204">
        <v>41.3</v>
      </c>
      <c r="D88" s="191">
        <f t="shared" si="6"/>
        <v>3138.7999999999997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55</v>
      </c>
      <c r="B89" s="193">
        <f>'Données projet'!D92</f>
        <v>591</v>
      </c>
      <c r="C89" s="204">
        <v>41.3</v>
      </c>
      <c r="D89" s="191">
        <f t="shared" si="6"/>
        <v>24408.3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Erable plane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>
        <v>0</v>
      </c>
      <c r="D110" s="211" t="s">
        <v>132</v>
      </c>
      <c r="E110" s="206">
        <v>12101.667774487845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>
        <v>0</v>
      </c>
      <c r="D111" s="211" t="s">
        <v>132</v>
      </c>
      <c r="E111" s="206">
        <v>828.7509819324431</v>
      </c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>
        <v>0</v>
      </c>
      <c r="D112" s="211" t="s">
        <v>132</v>
      </c>
      <c r="E112" s="206">
        <v>828.7509819324431</v>
      </c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>
        <v>0</v>
      </c>
      <c r="D113" s="211" t="s">
        <v>132</v>
      </c>
      <c r="E113" s="206">
        <v>828.7509819324431</v>
      </c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>
        <v>0</v>
      </c>
      <c r="D114" s="211" t="s">
        <v>132</v>
      </c>
      <c r="E114" s="206">
        <v>0</v>
      </c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>
        <v>0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15</v>
      </c>
      <c r="B116" s="193">
        <f>'Données projet'!D114</f>
        <v>13.517499999999998</v>
      </c>
      <c r="C116" s="204">
        <v>8</v>
      </c>
      <c r="D116" s="191">
        <f>B116*C116</f>
        <v>108.13999999999999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25</v>
      </c>
      <c r="B117" s="193">
        <f>'Données projet'!D115</f>
        <v>24.455416666666672</v>
      </c>
      <c r="C117" s="204">
        <v>33.9</v>
      </c>
      <c r="D117" s="191">
        <f t="shared" ref="D117:D135" si="8">B117*C117</f>
        <v>829.03862500000014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35</v>
      </c>
      <c r="B118" s="193">
        <f>'Données projet'!D116</f>
        <v>36.913680555555565</v>
      </c>
      <c r="C118" s="204">
        <v>33.9</v>
      </c>
      <c r="D118" s="191">
        <f t="shared" si="8"/>
        <v>1251.3737708333335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45</v>
      </c>
      <c r="B119" s="193">
        <f>'Données projet'!D117</f>
        <v>50.638900462962958</v>
      </c>
      <c r="C119" s="204">
        <v>41.3</v>
      </c>
      <c r="D119" s="191">
        <f t="shared" si="8"/>
        <v>2091.38658912037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55</v>
      </c>
      <c r="B120" s="193">
        <f>'Données projet'!D118</f>
        <v>392.51950231481487</v>
      </c>
      <c r="C120" s="204">
        <v>41.3</v>
      </c>
      <c r="D120" s="191">
        <f t="shared" si="8"/>
        <v>16211.055445601853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Tilleul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>
        <v>0</v>
      </c>
      <c r="D141" s="211" t="s">
        <v>132</v>
      </c>
      <c r="E141" s="206">
        <v>11847.876004592385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>
        <v>0</v>
      </c>
      <c r="D142" s="211" t="s">
        <v>132</v>
      </c>
      <c r="E142" s="206">
        <v>828.7509819324431</v>
      </c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>
        <v>0</v>
      </c>
      <c r="D143" s="211" t="s">
        <v>132</v>
      </c>
      <c r="E143" s="206">
        <v>828.7509819324431</v>
      </c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>
        <v>0</v>
      </c>
      <c r="D144" s="211" t="s">
        <v>132</v>
      </c>
      <c r="E144" s="206">
        <v>828.7509819324431</v>
      </c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>
        <v>0</v>
      </c>
      <c r="D145" s="211" t="s">
        <v>132</v>
      </c>
      <c r="E145" s="206">
        <v>0</v>
      </c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>
        <v>0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15</v>
      </c>
      <c r="B147" s="187">
        <f>'Données projet'!D140</f>
        <v>13.517499999999998</v>
      </c>
      <c r="C147" s="204">
        <v>8</v>
      </c>
      <c r="D147" s="194">
        <f>B147*C147</f>
        <v>108.13999999999999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25</v>
      </c>
      <c r="B148" s="187">
        <f>'Données projet'!D141</f>
        <v>24.455416666666672</v>
      </c>
      <c r="C148" s="204">
        <v>33.9</v>
      </c>
      <c r="D148" s="194">
        <f t="shared" ref="D148:D166" si="10">B148*C148</f>
        <v>829.03862500000014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35</v>
      </c>
      <c r="B149" s="187">
        <f>'Données projet'!D142</f>
        <v>36.913680555555565</v>
      </c>
      <c r="C149" s="204">
        <v>33.9</v>
      </c>
      <c r="D149" s="194">
        <f t="shared" si="10"/>
        <v>1251.3737708333335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45</v>
      </c>
      <c r="B150" s="187">
        <f>'Données projet'!D143</f>
        <v>50.638900462962958</v>
      </c>
      <c r="C150" s="204">
        <v>41.3</v>
      </c>
      <c r="D150" s="194">
        <f t="shared" si="10"/>
        <v>2091.38658912037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55</v>
      </c>
      <c r="B151" s="187">
        <f>'Données projet'!D144</f>
        <v>392.51950231481487</v>
      </c>
      <c r="C151" s="204">
        <v>41.3</v>
      </c>
      <c r="D151" s="194">
        <f t="shared" si="10"/>
        <v>16211.055445601853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6" ma:contentTypeDescription="Crée un document." ma:contentTypeScope="" ma:versionID="264f1e0e05f20c30c69198eb65f88b80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62cea35d0b68dc6566f6fa6cf7be5c1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0DEEE-6B6A-4C03-8834-7134DE84B102}">
  <ds:schemaRefs>
    <ds:schemaRef ds:uri="8c1d9445-5ca3-48db-a349-49511c70e687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cca48d1-260d-4848-9875-be9a6e46318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9D14BA-A269-4432-9991-408A7A293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6C12F8-FD11-4235-A781-019F1A4E4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Surface_projet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2022-07-27T15:15:36Z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