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70-002 MILLE ETANGS/g. Carbone - LBC/2. Mille Etangs - dossier Ministère/1. Dossier V5 - A MAJ/"/>
    </mc:Choice>
  </mc:AlternateContent>
  <xr:revisionPtr revIDLastSave="56" documentId="6_{8F7FC36A-2A98-CD40-90D3-F79F5651A0E8}" xr6:coauthVersionLast="47" xr6:coauthVersionMax="47" xr10:uidLastSave="{84B7ADB0-2082-ED45-8531-7A63C69424A4}"/>
  <bookViews>
    <workbookView xWindow="13740" yWindow="500" windowWidth="16560" windowHeight="1582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" l="1"/>
  <c r="F44" i="1"/>
  <c r="D44" i="1"/>
  <c r="G43" i="1"/>
  <c r="F43" i="1"/>
  <c r="G42" i="1"/>
  <c r="F42" i="1"/>
  <c r="G41" i="1"/>
  <c r="F41" i="1"/>
  <c r="G40" i="1"/>
  <c r="F40" i="1"/>
  <c r="G39" i="1"/>
  <c r="F39" i="1"/>
  <c r="G38" i="1"/>
  <c r="F38" i="1"/>
  <c r="F37" i="1"/>
  <c r="G36" i="1"/>
  <c r="F36" i="1"/>
  <c r="E177" i="6"/>
  <c r="E176" i="6"/>
  <c r="E175" i="6"/>
  <c r="E174" i="6"/>
  <c r="E173" i="6"/>
  <c r="E172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A7" i="2"/>
  <c r="HI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A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W20" i="2"/>
  <c r="EC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A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EA38" i="2"/>
  <c r="EW38" i="2"/>
  <c r="HI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EC44" i="2"/>
  <c r="HH44" i="2"/>
  <c r="FS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HI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FS57" i="2"/>
  <c r="EV57" i="2"/>
  <c r="HH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EB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EV85" i="2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EA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EW113" i="2"/>
  <c r="FS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Q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EW130" i="2"/>
  <c r="HI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G144" i="2"/>
  <c r="EA144" i="2"/>
  <c r="EX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FS146" i="2"/>
  <c r="EA146" i="2"/>
  <c r="HI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EB154" i="2"/>
  <c r="AB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X155" i="2"/>
  <c r="ED154" i="2"/>
  <c r="EA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ED155" i="2"/>
  <c r="FS156" i="2"/>
  <c r="EB156" i="2"/>
  <c r="DH156" i="2"/>
  <c r="HH156" i="2"/>
  <c r="HI156" i="2"/>
  <c r="HG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H157" i="2"/>
  <c r="EX157" i="2"/>
  <c r="EA157" i="2"/>
  <c r="HG157" i="2"/>
  <c r="EC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V158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H160" i="2"/>
  <c r="EY159" i="2"/>
  <c r="HI160" i="2"/>
  <c r="FS160" i="2"/>
  <c r="DG160" i="2"/>
  <c r="ED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FS161" i="2"/>
  <c r="EX161" i="2"/>
  <c r="EA161" i="2"/>
  <c r="HH161" i="2"/>
  <c r="EB161" i="2"/>
  <c r="ED161" i="2" s="1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DI161" i="2"/>
  <c r="EY161" i="2"/>
  <c r="EC162" i="2"/>
  <c r="EW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Y162" i="2"/>
  <c r="ED162" i="2"/>
  <c r="EB163" i="2"/>
  <c r="EV163" i="2"/>
  <c r="EA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FR164" i="2"/>
  <c r="ED163" i="2"/>
  <c r="HG164" i="2"/>
  <c r="EA164" i="2"/>
  <c r="HH164" i="2"/>
  <c r="EX164" i="2"/>
  <c r="EV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B165" i="2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ED165" i="2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DG167" i="2"/>
  <c r="FR167" i="2"/>
  <c r="EA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DG168" i="2"/>
  <c r="HH168" i="2"/>
  <c r="HI168" i="2"/>
  <c r="EV168" i="2"/>
  <c r="EC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EX169" i="2"/>
  <c r="FS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EV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EB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W175" i="2"/>
  <c r="EB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EB178" i="2"/>
  <c r="EW178" i="2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V179" i="2"/>
  <c r="EB179" i="2"/>
  <c r="DF179" i="2"/>
  <c r="EA179" i="2"/>
  <c r="ED179" i="2" s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G180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EB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HH186" i="2"/>
  <c r="EW186" i="2"/>
  <c r="EA186" i="2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EV190" i="2"/>
  <c r="EW190" i="2"/>
  <c r="ED189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B192" i="2"/>
  <c r="HI192" i="2"/>
  <c r="HH192" i="2"/>
  <c r="EV192" i="2"/>
  <c r="EC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B193" i="2"/>
  <c r="EX193" i="2"/>
  <c r="FQ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ED193" i="2"/>
  <c r="EA194" i="2"/>
  <c r="EB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HI195" i="2"/>
  <c r="EY194" i="2"/>
  <c r="EA195" i="2"/>
  <c r="DH195" i="2"/>
  <c r="EB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EA197" i="2"/>
  <c r="EW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A199" i="2"/>
  <c r="EB199" i="2"/>
  <c r="HH199" i="2"/>
  <c r="EV199" i="2"/>
  <c r="FS199" i="2"/>
  <c r="EW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EA201" i="2"/>
  <c r="EB201" i="2"/>
  <c r="ED200" i="2"/>
  <c r="DI200" i="2"/>
  <c r="HH201" i="2"/>
  <c r="FS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FZ6" i="2"/>
  <c r="EX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51" i="2" a="1"/>
  <c r="GT51" i="2" s="1"/>
  <c r="GT147" i="2" a="1"/>
  <c r="GT147" i="2" s="1"/>
  <c r="GT102" i="2" a="1"/>
  <c r="GT102" i="2" s="1"/>
  <c r="GT11" i="2" a="1"/>
  <c r="GT11" i="2" s="1"/>
  <c r="EI142" i="2" a="1"/>
  <c r="EI142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" i="2" a="1"/>
  <c r="EI16" i="2" s="1"/>
  <c r="CS114" i="2" a="1"/>
  <c r="CS114" i="2" s="1"/>
  <c r="DN49" i="2" a="1"/>
  <c r="DN49" i="2" s="1"/>
  <c r="DN70" i="2" a="1"/>
  <c r="DN70" i="2" s="1"/>
  <c r="DN65" i="2" a="1"/>
  <c r="DN65" i="2" s="1"/>
  <c r="DN6" i="2" a="1"/>
  <c r="DN6" i="2" s="1"/>
  <c r="DO6" i="2" s="1"/>
  <c r="FD82" i="2" a="1"/>
  <c r="FD82" i="2" s="1"/>
  <c r="HJ202" i="2"/>
  <c r="AX200" i="2"/>
  <c r="EI113" i="2" l="1" a="1"/>
  <c r="EI113" i="2" s="1"/>
  <c r="EI57" i="2" a="1"/>
  <c r="EI57" i="2" s="1"/>
  <c r="EI37" i="2" a="1"/>
  <c r="EI37" i="2" s="1"/>
  <c r="EI139" i="2" a="1"/>
  <c r="EI139" i="2" s="1"/>
  <c r="EI36" i="2" a="1"/>
  <c r="EI36" i="2" s="1"/>
  <c r="EI198" i="2" a="1"/>
  <c r="EI198" i="2" s="1"/>
  <c r="EI128" i="2" a="1"/>
  <c r="EI128" i="2" s="1"/>
  <c r="EI35" i="2" a="1"/>
  <c r="EI35" i="2" s="1"/>
  <c r="EI87" i="2" a="1"/>
  <c r="EI87" i="2" s="1"/>
  <c r="EI71" i="2" a="1"/>
  <c r="EI71" i="2" s="1"/>
  <c r="EI67" i="2" a="1"/>
  <c r="EI67" i="2" s="1"/>
  <c r="EI170" i="2" a="1"/>
  <c r="EI170" i="2" s="1"/>
  <c r="DN41" i="2" a="1"/>
  <c r="DN41" i="2" s="1"/>
  <c r="EI109" i="2" a="1"/>
  <c r="EI109" i="2" s="1"/>
  <c r="EI38" i="2" a="1"/>
  <c r="EI38" i="2" s="1"/>
  <c r="EI20" i="2" a="1"/>
  <c r="EI20" i="2" s="1"/>
  <c r="EI34" i="2" a="1"/>
  <c r="EI34" i="2" s="1"/>
  <c r="EI165" i="2" a="1"/>
  <c r="EI165" i="2" s="1"/>
  <c r="DN43" i="2" a="1"/>
  <c r="DN43" i="2" s="1"/>
  <c r="DN192" i="2" a="1"/>
  <c r="DN192" i="2" s="1"/>
  <c r="BC47" i="2" a="1"/>
  <c r="BC47" i="2" s="1"/>
  <c r="FY173" i="2" a="1"/>
  <c r="FY173" i="2" s="1"/>
  <c r="FY66" i="2" a="1"/>
  <c r="FY66" i="2" s="1"/>
  <c r="FY165" i="2" a="1"/>
  <c r="FY165" i="2" s="1"/>
  <c r="FY109" i="2" a="1"/>
  <c r="FY109" i="2" s="1"/>
  <c r="DN150" i="2" a="1"/>
  <c r="DN150" i="2" s="1"/>
  <c r="DN164" i="2" a="1"/>
  <c r="DN164" i="2" s="1"/>
  <c r="DN45" i="2" a="1"/>
  <c r="DN45" i="2" s="1"/>
  <c r="DN132" i="2" a="1"/>
  <c r="DN132" i="2" s="1"/>
  <c r="BX107" i="2" a="1"/>
  <c r="BX107" i="2" s="1"/>
  <c r="AH199" i="2" a="1"/>
  <c r="AH199" i="2" s="1"/>
  <c r="AH19" i="2" a="1"/>
  <c r="AH19" i="2" s="1"/>
  <c r="DN55" i="2" a="1"/>
  <c r="DN55" i="2" s="1"/>
  <c r="DN155" i="2" a="1"/>
  <c r="DN155" i="2" s="1"/>
  <c r="DN133" i="2" a="1"/>
  <c r="DN133" i="2" s="1"/>
  <c r="DN162" i="2" a="1"/>
  <c r="DN162" i="2" s="1"/>
  <c r="CS116" i="2" a="1"/>
  <c r="CS116" i="2" s="1"/>
  <c r="DN29" i="2" a="1"/>
  <c r="DN29" i="2" s="1"/>
  <c r="EI166" i="2" a="1"/>
  <c r="EI166" i="2" s="1"/>
  <c r="GT122" i="2" a="1"/>
  <c r="GT122" i="2" s="1"/>
  <c r="DN110" i="2" a="1"/>
  <c r="DN110" i="2" s="1"/>
  <c r="DN30" i="2" a="1"/>
  <c r="DN30" i="2" s="1"/>
  <c r="DN38" i="2" a="1"/>
  <c r="DN38" i="2" s="1"/>
  <c r="DN31" i="2" a="1"/>
  <c r="DN31" i="2" s="1"/>
  <c r="CS77" i="2" a="1"/>
  <c r="CS77" i="2" s="1"/>
  <c r="DN170" i="2" a="1"/>
  <c r="DN170" i="2" s="1"/>
  <c r="EI178" i="2" a="1"/>
  <c r="EI178" i="2" s="1"/>
  <c r="GT33" i="2" a="1"/>
  <c r="GT33" i="2" s="1"/>
  <c r="DN115" i="2" a="1"/>
  <c r="DN115" i="2" s="1"/>
  <c r="DN46" i="2" a="1"/>
  <c r="DN46" i="2" s="1"/>
  <c r="DN153" i="2" a="1"/>
  <c r="DN153" i="2" s="1"/>
  <c r="DN176" i="2" a="1"/>
  <c r="DN176" i="2" s="1"/>
  <c r="DN167" i="2" a="1"/>
  <c r="DN167" i="2" s="1"/>
  <c r="DN80" i="2" a="1"/>
  <c r="DN80" i="2" s="1"/>
  <c r="DN114" i="2" a="1"/>
  <c r="DN114" i="2" s="1"/>
  <c r="DN129" i="2" a="1"/>
  <c r="DN129" i="2" s="1"/>
  <c r="EI145" i="2" a="1"/>
  <c r="EI145" i="2" s="1"/>
  <c r="GT133" i="2" a="1"/>
  <c r="GT133" i="2" s="1"/>
  <c r="DN135" i="2" a="1"/>
  <c r="DN135" i="2" s="1"/>
  <c r="DN187" i="2" a="1"/>
  <c r="DN187" i="2" s="1"/>
  <c r="DN190" i="2" a="1"/>
  <c r="DN190" i="2" s="1"/>
  <c r="DN16" i="2" a="1"/>
  <c r="DN16" i="2" s="1"/>
  <c r="DN168" i="2" a="1"/>
  <c r="DN168" i="2" s="1"/>
  <c r="DN63" i="2" a="1"/>
  <c r="DN63" i="2" s="1"/>
  <c r="EI195" i="2" a="1"/>
  <c r="EI195" i="2" s="1"/>
  <c r="DN152" i="2" a="1"/>
  <c r="DN152" i="2" s="1"/>
  <c r="EI153" i="2" a="1"/>
  <c r="EI153" i="2" s="1"/>
  <c r="GT121" i="2" a="1"/>
  <c r="GT121" i="2" s="1"/>
  <c r="CS56" i="2" a="1"/>
  <c r="CS56" i="2" s="1"/>
  <c r="AH62" i="2" a="1"/>
  <c r="AH62" i="2" s="1"/>
  <c r="DN123" i="2" a="1"/>
  <c r="DN123" i="2" s="1"/>
  <c r="DN177" i="2" a="1"/>
  <c r="DN177" i="2" s="1"/>
  <c r="DN184" i="2" a="1"/>
  <c r="DN184" i="2" s="1"/>
  <c r="DN124" i="2" a="1"/>
  <c r="DN124" i="2" s="1"/>
  <c r="EI106" i="2" a="1"/>
  <c r="EI106" i="2" s="1"/>
  <c r="GT115" i="2" a="1"/>
  <c r="GT115" i="2" s="1"/>
  <c r="AH92" i="2" a="1"/>
  <c r="AH92" i="2" s="1"/>
  <c r="CS105" i="2" a="1"/>
  <c r="CS105" i="2" s="1"/>
  <c r="DN103" i="2" a="1"/>
  <c r="DN103" i="2" s="1"/>
  <c r="DN66" i="2" a="1"/>
  <c r="DN66" i="2" s="1"/>
  <c r="DN50" i="2" a="1"/>
  <c r="DN50" i="2" s="1"/>
  <c r="DN186" i="2" a="1"/>
  <c r="DN186" i="2" s="1"/>
  <c r="EI162" i="2" a="1"/>
  <c r="EI162" i="2" s="1"/>
  <c r="GT68" i="2" a="1"/>
  <c r="GT68" i="2" s="1"/>
  <c r="CS134" i="2" a="1"/>
  <c r="CS134" i="2" s="1"/>
  <c r="CS185" i="2" a="1"/>
  <c r="CS185" i="2" s="1"/>
  <c r="CS161" i="2" a="1"/>
  <c r="CS161" i="2" s="1"/>
  <c r="AH151" i="2" a="1"/>
  <c r="AH151" i="2" s="1"/>
  <c r="DN188" i="2" a="1"/>
  <c r="DN188" i="2" s="1"/>
  <c r="DN113" i="2" a="1"/>
  <c r="DN113" i="2" s="1"/>
  <c r="DN137" i="2" a="1"/>
  <c r="DN137" i="2" s="1"/>
  <c r="EI150" i="2" a="1"/>
  <c r="EI150" i="2" s="1"/>
  <c r="GT181" i="2" a="1"/>
  <c r="GT181" i="2" s="1"/>
  <c r="CS72" i="2" a="1"/>
  <c r="CS72" i="2" s="1"/>
  <c r="CS38" i="2" a="1"/>
  <c r="CS38" i="2" s="1"/>
  <c r="CS24" i="2" a="1"/>
  <c r="CS24" i="2" s="1"/>
  <c r="CS120" i="2" a="1"/>
  <c r="CS120" i="2" s="1"/>
  <c r="AH163" i="2" a="1"/>
  <c r="AH163" i="2" s="1"/>
  <c r="CS137" i="2" a="1"/>
  <c r="CS137" i="2" s="1"/>
  <c r="DN86" i="2" a="1"/>
  <c r="DN86" i="2" s="1"/>
  <c r="DN25" i="2" a="1"/>
  <c r="DN25" i="2" s="1"/>
  <c r="CS129" i="2" a="1"/>
  <c r="CS129" i="2" s="1"/>
  <c r="EI29" i="2" a="1"/>
  <c r="EI29" i="2" s="1"/>
  <c r="GT152" i="2" a="1"/>
  <c r="GT152" i="2" s="1"/>
  <c r="GT184" i="2" a="1"/>
  <c r="GT184" i="2" s="1"/>
  <c r="DN56" i="2" a="1"/>
  <c r="DN56" i="2" s="1"/>
  <c r="HG203" i="2"/>
  <c r="FR203" i="2"/>
  <c r="AH166" i="2" a="1"/>
  <c r="AH166" i="2" s="1"/>
  <c r="CS52" i="2" a="1"/>
  <c r="CS52" i="2" s="1"/>
  <c r="BP203" i="2"/>
  <c r="HH203" i="2"/>
  <c r="AH90" i="2" a="1"/>
  <c r="AH90" i="2" s="1"/>
  <c r="CS66" i="2" a="1"/>
  <c r="CS6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CD39" i="2" l="1"/>
  <c r="CD60" i="2"/>
  <c r="CD65" i="2"/>
  <c r="CD34" i="2"/>
  <c r="CD25" i="2"/>
  <c r="CD133" i="2"/>
  <c r="CD98" i="2"/>
  <c r="CD185" i="2"/>
  <c r="CD91" i="2"/>
  <c r="CD36" i="2"/>
  <c r="CD152" i="2"/>
  <c r="CD136" i="2"/>
  <c r="CD71" i="2"/>
  <c r="CD90" i="2"/>
  <c r="CD201" i="2"/>
  <c r="CD172" i="2"/>
  <c r="CD73" i="2"/>
  <c r="CD128" i="2"/>
  <c r="CD102" i="2"/>
  <c r="CD156" i="2"/>
  <c r="CD67" i="2"/>
  <c r="CD7" i="2"/>
  <c r="CD22" i="2"/>
  <c r="CD44" i="2"/>
  <c r="CD72" i="2"/>
  <c r="CD17" i="2"/>
  <c r="CD161" i="2"/>
  <c r="CD157" i="2"/>
  <c r="CD82" i="2"/>
  <c r="CD122" i="2"/>
  <c r="CD41" i="2"/>
  <c r="CD186" i="2"/>
  <c r="CD108" i="2"/>
  <c r="CD139" i="2"/>
  <c r="CD184" i="2"/>
  <c r="CD84" i="2"/>
  <c r="CD124" i="2"/>
  <c r="CD23" i="2"/>
  <c r="CD113" i="2"/>
  <c r="CD180" i="2"/>
  <c r="CD77" i="2"/>
  <c r="CD95" i="2"/>
  <c r="CD120" i="2"/>
  <c r="CD100" i="2"/>
  <c r="CD165" i="2"/>
  <c r="CD175" i="2"/>
  <c r="CD131" i="2"/>
  <c r="CD69" i="2"/>
  <c r="CD68" i="2"/>
  <c r="CD21" i="2"/>
  <c r="CD117" i="2"/>
  <c r="CD190" i="2"/>
  <c r="CD87" i="2"/>
  <c r="CD19" i="2"/>
  <c r="CD195" i="2"/>
  <c r="CD202" i="2"/>
  <c r="CD29" i="2"/>
  <c r="CD94" i="2"/>
  <c r="CD47" i="2"/>
  <c r="CD200" i="2"/>
  <c r="CD5" i="2"/>
  <c r="CD50" i="2"/>
  <c r="CD123" i="2"/>
  <c r="CD56" i="2"/>
  <c r="CD177" i="2"/>
  <c r="CD10" i="2"/>
  <c r="CD59" i="2"/>
  <c r="CD105" i="2"/>
  <c r="CD20" i="2"/>
  <c r="CD114" i="2"/>
  <c r="CD97" i="2"/>
  <c r="CD129" i="2"/>
  <c r="CD143" i="2"/>
  <c r="CD112" i="2"/>
  <c r="CD198" i="2"/>
  <c r="CD132" i="2"/>
  <c r="CD164" i="2"/>
  <c r="CD11" i="2"/>
  <c r="CD48" i="2"/>
  <c r="CD110" i="2"/>
  <c r="CD191" i="2"/>
  <c r="CD183" i="2"/>
  <c r="CD63" i="2"/>
  <c r="CD107" i="2"/>
  <c r="CD86" i="2"/>
  <c r="CD150" i="2"/>
  <c r="CD32" i="2"/>
  <c r="CD42" i="2"/>
  <c r="CD176" i="2"/>
  <c r="CD92" i="2"/>
  <c r="CD104" i="2"/>
  <c r="CD141" i="2"/>
  <c r="CD119" i="2"/>
  <c r="CD99" i="2"/>
  <c r="CD159" i="2"/>
  <c r="CD196" i="2"/>
  <c r="CD101" i="2"/>
  <c r="CD18" i="2"/>
  <c r="CD37" i="2"/>
  <c r="CD192" i="2"/>
  <c r="CD188" i="2"/>
  <c r="CD35" i="2"/>
  <c r="CD76" i="2"/>
  <c r="CD109" i="2"/>
  <c r="CD38" i="2"/>
  <c r="CD64" i="2"/>
  <c r="CD103" i="2"/>
  <c r="CD193" i="2"/>
  <c r="CD88" i="2"/>
  <c r="CD197" i="2"/>
  <c r="CD33" i="2"/>
  <c r="CD58" i="2"/>
  <c r="CD62" i="2"/>
  <c r="CD181" i="2"/>
  <c r="CD53" i="2"/>
  <c r="CD31" i="2"/>
  <c r="CD187" i="2"/>
  <c r="CD46" i="2"/>
  <c r="CD49" i="2"/>
  <c r="CD16" i="2"/>
  <c r="CD55" i="2"/>
  <c r="CD96" i="2"/>
  <c r="CD111" i="2"/>
  <c r="CD171" i="2"/>
  <c r="CD168" i="2"/>
  <c r="CD85" i="2"/>
  <c r="CD148" i="2"/>
  <c r="CD158" i="2"/>
  <c r="CD81" i="2"/>
  <c r="CD173" i="2"/>
  <c r="CD170" i="2"/>
  <c r="CD203" i="2"/>
  <c r="CD51" i="2"/>
  <c r="CD189" i="2"/>
  <c r="CD135" i="2"/>
  <c r="CD4" i="2"/>
  <c r="CD146" i="2"/>
  <c r="CD151" i="2"/>
  <c r="CD43" i="2"/>
  <c r="CD194" i="2"/>
  <c r="CD166" i="2"/>
  <c r="CD149" i="2"/>
  <c r="CD169" i="2"/>
  <c r="CD134" i="2"/>
  <c r="CD115" i="2"/>
  <c r="CD79" i="2"/>
  <c r="CD75" i="2"/>
  <c r="CD52" i="2"/>
  <c r="CD13" i="2"/>
  <c r="CD162" i="2"/>
  <c r="CD178" i="2"/>
  <c r="CD140" i="2"/>
  <c r="CD8" i="2"/>
  <c r="CD147" i="2"/>
  <c r="CD182" i="2"/>
  <c r="CD15" i="2"/>
  <c r="CD145" i="2"/>
  <c r="CD14" i="2"/>
  <c r="CD24" i="2"/>
  <c r="CD144" i="2"/>
  <c r="CD83" i="2"/>
  <c r="CD106" i="2"/>
  <c r="CD66" i="2"/>
  <c r="CD57" i="2"/>
  <c r="CD160" i="2"/>
  <c r="CD155" i="2"/>
  <c r="CD89" i="2"/>
  <c r="CD70" i="2"/>
  <c r="CD125" i="2"/>
  <c r="CD40" i="2"/>
  <c r="CD138" i="2"/>
  <c r="CD167" i="2"/>
  <c r="CD27" i="2"/>
  <c r="CD153" i="2"/>
  <c r="CD74" i="2"/>
  <c r="CD116" i="2"/>
  <c r="CD3" i="2"/>
  <c r="C9" i="4" s="1"/>
  <c r="E9" i="4" s="1"/>
  <c r="F9" i="4" s="1"/>
  <c r="G9" i="4" s="1"/>
  <c r="L9" i="4" s="1"/>
  <c r="CD174" i="2"/>
  <c r="CD61" i="2"/>
  <c r="CD93" i="2"/>
  <c r="CD126" i="2"/>
  <c r="CD163" i="2"/>
  <c r="CD45" i="2"/>
  <c r="CD28" i="2"/>
  <c r="CD26" i="2"/>
  <c r="CD199" i="2"/>
  <c r="CD130" i="2"/>
  <c r="CD9" i="2"/>
  <c r="CD30" i="2"/>
  <c r="CD179" i="2"/>
  <c r="CD6" i="2"/>
  <c r="CD154" i="2"/>
  <c r="CD80" i="2"/>
  <c r="CD12" i="2"/>
  <c r="CD127" i="2"/>
  <c r="CD118" i="2"/>
  <c r="CD54" i="2"/>
  <c r="CD121" i="2"/>
  <c r="CD142" i="2"/>
  <c r="CD78" i="2"/>
  <c r="CD137" i="2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I71" i="2" l="1"/>
  <c r="BI197" i="2"/>
  <c r="BI20" i="2"/>
  <c r="BI152" i="2"/>
  <c r="BI16" i="2"/>
  <c r="BI37" i="2"/>
  <c r="BI184" i="2"/>
  <c r="BI49" i="2"/>
  <c r="BI175" i="2"/>
  <c r="BI56" i="2"/>
  <c r="BI47" i="2"/>
  <c r="BI68" i="2"/>
  <c r="BI139" i="2"/>
  <c r="BI189" i="2"/>
  <c r="BI172" i="2"/>
  <c r="BI35" i="2"/>
  <c r="BI12" i="2"/>
  <c r="BI64" i="2"/>
  <c r="BI38" i="2"/>
  <c r="BI65" i="2"/>
  <c r="BI57" i="2"/>
  <c r="BI93" i="2"/>
  <c r="BI90" i="2"/>
  <c r="BI144" i="2"/>
  <c r="BI27" i="2"/>
  <c r="BI127" i="2"/>
  <c r="BI102" i="2"/>
  <c r="BI201" i="2"/>
  <c r="BI188" i="2"/>
  <c r="BI105" i="2"/>
  <c r="BI124" i="2"/>
  <c r="BI6" i="2"/>
  <c r="BI110" i="2"/>
  <c r="BI46" i="2"/>
  <c r="BI92" i="2"/>
  <c r="BI157" i="2"/>
  <c r="BI132" i="2"/>
  <c r="BI147" i="2"/>
  <c r="BI100" i="2"/>
  <c r="BI136" i="2"/>
  <c r="BI180" i="2"/>
  <c r="BI185" i="2"/>
  <c r="BI191" i="2"/>
  <c r="BI74" i="2"/>
  <c r="BI22" i="2"/>
  <c r="BI150" i="2"/>
  <c r="BI9" i="2"/>
  <c r="BI138" i="2"/>
  <c r="BI58" i="2"/>
  <c r="BI146" i="2"/>
  <c r="BI34" i="2"/>
  <c r="BI36" i="2"/>
  <c r="BI195" i="2"/>
  <c r="BI7" i="2"/>
  <c r="BI85" i="2"/>
  <c r="BI98" i="2"/>
  <c r="BI45" i="2"/>
  <c r="BI141" i="2"/>
  <c r="BI109" i="2"/>
  <c r="BI13" i="2"/>
  <c r="BI171" i="2"/>
  <c r="BI48" i="2"/>
  <c r="BI39" i="2"/>
  <c r="BI18" i="2"/>
  <c r="BI183" i="2"/>
  <c r="BI174" i="2"/>
  <c r="BI135" i="2"/>
  <c r="BI66" i="2"/>
  <c r="BI42" i="2"/>
  <c r="BI196" i="2"/>
  <c r="BI96" i="2"/>
  <c r="BI89" i="2"/>
  <c r="BI15" i="2"/>
  <c r="BI26" i="2"/>
  <c r="BI104" i="2"/>
  <c r="BI41" i="2"/>
  <c r="BI5" i="2"/>
  <c r="BI148" i="2"/>
  <c r="BI25" i="2"/>
  <c r="BI164" i="2"/>
  <c r="BI122" i="2"/>
  <c r="BI84" i="2"/>
  <c r="BI40" i="2"/>
  <c r="BI186" i="2"/>
  <c r="BI181" i="2"/>
  <c r="BI81" i="2"/>
  <c r="BI198" i="2"/>
  <c r="BI167" i="2"/>
  <c r="BI8" i="2"/>
  <c r="BI101" i="2"/>
  <c r="BI76" i="2"/>
  <c r="BI31" i="2"/>
  <c r="BI59" i="2"/>
  <c r="BI62" i="2"/>
  <c r="BI106" i="2"/>
  <c r="BI83" i="2"/>
  <c r="BI162" i="2"/>
  <c r="BI107" i="2"/>
  <c r="BI103" i="2"/>
  <c r="BI19" i="2"/>
  <c r="BI163" i="2"/>
  <c r="BI200" i="2"/>
  <c r="BI50" i="2"/>
  <c r="BI192" i="2"/>
  <c r="BI143" i="2"/>
  <c r="BI114" i="2"/>
  <c r="BI67" i="2"/>
  <c r="BI53" i="2"/>
  <c r="BI111" i="2"/>
  <c r="BI120" i="2"/>
  <c r="BI44" i="2"/>
  <c r="BI199" i="2"/>
  <c r="BI161" i="2"/>
  <c r="BI155" i="2"/>
  <c r="BI28" i="2"/>
  <c r="BI95" i="2"/>
  <c r="BI63" i="2"/>
  <c r="BI82" i="2"/>
  <c r="BI202" i="2"/>
  <c r="BI60" i="2"/>
  <c r="BI10" i="2"/>
  <c r="BI75" i="2"/>
  <c r="BI61" i="2"/>
  <c r="BI99" i="2"/>
  <c r="BI117" i="2"/>
  <c r="BI153" i="2"/>
  <c r="BI203" i="2"/>
  <c r="BI121" i="2"/>
  <c r="BI94" i="2"/>
  <c r="BI151" i="2"/>
  <c r="BI113" i="2"/>
  <c r="BI112" i="2"/>
  <c r="BI21" i="2"/>
  <c r="BI168" i="2"/>
  <c r="BI79" i="2"/>
  <c r="BI29" i="2"/>
  <c r="BI159" i="2"/>
  <c r="BI118" i="2"/>
  <c r="BI97" i="2"/>
  <c r="BI70" i="2"/>
  <c r="BI32" i="2"/>
  <c r="BI166" i="2"/>
  <c r="BI43" i="2"/>
  <c r="BI80" i="2"/>
  <c r="BI54" i="2"/>
  <c r="BI158" i="2"/>
  <c r="BI11" i="2"/>
  <c r="BI51" i="2"/>
  <c r="BI131" i="2"/>
  <c r="BI108" i="2"/>
  <c r="BI3" i="2"/>
  <c r="C8" i="4" s="1"/>
  <c r="E8" i="4" s="1"/>
  <c r="F8" i="4" s="1"/>
  <c r="G8" i="4" s="1"/>
  <c r="L8" i="4" s="1"/>
  <c r="BI179" i="2"/>
  <c r="BI115" i="2"/>
  <c r="BI73" i="2"/>
  <c r="BI194" i="2"/>
  <c r="BI23" i="2"/>
  <c r="BI190" i="2"/>
  <c r="BI133" i="2"/>
  <c r="BI126" i="2"/>
  <c r="BI134" i="2"/>
  <c r="BI145" i="2"/>
  <c r="BI178" i="2"/>
  <c r="BI165" i="2"/>
  <c r="BI187" i="2"/>
  <c r="BI128" i="2"/>
  <c r="BI116" i="2"/>
  <c r="BI170" i="2"/>
  <c r="BI4" i="2"/>
  <c r="BI30" i="2"/>
  <c r="BI137" i="2"/>
  <c r="BI78" i="2"/>
  <c r="BI69" i="2"/>
  <c r="BI86" i="2"/>
  <c r="BI72" i="2"/>
  <c r="BI140" i="2"/>
  <c r="BI87" i="2"/>
  <c r="BI177" i="2"/>
  <c r="BI24" i="2"/>
  <c r="BI52" i="2"/>
  <c r="BI176" i="2"/>
  <c r="BI91" i="2"/>
  <c r="BI149" i="2"/>
  <c r="BI182" i="2"/>
  <c r="BI88" i="2"/>
  <c r="BI119" i="2"/>
  <c r="BI17" i="2"/>
  <c r="BI142" i="2"/>
  <c r="BI129" i="2"/>
  <c r="BI14" i="2"/>
  <c r="BI77" i="2"/>
  <c r="BI123" i="2"/>
  <c r="BI33" i="2"/>
  <c r="BI55" i="2"/>
  <c r="BI154" i="2"/>
  <c r="BI160" i="2"/>
  <c r="BI173" i="2"/>
  <c r="BI125" i="2"/>
  <c r="BI130" i="2"/>
  <c r="BI169" i="2"/>
  <c r="BI193" i="2"/>
  <c r="BI156" i="2"/>
  <c r="BF130" i="2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<sst xmlns="http://schemas.openxmlformats.org/spreadsheetml/2006/main" count="1141" uniqueCount="325">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</sst>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 tint="-0.24997711111789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99"/>
        <bgColor rgb="FF000000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36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" xfId="3" applyBorder="1" applyProtection="1">
      <protection locked="0"/>
    </xf>
    <xf numFmtId="0" fontId="4" fillId="0" borderId="0" xfId="3" applyProtection="1">
      <protection locked="0"/>
    </xf>
    <xf numFmtId="0" fontId="4" fillId="0" borderId="1" xfId="3" applyBorder="1" applyAlignment="1" applyProtection="1">
      <alignment horizontal="center"/>
      <protection locked="0"/>
    </xf>
    <xf numFmtId="9" fontId="33" fillId="21" borderId="1" xfId="4" applyFont="1" applyFill="1" applyBorder="1" applyAlignment="1" applyProtection="1">
      <alignment horizontal="center"/>
      <protection locked="0" hidden="1"/>
    </xf>
    <xf numFmtId="0" fontId="33" fillId="21" borderId="1" xfId="3" applyFont="1" applyFill="1" applyBorder="1" applyAlignment="1" applyProtection="1">
      <alignment horizontal="center"/>
      <protection locked="0"/>
    </xf>
    <xf numFmtId="0" fontId="3" fillId="22" borderId="54" xfId="0" applyFont="1" applyFill="1" applyBorder="1" applyAlignment="1" applyProtection="1">
      <alignment horizontal="center"/>
      <protection locked="0"/>
    </xf>
    <xf numFmtId="9" fontId="3" fillId="22" borderId="54" xfId="0" applyNumberFormat="1" applyFont="1" applyFill="1" applyBorder="1" applyAlignment="1" applyProtection="1">
      <alignment horizontal="center"/>
      <protection locked="0"/>
    </xf>
    <xf numFmtId="0" fontId="33" fillId="21" borderId="1" xfId="3" applyFont="1" applyFill="1" applyBorder="1" applyAlignment="1" applyProtection="1">
      <alignment horizontal="center"/>
      <protection locked="0" hidden="1"/>
    </xf>
    <xf numFmtId="168" fontId="35" fillId="23" borderId="1" xfId="0" applyNumberFormat="1" applyFont="1" applyFill="1" applyBorder="1" applyAlignment="1" applyProtection="1">
      <alignment horizontal="center"/>
      <protection locked="0"/>
    </xf>
    <xf numFmtId="168" fontId="35" fillId="23" borderId="10" xfId="0" applyNumberFormat="1" applyFont="1" applyFill="1" applyBorder="1" applyAlignment="1" applyProtection="1">
      <alignment horizontal="center"/>
      <protection locked="0"/>
    </xf>
    <xf numFmtId="168" fontId="32" fillId="22" borderId="54" xfId="0" applyNumberFormat="1" applyFont="1" applyFill="1" applyBorder="1" applyAlignment="1" applyProtection="1">
      <alignment horizontal="center"/>
      <protection locked="0"/>
    </xf>
    <xf numFmtId="168" fontId="4" fillId="14" borderId="1" xfId="5" quotePrefix="1" applyNumberFormat="1" applyFill="1" applyBorder="1" applyAlignment="1" applyProtection="1">
      <alignment horizontal="center"/>
      <protection locked="0"/>
    </xf>
    <xf numFmtId="168" fontId="32" fillId="22" borderId="54" xfId="0" quotePrefix="1" applyNumberFormat="1" applyFont="1" applyFill="1" applyBorder="1" applyAlignment="1" applyProtection="1">
      <alignment horizontal="center"/>
      <protection locked="0"/>
    </xf>
    <xf numFmtId="168" fontId="34" fillId="23" borderId="10" xfId="0" applyNumberFormat="1" applyFont="1" applyFill="1" applyBorder="1" applyAlignment="1" applyProtection="1">
      <alignment horizontal="center"/>
      <protection locked="0"/>
    </xf>
    <xf numFmtId="168" fontId="34" fillId="23" borderId="1" xfId="0" applyNumberFormat="1" applyFont="1" applyFill="1" applyBorder="1" applyAlignment="1" applyProtection="1">
      <alignment horizontal="center"/>
      <protection locked="0"/>
    </xf>
    <xf numFmtId="168" fontId="34" fillId="23" borderId="1" xfId="0" applyNumberFormat="1" applyFont="1" applyFill="1" applyBorder="1" applyAlignment="1" applyProtection="1">
      <alignment horizontal="center" vertical="center"/>
      <protection locked="0"/>
    </xf>
    <xf numFmtId="168" fontId="36" fillId="23" borderId="1" xfId="0" applyNumberFormat="1" applyFont="1" applyFill="1" applyBorder="1" applyAlignment="1" applyProtection="1">
      <alignment horizontal="center" vertical="center"/>
      <protection locked="0"/>
    </xf>
    <xf numFmtId="168" fontId="36" fillId="23" borderId="10" xfId="0" applyNumberFormat="1" applyFont="1" applyFill="1" applyBorder="1" applyAlignment="1" applyProtection="1">
      <alignment horizontal="center" vertical="center"/>
      <protection locked="0"/>
    </xf>
    <xf numFmtId="0" fontId="33" fillId="0" borderId="1" xfId="3" applyFont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" fontId="4" fillId="0" borderId="1" xfId="3" applyNumberFormat="1" applyBorder="1" applyProtection="1">
      <protection locked="0"/>
    </xf>
  </cellXfs>
  <cellStyles count="6">
    <cellStyle name="Lien hypertexte" xfId="2" builtinId="8"/>
    <cellStyle name="Normal" xfId="0" builtinId="0"/>
    <cellStyle name="Normal 2" xfId="3" xr:uid="{E3397C04-78BB-2943-9782-356F745AA1F1}"/>
    <cellStyle name="Normal 2 2" xfId="5" xr:uid="{D97B1144-70CE-0B4C-AD50-CA925A6C251E}"/>
    <cellStyle name="Pourcentage" xfId="1" builtinId="5"/>
    <cellStyle name="Pourcentage 2" xfId="4" xr:uid="{BCE9D96C-FEA2-7041-9597-B63162181B8D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2.3195308788483069</c:v>
                </c:pt>
                <c:pt idx="2">
                  <c:v>3.3309210927115536</c:v>
                </c:pt>
                <c:pt idx="3">
                  <c:v>4.7852604496272226</c:v>
                </c:pt>
                <c:pt idx="4">
                  <c:v>6.8773456997214977</c:v>
                </c:pt>
                <c:pt idx="5">
                  <c:v>9.8879684910214678</c:v>
                </c:pt>
                <c:pt idx="6">
                  <c:v>14.222012723470151</c:v>
                </c:pt>
                <c:pt idx="7">
                  <c:v>20.463484231007627</c:v>
                </c:pt>
                <c:pt idx="8">
                  <c:v>29.455020409573823</c:v>
                </c:pt>
                <c:pt idx="9">
                  <c:v>42.412800679320334</c:v>
                </c:pt>
                <c:pt idx="10">
                  <c:v>61.092663145489801</c:v>
                </c:pt>
                <c:pt idx="11">
                  <c:v>88.030306954348404</c:v>
                </c:pt>
                <c:pt idx="12">
                  <c:v>126.88870724182897</c:v>
                </c:pt>
                <c:pt idx="13">
                  <c:v>158.59643589681264</c:v>
                </c:pt>
                <c:pt idx="14">
                  <c:v>190.15326750496195</c:v>
                </c:pt>
                <c:pt idx="15">
                  <c:v>221.58784188240861</c:v>
                </c:pt>
                <c:pt idx="16">
                  <c:v>252.91996217516211</c:v>
                </c:pt>
                <c:pt idx="17">
                  <c:v>284.16410766717729</c:v>
                </c:pt>
                <c:pt idx="18">
                  <c:v>315.33130749063565</c:v>
                </c:pt>
                <c:pt idx="19">
                  <c:v>346.8210083291662</c:v>
                </c:pt>
                <c:pt idx="20">
                  <c:v>378.2479440258075</c:v>
                </c:pt>
                <c:pt idx="21">
                  <c:v>409.61805655279818</c:v>
                </c:pt>
                <c:pt idx="22">
                  <c:v>440.93630389858055</c:v>
                </c:pt>
                <c:pt idx="23">
                  <c:v>472.20688277870948</c:v>
                </c:pt>
                <c:pt idx="24">
                  <c:v>503.43338922812495</c:v>
                </c:pt>
                <c:pt idx="25">
                  <c:v>534.42535884830988</c:v>
                </c:pt>
                <c:pt idx="26">
                  <c:v>565.37954975570165</c:v>
                </c:pt>
                <c:pt idx="27">
                  <c:v>596.29831795862242</c:v>
                </c:pt>
                <c:pt idx="28">
                  <c:v>627.18375554773968</c:v>
                </c:pt>
                <c:pt idx="29">
                  <c:v>658.03773205683137</c:v>
                </c:pt>
                <c:pt idx="30">
                  <c:v>688.86192766861484</c:v>
                </c:pt>
                <c:pt idx="31">
                  <c:v>593.01481604560411</c:v>
                </c:pt>
                <c:pt idx="32">
                  <c:v>621.00924182501899</c:v>
                </c:pt>
                <c:pt idx="33">
                  <c:v>648.97753749128674</c:v>
                </c:pt>
                <c:pt idx="34">
                  <c:v>676.92098589207239</c:v>
                </c:pt>
                <c:pt idx="35">
                  <c:v>704.84075547732664</c:v>
                </c:pt>
                <c:pt idx="36">
                  <c:v>732.73791471720131</c:v>
                </c:pt>
                <c:pt idx="37">
                  <c:v>616.95652674795292</c:v>
                </c:pt>
                <c:pt idx="38">
                  <c:v>638.75758951239038</c:v>
                </c:pt>
                <c:pt idx="39">
                  <c:v>660.54328809842752</c:v>
                </c:pt>
                <c:pt idx="40">
                  <c:v>682.31420000125399</c:v>
                </c:pt>
                <c:pt idx="41">
                  <c:v>704.07086290016071</c:v>
                </c:pt>
                <c:pt idx="42">
                  <c:v>725.8137785738445</c:v>
                </c:pt>
                <c:pt idx="43">
                  <c:v>606.3396463849092</c:v>
                </c:pt>
                <c:pt idx="44">
                  <c:v>626.79788543761174</c:v>
                </c:pt>
                <c:pt idx="45">
                  <c:v>647.2423101874316</c:v>
                </c:pt>
                <c:pt idx="46">
                  <c:v>667.67341797427559</c:v>
                </c:pt>
                <c:pt idx="47">
                  <c:v>688.09167325000988</c:v>
                </c:pt>
                <c:pt idx="48">
                  <c:v>708.49751068429703</c:v>
                </c:pt>
                <c:pt idx="49">
                  <c:v>584.70779293898988</c:v>
                </c:pt>
                <c:pt idx="50">
                  <c:v>603.25037761141357</c:v>
                </c:pt>
                <c:pt idx="51">
                  <c:v>621.78112531404122</c:v>
                </c:pt>
                <c:pt idx="52">
                  <c:v>640.30043819619732</c:v>
                </c:pt>
                <c:pt idx="53">
                  <c:v>658.80869326795812</c:v>
                </c:pt>
                <c:pt idx="54">
                  <c:v>677.30624464810035</c:v>
                </c:pt>
                <c:pt idx="55">
                  <c:v>554.9365819824967</c:v>
                </c:pt>
                <c:pt idx="56">
                  <c:v>570.40620187162915</c:v>
                </c:pt>
                <c:pt idx="57">
                  <c:v>585.8670592528199</c:v>
                </c:pt>
                <c:pt idx="58">
                  <c:v>601.3194178106869</c:v>
                </c:pt>
                <c:pt idx="59">
                  <c:v>616.76352658061978</c:v>
                </c:pt>
                <c:pt idx="60">
                  <c:v>632.19962111664347</c:v>
                </c:pt>
                <c:pt idx="61">
                  <c:v>517.77203310252082</c:v>
                </c:pt>
                <c:pt idx="62">
                  <c:v>533.26385741136892</c:v>
                </c:pt>
                <c:pt idx="63">
                  <c:v>548.74621845390368</c:v>
                </c:pt>
                <c:pt idx="64">
                  <c:v>564.21942070439366</c:v>
                </c:pt>
                <c:pt idx="65">
                  <c:v>579.68375058398738</c:v>
                </c:pt>
                <c:pt idx="66">
                  <c:v>595.13947799413006</c:v>
                </c:pt>
                <c:pt idx="67">
                  <c:v>482.10312166213231</c:v>
                </c:pt>
                <c:pt idx="68">
                  <c:v>495.67918858913134</c:v>
                </c:pt>
                <c:pt idx="69">
                  <c:v>509.24737939490433</c:v>
                </c:pt>
                <c:pt idx="70">
                  <c:v>522.80793344154222</c:v>
                </c:pt>
                <c:pt idx="71">
                  <c:v>536.36107666473083</c:v>
                </c:pt>
                <c:pt idx="72">
                  <c:v>549.90702265420009</c:v>
                </c:pt>
                <c:pt idx="73">
                  <c:v>444.82336233990912</c:v>
                </c:pt>
                <c:pt idx="74">
                  <c:v>457.25709576545131</c:v>
                </c:pt>
                <c:pt idx="75">
                  <c:v>469.68360956734097</c:v>
                </c:pt>
                <c:pt idx="76">
                  <c:v>482.10312166213225</c:v>
                </c:pt>
                <c:pt idx="77">
                  <c:v>494.51583782396489</c:v>
                </c:pt>
                <c:pt idx="78">
                  <c:v>506.92195265537447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4.5072748004691539</c:v>
                </c:pt>
                <c:pt idx="2">
                  <c:v>8.8044025208429719</c:v>
                </c:pt>
                <c:pt idx="3">
                  <c:v>13.033663283069531</c:v>
                </c:pt>
                <c:pt idx="4">
                  <c:v>17.221089273204196</c:v>
                </c:pt>
                <c:pt idx="5">
                  <c:v>21.378479131358745</c:v>
                </c:pt>
                <c:pt idx="6">
                  <c:v>25.512563294459923</c:v>
                </c:pt>
                <c:pt idx="7">
                  <c:v>29.627680614958262</c:v>
                </c:pt>
                <c:pt idx="8">
                  <c:v>33.726853274883347</c:v>
                </c:pt>
                <c:pt idx="9">
                  <c:v>37.812302616472174</c:v>
                </c:pt>
                <c:pt idx="10">
                  <c:v>41.885727391390851</c:v>
                </c:pt>
                <c:pt idx="11">
                  <c:v>45.948466940528562</c:v>
                </c:pt>
                <c:pt idx="12">
                  <c:v>50.00160312094232</c:v>
                </c:pt>
                <c:pt idx="13">
                  <c:v>54.046027198170684</c:v>
                </c:pt>
                <c:pt idx="14">
                  <c:v>58.082485530805052</c:v>
                </c:pt>
                <c:pt idx="15">
                  <c:v>62.111611813038422</c:v>
                </c:pt>
                <c:pt idx="16">
                  <c:v>66.133950466370564</c:v>
                </c:pt>
                <c:pt idx="17">
                  <c:v>70.149974013263474</c:v>
                </c:pt>
                <c:pt idx="18">
                  <c:v>74.160096244932106</c:v>
                </c:pt>
                <c:pt idx="19">
                  <c:v>78.164682379068338</c:v>
                </c:pt>
                <c:pt idx="20">
                  <c:v>82.164057018091427</c:v>
                </c:pt>
                <c:pt idx="21">
                  <c:v>86.158510470515978</c:v>
                </c:pt>
                <c:pt idx="22">
                  <c:v>90.148303834134651</c:v>
                </c:pt>
                <c:pt idx="23">
                  <c:v>94.133673128860323</c:v>
                </c:pt>
                <c:pt idx="24">
                  <c:v>98.114832690532054</c:v>
                </c:pt>
                <c:pt idx="25">
                  <c:v>102.09197798314808</c:v>
                </c:pt>
                <c:pt idx="26">
                  <c:v>106.06528794847596</c:v>
                </c:pt>
                <c:pt idx="27">
                  <c:v>110.03492698401654</c:v>
                </c:pt>
                <c:pt idx="28">
                  <c:v>114.0010466196989</c:v>
                </c:pt>
                <c:pt idx="29">
                  <c:v>117.96378694831624</c:v>
                </c:pt>
                <c:pt idx="30">
                  <c:v>121.9232778531174</c:v>
                </c:pt>
                <c:pt idx="31">
                  <c:v>125.87964006712117</c:v>
                </c:pt>
                <c:pt idx="32">
                  <c:v>129.83298609190561</c:v>
                </c:pt>
                <c:pt idx="33">
                  <c:v>133.78342099832221</c:v>
                </c:pt>
                <c:pt idx="34">
                  <c:v>137.73104312742694</c:v>
                </c:pt>
                <c:pt idx="35">
                  <c:v>141.67594470663133</c:v>
                </c:pt>
                <c:pt idx="36">
                  <c:v>145.61821239345747</c:v>
                </c:pt>
                <c:pt idx="37">
                  <c:v>149.55792775717688</c:v>
                </c:pt>
                <c:pt idx="38">
                  <c:v>153.49516770691636</c:v>
                </c:pt>
                <c:pt idx="39">
                  <c:v>157.43000487343213</c:v>
                </c:pt>
                <c:pt idx="40">
                  <c:v>161.362507950626</c:v>
                </c:pt>
                <c:pt idx="41">
                  <c:v>165.29274200194843</c:v>
                </c:pt>
                <c:pt idx="42">
                  <c:v>169.22076873606747</c:v>
                </c:pt>
                <c:pt idx="43">
                  <c:v>173.14664675554295</c:v>
                </c:pt>
                <c:pt idx="44">
                  <c:v>177.07043178171759</c:v>
                </c:pt>
                <c:pt idx="45">
                  <c:v>180.99217685858619</c:v>
                </c:pt>
                <c:pt idx="46">
                  <c:v>184.91193253803269</c:v>
                </c:pt>
                <c:pt idx="47">
                  <c:v>188.82974704850497</c:v>
                </c:pt>
                <c:pt idx="48">
                  <c:v>192.74566644892982</c:v>
                </c:pt>
                <c:pt idx="49">
                  <c:v>196.65973476943884</c:v>
                </c:pt>
                <c:pt idx="50">
                  <c:v>200.57199414028256</c:v>
                </c:pt>
                <c:pt idx="51">
                  <c:v>204.48248491014036</c:v>
                </c:pt>
                <c:pt idx="52">
                  <c:v>208.39124575488827</c:v>
                </c:pt>
                <c:pt idx="53">
                  <c:v>212.29831377776432</c:v>
                </c:pt>
                <c:pt idx="54">
                  <c:v>216.20372460175972</c:v>
                </c:pt>
                <c:pt idx="55">
                  <c:v>220.10751245497329</c:v>
                </c:pt>
                <c:pt idx="56">
                  <c:v>224.00971024958213</c:v>
                </c:pt>
                <c:pt idx="57">
                  <c:v>169.22076873606747</c:v>
                </c:pt>
                <c:pt idx="58">
                  <c:v>179.03155609796639</c:v>
                </c:pt>
                <c:pt idx="59">
                  <c:v>188.82974704850497</c:v>
                </c:pt>
                <c:pt idx="60">
                  <c:v>198.6160880113396</c:v>
                </c:pt>
                <c:pt idx="61">
                  <c:v>208.39124575488827</c:v>
                </c:pt>
                <c:pt idx="62">
                  <c:v>218.15581931274573</c:v>
                </c:pt>
                <c:pt idx="63">
                  <c:v>227.91034965501251</c:v>
                </c:pt>
                <c:pt idx="64">
                  <c:v>237.65532761500836</c:v>
                </c:pt>
                <c:pt idx="65">
                  <c:v>179.27666110179848</c:v>
                </c:pt>
                <c:pt idx="66">
                  <c:v>187.36079111848406</c:v>
                </c:pt>
                <c:pt idx="67">
                  <c:v>195.43678468367617</c:v>
                </c:pt>
                <c:pt idx="68">
                  <c:v>203.5050258813136</c:v>
                </c:pt>
                <c:pt idx="69">
                  <c:v>211.56586580995395</c:v>
                </c:pt>
                <c:pt idx="70">
                  <c:v>219.61962659237349</c:v>
                </c:pt>
                <c:pt idx="71">
                  <c:v>227.6666047654077</c:v>
                </c:pt>
                <c:pt idx="72">
                  <c:v>235.70707416481403</c:v>
                </c:pt>
                <c:pt idx="73">
                  <c:v>187.95928696563521</c:v>
                </c:pt>
                <c:pt idx="74">
                  <c:v>194.92037463817258</c:v>
                </c:pt>
                <c:pt idx="75">
                  <c:v>201.87568563144623</c:v>
                </c:pt>
                <c:pt idx="76">
                  <c:v>208.82544735623617</c:v>
                </c:pt>
                <c:pt idx="77">
                  <c:v>215.76987082685102</c:v>
                </c:pt>
                <c:pt idx="78">
                  <c:v>222.70915234485017</c:v>
                </c:pt>
                <c:pt idx="79">
                  <c:v>229.64347496163623</c:v>
                </c:pt>
                <c:pt idx="80">
                  <c:v>236.57300975490637</c:v>
                </c:pt>
                <c:pt idx="81">
                  <c:v>243.49791694752579</c:v>
                </c:pt>
                <c:pt idx="82">
                  <c:v>199.0507722798524</c:v>
                </c:pt>
                <c:pt idx="83">
                  <c:v>205.35124660062152</c:v>
                </c:pt>
                <c:pt idx="84">
                  <c:v>211.64725180154133</c:v>
                </c:pt>
                <c:pt idx="85">
                  <c:v>217.93893980623682</c:v>
                </c:pt>
                <c:pt idx="86">
                  <c:v>224.22645303580273</c:v>
                </c:pt>
                <c:pt idx="87">
                  <c:v>230.50992525899264</c:v>
                </c:pt>
                <c:pt idx="88">
                  <c:v>236.78948234472591</c:v>
                </c:pt>
                <c:pt idx="89">
                  <c:v>243.06524293048486</c:v>
                </c:pt>
                <c:pt idx="90">
                  <c:v>249.33731901797856</c:v>
                </c:pt>
                <c:pt idx="91">
                  <c:v>212.49362338740025</c:v>
                </c:pt>
                <c:pt idx="92">
                  <c:v>218.54618993520387</c:v>
                </c:pt>
                <c:pt idx="93">
                  <c:v>224.59490474953455</c:v>
                </c:pt>
                <c:pt idx="94">
                  <c:v>230.63988637237398</c:v>
                </c:pt>
                <c:pt idx="95">
                  <c:v>236.68124661431304</c:v>
                </c:pt>
                <c:pt idx="96">
                  <c:v>242.71909110275354</c:v>
                </c:pt>
                <c:pt idx="97">
                  <c:v>248.75351977263503</c:v>
                </c:pt>
                <c:pt idx="98">
                  <c:v>254.78462730699025</c:v>
                </c:pt>
                <c:pt idx="99">
                  <c:v>260.81250353355159</c:v>
                </c:pt>
                <c:pt idx="100">
                  <c:v>266.83723378272924</c:v>
                </c:pt>
                <c:pt idx="101">
                  <c:v>230.63988637237392</c:v>
                </c:pt>
                <c:pt idx="102">
                  <c:v>237.26570616105383</c:v>
                </c:pt>
                <c:pt idx="103">
                  <c:v>243.8873086110334</c:v>
                </c:pt>
                <c:pt idx="104">
                  <c:v>250.50482454301491</c:v>
                </c:pt>
                <c:pt idx="105">
                  <c:v>257.11837729187437</c:v>
                </c:pt>
                <c:pt idx="106">
                  <c:v>263.72808332087544</c:v>
                </c:pt>
                <c:pt idx="107">
                  <c:v>270.33405277101605</c:v>
                </c:pt>
                <c:pt idx="108">
                  <c:v>276.93638995381087</c:v>
                </c:pt>
                <c:pt idx="109">
                  <c:v>283.53519379457344</c:v>
                </c:pt>
                <c:pt idx="110">
                  <c:v>290.13055823223016</c:v>
                </c:pt>
                <c:pt idx="111">
                  <c:v>249.49947996705433</c:v>
                </c:pt>
                <c:pt idx="112">
                  <c:v>255.49776871177539</c:v>
                </c:pt>
                <c:pt idx="113">
                  <c:v>261.49287101457122</c:v>
                </c:pt>
                <c:pt idx="114">
                  <c:v>267.48487034615312</c:v>
                </c:pt>
                <c:pt idx="115">
                  <c:v>273.47384612678246</c:v>
                </c:pt>
                <c:pt idx="116">
                  <c:v>279.4598740092253</c:v>
                </c:pt>
                <c:pt idx="117">
                  <c:v>285.4430261361685</c:v>
                </c:pt>
                <c:pt idx="118">
                  <c:v>291.42337137490091</c:v>
                </c:pt>
                <c:pt idx="119">
                  <c:v>297.40097553170216</c:v>
                </c:pt>
                <c:pt idx="120">
                  <c:v>303.37590154807668</c:v>
                </c:pt>
                <c:pt idx="121">
                  <c:v>309.34820968070522</c:v>
                </c:pt>
                <c:pt idx="122">
                  <c:v>315.31795766675879</c:v>
                </c:pt>
                <c:pt idx="123">
                  <c:v>272.82653272164822</c:v>
                </c:pt>
                <c:pt idx="124">
                  <c:v>278.81287575730846</c:v>
                </c:pt>
                <c:pt idx="125">
                  <c:v>284.796335400168</c:v>
                </c:pt>
                <c:pt idx="126">
                  <c:v>290.77698086093443</c:v>
                </c:pt>
                <c:pt idx="127">
                  <c:v>296.75487826704023</c:v>
                </c:pt>
                <c:pt idx="128">
                  <c:v>302.73009086074438</c:v>
                </c:pt>
                <c:pt idx="129">
                  <c:v>308.70267918076132</c:v>
                </c:pt>
                <c:pt idx="130">
                  <c:v>314.67270122908354</c:v>
                </c:pt>
                <c:pt idx="131">
                  <c:v>320.64021262447204</c:v>
                </c:pt>
                <c:pt idx="132">
                  <c:v>326.60526674391076</c:v>
                </c:pt>
                <c:pt idx="133">
                  <c:v>332.56791485317893</c:v>
                </c:pt>
                <c:pt idx="134">
                  <c:v>338.52820622756116</c:v>
                </c:pt>
                <c:pt idx="135">
                  <c:v>294.28557399448806</c:v>
                </c:pt>
                <c:pt idx="136">
                  <c:v>300.37723487418265</c:v>
                </c:pt>
                <c:pt idx="137">
                  <c:v>306.46614472305896</c:v>
                </c:pt>
                <c:pt idx="138">
                  <c:v>312.55236598048333</c:v>
                </c:pt>
                <c:pt idx="139">
                  <c:v>318.63595845261102</c:v>
                </c:pt>
                <c:pt idx="140">
                  <c:v>324.71697947271974</c:v>
                </c:pt>
                <c:pt idx="141">
                  <c:v>330.79548404889437</c:v>
                </c:pt>
                <c:pt idx="142">
                  <c:v>336.87152500028151</c:v>
                </c:pt>
                <c:pt idx="143">
                  <c:v>342.94515308298918</c:v>
                </c:pt>
                <c:pt idx="144">
                  <c:v>349.01641710659669</c:v>
                </c:pt>
                <c:pt idx="145">
                  <c:v>355.08536404212606</c:v>
                </c:pt>
                <c:pt idx="146">
                  <c:v>361.15203912224183</c:v>
                </c:pt>
                <c:pt idx="147">
                  <c:v>367.2164859343597</c:v>
                </c:pt>
                <c:pt idx="148">
                  <c:v>373.27874650728103</c:v>
                </c:pt>
                <c:pt idx="149">
                  <c:v>322.6441895503022</c:v>
                </c:pt>
                <c:pt idx="150">
                  <c:v>329.96674328618491</c:v>
                </c:pt>
                <c:pt idx="151">
                  <c:v>337.28571209192722</c:v>
                </c:pt>
                <c:pt idx="152">
                  <c:v>344.60118480550773</c:v>
                </c:pt>
                <c:pt idx="153">
                  <c:v>351.91324618178578</c:v>
                </c:pt>
                <c:pt idx="154">
                  <c:v>359.22197716298575</c:v>
                </c:pt>
                <c:pt idx="155">
                  <c:v>366.52745512600387</c:v>
                </c:pt>
                <c:pt idx="156">
                  <c:v>373.82975410895733</c:v>
                </c:pt>
                <c:pt idx="157">
                  <c:v>381.12894501909619</c:v>
                </c:pt>
                <c:pt idx="158">
                  <c:v>388.42509582395013</c:v>
                </c:pt>
                <c:pt idx="159">
                  <c:v>395.71827172735294</c:v>
                </c:pt>
                <c:pt idx="160">
                  <c:v>403.0085353318089</c:v>
                </c:pt>
                <c:pt idx="161">
                  <c:v>410.29594678849054</c:v>
                </c:pt>
                <c:pt idx="162">
                  <c:v>417.5805639360197</c:v>
                </c:pt>
                <c:pt idx="163">
                  <c:v>353.33847778365225</c:v>
                </c:pt>
                <c:pt idx="164">
                  <c:v>360.41680409705549</c:v>
                </c:pt>
                <c:pt idx="165">
                  <c:v>367.49209034996039</c:v>
                </c:pt>
                <c:pt idx="166">
                  <c:v>374.56440337970315</c:v>
                </c:pt>
                <c:pt idx="167">
                  <c:v>381.63380729156194</c:v>
                </c:pt>
                <c:pt idx="168">
                  <c:v>388.70036362009415</c:v>
                </c:pt>
                <c:pt idx="169">
                  <c:v>395.76413147812082</c:v>
                </c:pt>
                <c:pt idx="170">
                  <c:v>402.82516769451541</c:v>
                </c:pt>
                <c:pt idx="171">
                  <c:v>409.88352694182055</c:v>
                </c:pt>
                <c:pt idx="172">
                  <c:v>416.93926185461305</c:v>
                </c:pt>
                <c:pt idx="173">
                  <c:v>423.99242313943409</c:v>
                </c:pt>
                <c:pt idx="174">
                  <c:v>431.04305967702015</c:v>
                </c:pt>
                <c:pt idx="175">
                  <c:v>438.09121861749276</c:v>
                </c:pt>
                <c:pt idx="176">
                  <c:v>445.13694546910187</c:v>
                </c:pt>
                <c:pt idx="177">
                  <c:v>452.18028418105382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4.2069697035874425</c:v>
                </c:pt>
                <c:pt idx="2">
                  <c:v>8.2166510251652944</c:v>
                </c:pt>
                <c:pt idx="3">
                  <c:v>12.162618102611319</c:v>
                </c:pt>
                <c:pt idx="4">
                  <c:v>16.069310237507555</c:v>
                </c:pt>
                <c:pt idx="5">
                  <c:v>19.947804122504269</c:v>
                </c:pt>
                <c:pt idx="6">
                  <c:v>23.804418365554003</c:v>
                </c:pt>
                <c:pt idx="7">
                  <c:v>27.643226328891227</c:v>
                </c:pt>
                <c:pt idx="8">
                  <c:v>31.46706527012849</c:v>
                </c:pt>
                <c:pt idx="9">
                  <c:v>35.278020609703837</c:v>
                </c:pt>
                <c:pt idx="10">
                  <c:v>39.077687154299774</c:v>
                </c:pt>
                <c:pt idx="11">
                  <c:v>42.867322291822241</c:v>
                </c:pt>
                <c:pt idx="12">
                  <c:v>46.647941681533574</c:v>
                </c:pt>
                <c:pt idx="13">
                  <c:v>50.420382053289622</c:v>
                </c:pt>
                <c:pt idx="14">
                  <c:v>54.185344096716115</c:v>
                </c:pt>
                <c:pt idx="15">
                  <c:v>57.94342273086675</c:v>
                </c:pt>
                <c:pt idx="16">
                  <c:v>61.695129064612331</c:v>
                </c:pt>
                <c:pt idx="17">
                  <c:v>65.440906707219099</c:v>
                </c:pt>
                <c:pt idx="18">
                  <c:v>69.181144130414779</c:v>
                </c:pt>
                <c:pt idx="19">
                  <c:v>72.916184204571323</c:v>
                </c:pt>
                <c:pt idx="20">
                  <c:v>76.646331669997522</c:v>
                </c:pt>
                <c:pt idx="21">
                  <c:v>80.371859071508723</c:v>
                </c:pt>
                <c:pt idx="22">
                  <c:v>84.093011530574316</c:v>
                </c:pt>
                <c:pt idx="23">
                  <c:v>87.810010625275297</c:v>
                </c:pt>
                <c:pt idx="24">
                  <c:v>91.523057576446433</c:v>
                </c:pt>
                <c:pt idx="25">
                  <c:v>95.232335887831667</c:v>
                </c:pt>
                <c:pt idx="26">
                  <c:v>98.938013551923504</c:v>
                </c:pt>
                <c:pt idx="27">
                  <c:v>102.64024490689756</c:v>
                </c:pt>
                <c:pt idx="28">
                  <c:v>106.33917221071198</c:v>
                </c:pt>
                <c:pt idx="29">
                  <c:v>110.03492698401654</c:v>
                </c:pt>
                <c:pt idx="30">
                  <c:v>113.72763116262873</c:v>
                </c:pt>
                <c:pt idx="31">
                  <c:v>117.41739809202979</c:v>
                </c:pt>
                <c:pt idx="32">
                  <c:v>121.10433338993421</c:v>
                </c:pt>
                <c:pt idx="33">
                  <c:v>124.78853569800908</c:v>
                </c:pt>
                <c:pt idx="34">
                  <c:v>128.47009733991538</c:v>
                </c:pt>
                <c:pt idx="35">
                  <c:v>132.14910489975807</c:v>
                </c:pt>
                <c:pt idx="36">
                  <c:v>135.82563973256845</c:v>
                </c:pt>
                <c:pt idx="37">
                  <c:v>139.49977841647276</c:v>
                </c:pt>
                <c:pt idx="38">
                  <c:v>143.17159315460219</c:v>
                </c:pt>
                <c:pt idx="39">
                  <c:v>146.84115213350654</c:v>
                </c:pt>
                <c:pt idx="40">
                  <c:v>150.50851984377383</c:v>
                </c:pt>
                <c:pt idx="41">
                  <c:v>154.17375736768454</c:v>
                </c:pt>
                <c:pt idx="42">
                  <c:v>157.83692263801234</c:v>
                </c:pt>
                <c:pt idx="43">
                  <c:v>161.49807067148294</c:v>
                </c:pt>
                <c:pt idx="44">
                  <c:v>165.15725377990339</c:v>
                </c:pt>
                <c:pt idx="45">
                  <c:v>168.81452176155747</c:v>
                </c:pt>
                <c:pt idx="46">
                  <c:v>172.46992207510786</c:v>
                </c:pt>
                <c:pt idx="47">
                  <c:v>176.12349999795001</c:v>
                </c:pt>
                <c:pt idx="48">
                  <c:v>179.77529877070916</c:v>
                </c:pt>
                <c:pt idx="49">
                  <c:v>183.42535972935536</c:v>
                </c:pt>
                <c:pt idx="50">
                  <c:v>187.07372242622981</c:v>
                </c:pt>
                <c:pt idx="51">
                  <c:v>190.7204247411147</c:v>
                </c:pt>
                <c:pt idx="52">
                  <c:v>194.36550298334649</c:v>
                </c:pt>
                <c:pt idx="53">
                  <c:v>198.00899198585157</c:v>
                </c:pt>
                <c:pt idx="54">
                  <c:v>201.65092519188457</c:v>
                </c:pt>
                <c:pt idx="55">
                  <c:v>205.29133473515978</c:v>
                </c:pt>
                <c:pt idx="56">
                  <c:v>208.93025151398976</c:v>
                </c:pt>
                <c:pt idx="57">
                  <c:v>157.83692263801234</c:v>
                </c:pt>
                <c:pt idx="58">
                  <c:v>166.98612414250221</c:v>
                </c:pt>
                <c:pt idx="59">
                  <c:v>176.12349999795001</c:v>
                </c:pt>
                <c:pt idx="60">
                  <c:v>185.24975095506522</c:v>
                </c:pt>
                <c:pt idx="61">
                  <c:v>194.36550298334649</c:v>
                </c:pt>
                <c:pt idx="62">
                  <c:v>203.47131846209797</c:v>
                </c:pt>
                <c:pt idx="63">
                  <c:v>212.56770525997908</c:v>
                </c:pt>
                <c:pt idx="64">
                  <c:v>221.6551241766899</c:v>
                </c:pt>
                <c:pt idx="65">
                  <c:v>167.21469957652337</c:v>
                </c:pt>
                <c:pt idx="66">
                  <c:v>174.75361905065299</c:v>
                </c:pt>
                <c:pt idx="67">
                  <c:v>182.28489993494486</c:v>
                </c:pt>
                <c:pt idx="68">
                  <c:v>189.80890281161032</c:v>
                </c:pt>
                <c:pt idx="69">
                  <c:v>197.32595729582329</c:v>
                </c:pt>
                <c:pt idx="70">
                  <c:v>204.83636579997653</c:v>
                </c:pt>
                <c:pt idx="71">
                  <c:v>212.34040671610134</c:v>
                </c:pt>
                <c:pt idx="72">
                  <c:v>219.83833712420804</c:v>
                </c:pt>
                <c:pt idx="73">
                  <c:v>175.31174903831743</c:v>
                </c:pt>
                <c:pt idx="74">
                  <c:v>181.80332238755173</c:v>
                </c:pt>
                <c:pt idx="75">
                  <c:v>188.28947252698092</c:v>
                </c:pt>
                <c:pt idx="76">
                  <c:v>194.77041295233741</c:v>
                </c:pt>
                <c:pt idx="77">
                  <c:v>201.24634176616689</c:v>
                </c:pt>
                <c:pt idx="78">
                  <c:v>207.71744325852498</c:v>
                </c:pt>
                <c:pt idx="79">
                  <c:v>214.18388928007451</c:v>
                </c:pt>
                <c:pt idx="80">
                  <c:v>220.64584044043261</c:v>
                </c:pt>
                <c:pt idx="81">
                  <c:v>227.10344715858128</c:v>
                </c:pt>
                <c:pt idx="82">
                  <c:v>185.65511405728057</c:v>
                </c:pt>
                <c:pt idx="83">
                  <c:v>191.53058123135852</c:v>
                </c:pt>
                <c:pt idx="84">
                  <c:v>197.40185274674022</c:v>
                </c:pt>
                <c:pt idx="85">
                  <c:v>203.26907123098999</c:v>
                </c:pt>
                <c:pt idx="86">
                  <c:v>209.13237039059257</c:v>
                </c:pt>
                <c:pt idx="87">
                  <c:v>214.99187580911973</c:v>
                </c:pt>
                <c:pt idx="88">
                  <c:v>220.84770565369274</c:v>
                </c:pt>
                <c:pt idx="89">
                  <c:v>226.69997130248012</c:v>
                </c:pt>
                <c:pt idx="90">
                  <c:v>232.54877790391382</c:v>
                </c:pt>
                <c:pt idx="91">
                  <c:v>198.19112532402923</c:v>
                </c:pt>
                <c:pt idx="92">
                  <c:v>203.83535175303999</c:v>
                </c:pt>
                <c:pt idx="93">
                  <c:v>209.47596213245131</c:v>
                </c:pt>
                <c:pt idx="94">
                  <c:v>215.11306775077477</c:v>
                </c:pt>
                <c:pt idx="95">
                  <c:v>220.74677357701853</c:v>
                </c:pt>
                <c:pt idx="96">
                  <c:v>226.37717877534513</c:v>
                </c:pt>
                <c:pt idx="97">
                  <c:v>232.00437716577107</c:v>
                </c:pt>
                <c:pt idx="98">
                  <c:v>237.62845763776531</c:v>
                </c:pt>
                <c:pt idx="99">
                  <c:v>243.24950452258744</c:v>
                </c:pt>
                <c:pt idx="100">
                  <c:v>248.86759792936175</c:v>
                </c:pt>
                <c:pt idx="101">
                  <c:v>215.11306775077469</c:v>
                </c:pt>
                <c:pt idx="102">
                  <c:v>221.29179421335002</c:v>
                </c:pt>
                <c:pt idx="103">
                  <c:v>227.46656139213121</c:v>
                </c:pt>
                <c:pt idx="104">
                  <c:v>233.63749210302748</c:v>
                </c:pt>
                <c:pt idx="105">
                  <c:v>239.80470213417229</c:v>
                </c:pt>
                <c:pt idx="106">
                  <c:v>245.96830082255383</c:v>
                </c:pt>
                <c:pt idx="107">
                  <c:v>252.12839156974823</c:v>
                </c:pt>
                <c:pt idx="108">
                  <c:v>258.28507230454881</c:v>
                </c:pt>
                <c:pt idx="109">
                  <c:v>264.43843589912393</c:v>
                </c:pt>
                <c:pt idx="110">
                  <c:v>270.58857054436737</c:v>
                </c:pt>
                <c:pt idx="111">
                  <c:v>232.69999516023861</c:v>
                </c:pt>
                <c:pt idx="112">
                  <c:v>238.29346923682067</c:v>
                </c:pt>
                <c:pt idx="113">
                  <c:v>243.88395184679987</c:v>
                </c:pt>
                <c:pt idx="114">
                  <c:v>249.47152135339471</c:v>
                </c:pt>
                <c:pt idx="115">
                  <c:v>255.05625231721714</c:v>
                </c:pt>
                <c:pt idx="116">
                  <c:v>260.63821576191305</c:v>
                </c:pt>
                <c:pt idx="117">
                  <c:v>266.21747941582754</c:v>
                </c:pt>
                <c:pt idx="118">
                  <c:v>271.79410793232637</c:v>
                </c:pt>
                <c:pt idx="119">
                  <c:v>277.3681630910657</c:v>
                </c:pt>
                <c:pt idx="120">
                  <c:v>282.93970398222007</c:v>
                </c:pt>
                <c:pt idx="121">
                  <c:v>288.50878717542173</c:v>
                </c:pt>
                <c:pt idx="122">
                  <c:v>294.07546687495932</c:v>
                </c:pt>
                <c:pt idx="123">
                  <c:v>254.45263227772838</c:v>
                </c:pt>
                <c:pt idx="124">
                  <c:v>260.03489159171892</c:v>
                </c:pt>
                <c:pt idx="125">
                  <c:v>265.61444394494617</c:v>
                </c:pt>
                <c:pt idx="126">
                  <c:v>271.19135431318074</c:v>
                </c:pt>
                <c:pt idx="127">
                  <c:v>276.76568477758133</c:v>
                </c:pt>
                <c:pt idx="128">
                  <c:v>282.33749471067364</c:v>
                </c:pt>
                <c:pt idx="129">
                  <c:v>287.90684094686623</c:v>
                </c:pt>
                <c:pt idx="130">
                  <c:v>293.47377793906554</c:v>
                </c:pt>
                <c:pt idx="131">
                  <c:v>299.03835790277373</c:v>
                </c:pt>
                <c:pt idx="132">
                  <c:v>304.60063094888858</c:v>
                </c:pt>
                <c:pt idx="133">
                  <c:v>310.16064520628538</c:v>
                </c:pt>
                <c:pt idx="134">
                  <c:v>315.71844693514123</c:v>
                </c:pt>
                <c:pt idx="135">
                  <c:v>274.46308493933674</c:v>
                </c:pt>
                <c:pt idx="136">
                  <c:v>280.14348835676753</c:v>
                </c:pt>
                <c:pt idx="137">
                  <c:v>285.82130907631461</c:v>
                </c:pt>
                <c:pt idx="138">
                  <c:v>291.49660571673991</c:v>
                </c:pt>
                <c:pt idx="139">
                  <c:v>297.16943442471705</c:v>
                </c:pt>
                <c:pt idx="140">
                  <c:v>302.83984902535548</c:v>
                </c:pt>
                <c:pt idx="141">
                  <c:v>308.50790116084846</c:v>
                </c:pt>
                <c:pt idx="142">
                  <c:v>314.17364041838948</c:v>
                </c:pt>
                <c:pt idx="143">
                  <c:v>319.83711444836922</c:v>
                </c:pt>
                <c:pt idx="144">
                  <c:v>325.49836907375555</c:v>
                </c:pt>
                <c:pt idx="145">
                  <c:v>331.15744839145879</c:v>
                </c:pt>
                <c:pt idx="146">
                  <c:v>336.81439486640005</c:v>
                </c:pt>
                <c:pt idx="147">
                  <c:v>342.4692494189232</c:v>
                </c:pt>
                <c:pt idx="148">
                  <c:v>348.12205150612726</c:v>
                </c:pt>
                <c:pt idx="149">
                  <c:v>300.90702109921807</c:v>
                </c:pt>
                <c:pt idx="150">
                  <c:v>307.73512223814032</c:v>
                </c:pt>
                <c:pt idx="151">
                  <c:v>314.55985780535599</c:v>
                </c:pt>
                <c:pt idx="152">
                  <c:v>321.38131120293275</c:v>
                </c:pt>
                <c:pt idx="153">
                  <c:v>328.19956199966174</c:v>
                </c:pt>
                <c:pt idx="154">
                  <c:v>335.01468618499013</c:v>
                </c:pt>
                <c:pt idx="155">
                  <c:v>341.82675640119641</c:v>
                </c:pt>
                <c:pt idx="156">
                  <c:v>348.63584215607608</c:v>
                </c:pt>
                <c:pt idx="157">
                  <c:v>355.44201001813309</c:v>
                </c:pt>
                <c:pt idx="158">
                  <c:v>362.24532379602897</c:v>
                </c:pt>
                <c:pt idx="159">
                  <c:v>369.0458447038373</c:v>
                </c:pt>
                <c:pt idx="160">
                  <c:v>375.84363151347571</c:v>
                </c:pt>
                <c:pt idx="161">
                  <c:v>382.63874069552395</c:v>
                </c:pt>
                <c:pt idx="162">
                  <c:v>389.43122654951429</c:v>
                </c:pt>
                <c:pt idx="163">
                  <c:v>329.52853995703276</c:v>
                </c:pt>
                <c:pt idx="164">
                  <c:v>336.12881660064357</c:v>
                </c:pt>
                <c:pt idx="165">
                  <c:v>342.72623920213954</c:v>
                </c:pt>
                <c:pt idx="166">
                  <c:v>349.32087050914407</c:v>
                </c:pt>
                <c:pt idx="167">
                  <c:v>355.91277070439531</c:v>
                </c:pt>
                <c:pt idx="168">
                  <c:v>362.50199755720979</c:v>
                </c:pt>
                <c:pt idx="169">
                  <c:v>369.08860656335219</c:v>
                </c:pt>
                <c:pt idx="170">
                  <c:v>375.67265107439135</c:v>
                </c:pt>
                <c:pt idx="171">
                  <c:v>382.25418241750987</c:v>
                </c:pt>
                <c:pt idx="172">
                  <c:v>388.83325000662518</c:v>
                </c:pt>
                <c:pt idx="173">
                  <c:v>395.40990144559373</c:v>
                </c:pt>
                <c:pt idx="174">
                  <c:v>401.98418262418681</c:v>
                </c:pt>
                <c:pt idx="175">
                  <c:v>408.55613780745551</c:v>
                </c:pt>
                <c:pt idx="176">
                  <c:v>415.12580971904316</c:v>
                </c:pt>
                <c:pt idx="177">
                  <c:v>421.69323961894673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2.2453918265601698</c:v>
                </c:pt>
                <c:pt idx="2">
                  <c:v>2.9777951721659686</c:v>
                </c:pt>
                <c:pt idx="3">
                  <c:v>3.9500796668551783</c:v>
                </c:pt>
                <c:pt idx="4">
                  <c:v>5.2411166469382451</c:v>
                </c:pt>
                <c:pt idx="5">
                  <c:v>6.955803238957059</c:v>
                </c:pt>
                <c:pt idx="6">
                  <c:v>9.2336788861178132</c:v>
                </c:pt>
                <c:pt idx="7">
                  <c:v>12.260403324381764</c:v>
                </c:pt>
                <c:pt idx="8">
                  <c:v>16.283048913693658</c:v>
                </c:pt>
                <c:pt idx="9">
                  <c:v>21.630478364922805</c:v>
                </c:pt>
                <c:pt idx="10">
                  <c:v>28.740503492899339</c:v>
                </c:pt>
                <c:pt idx="11">
                  <c:v>38.196087365621416</c:v>
                </c:pt>
                <c:pt idx="12">
                  <c:v>50.773608795368062</c:v>
                </c:pt>
                <c:pt idx="13">
                  <c:v>67.507218240717151</c:v>
                </c:pt>
                <c:pt idx="14">
                  <c:v>89.774662990732452</c:v>
                </c:pt>
                <c:pt idx="15">
                  <c:v>119.41176074745134</c:v>
                </c:pt>
                <c:pt idx="16">
                  <c:v>111.37162170978574</c:v>
                </c:pt>
                <c:pt idx="17">
                  <c:v>122.72479242130721</c:v>
                </c:pt>
                <c:pt idx="18">
                  <c:v>134.05242394386823</c:v>
                </c:pt>
                <c:pt idx="19">
                  <c:v>145.35698107316722</c:v>
                </c:pt>
                <c:pt idx="20">
                  <c:v>156.64051311970584</c:v>
                </c:pt>
                <c:pt idx="21">
                  <c:v>167.90474951227165</c:v>
                </c:pt>
                <c:pt idx="22">
                  <c:v>179.15116832198888</c:v>
                </c:pt>
                <c:pt idx="23">
                  <c:v>190.38104663244076</c:v>
                </c:pt>
                <c:pt idx="24">
                  <c:v>201.59549837545629</c:v>
                </c:pt>
                <c:pt idx="25">
                  <c:v>212.79550329024411</c:v>
                </c:pt>
                <c:pt idx="26">
                  <c:v>192.21572565242215</c:v>
                </c:pt>
                <c:pt idx="27">
                  <c:v>206.26723190219673</c:v>
                </c:pt>
                <c:pt idx="28">
                  <c:v>220.29662042487041</c:v>
                </c:pt>
                <c:pt idx="29">
                  <c:v>234.30549863763744</c:v>
                </c:pt>
                <c:pt idx="30">
                  <c:v>248.29526591150952</c:v>
                </c:pt>
                <c:pt idx="31">
                  <c:v>262.2671509559936</c:v>
                </c:pt>
                <c:pt idx="32">
                  <c:v>276.22224081018226</c:v>
                </c:pt>
                <c:pt idx="33">
                  <c:v>290.16150366236747</c:v>
                </c:pt>
                <c:pt idx="34">
                  <c:v>304.08580705137939</c:v>
                </c:pt>
                <c:pt idx="35">
                  <c:v>317.99593255730014</c:v>
                </c:pt>
                <c:pt idx="36">
                  <c:v>282.93254176400507</c:v>
                </c:pt>
                <c:pt idx="37">
                  <c:v>299.67985371950846</c:v>
                </c:pt>
                <c:pt idx="38">
                  <c:v>316.40632494677362</c:v>
                </c:pt>
                <c:pt idx="39">
                  <c:v>333.11321206854495</c:v>
                </c:pt>
                <c:pt idx="40">
                  <c:v>349.80163537196995</c:v>
                </c:pt>
                <c:pt idx="41">
                  <c:v>366.47259953479278</c:v>
                </c:pt>
                <c:pt idx="42">
                  <c:v>383.12701038185992</c:v>
                </c:pt>
                <c:pt idx="43">
                  <c:v>399.76568857522125</c:v>
                </c:pt>
                <c:pt idx="44">
                  <c:v>416.38938090579137</c:v>
                </c:pt>
                <c:pt idx="45">
                  <c:v>432.99876968765869</c:v>
                </c:pt>
                <c:pt idx="46">
                  <c:v>381.83324136000505</c:v>
                </c:pt>
                <c:pt idx="47">
                  <c:v>401.27039203732812</c:v>
                </c:pt>
                <c:pt idx="48">
                  <c:v>420.68717680703077</c:v>
                </c:pt>
                <c:pt idx="49">
                  <c:v>440.08466738466149</c:v>
                </c:pt>
                <c:pt idx="50">
                  <c:v>459.46383335228717</c:v>
                </c:pt>
                <c:pt idx="51">
                  <c:v>478.82555587711357</c:v>
                </c:pt>
                <c:pt idx="52">
                  <c:v>498.17063909607168</c:v>
                </c:pt>
                <c:pt idx="53">
                  <c:v>517.4998196404714</c:v>
                </c:pt>
                <c:pt idx="54">
                  <c:v>536.81377466406582</c:v>
                </c:pt>
                <c:pt idx="55">
                  <c:v>556.1131286561257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2.7071273091464456</c:v>
                </c:pt>
                <c:pt idx="2">
                  <c:v>3.5907345905459116</c:v>
                </c:pt>
                <c:pt idx="3">
                  <c:v>4.7639297494251158</c:v>
                </c:pt>
                <c:pt idx="4">
                  <c:v>6.3219837517512856</c:v>
                </c:pt>
                <c:pt idx="5">
                  <c:v>8.3916221264050499</c:v>
                </c:pt>
                <c:pt idx="6">
                  <c:v>11.14144409419327</c:v>
                </c:pt>
                <c:pt idx="7">
                  <c:v>14.795803370223254</c:v>
                </c:pt>
                <c:pt idx="8">
                  <c:v>19.65330391347036</c:v>
                </c:pt>
                <c:pt idx="9">
                  <c:v>26.111449073576356</c:v>
                </c:pt>
                <c:pt idx="10">
                  <c:v>34.699496693375536</c:v>
                </c:pt>
                <c:pt idx="11">
                  <c:v>46.122259011729206</c:v>
                </c:pt>
                <c:pt idx="12">
                  <c:v>61.318502451523329</c:v>
                </c:pt>
                <c:pt idx="13">
                  <c:v>81.538825770500992</c:v>
                </c:pt>
                <c:pt idx="14">
                  <c:v>108.44952875702209</c:v>
                </c:pt>
                <c:pt idx="15">
                  <c:v>144.27116553212878</c:v>
                </c:pt>
                <c:pt idx="16">
                  <c:v>134.55281242220951</c:v>
                </c:pt>
                <c:pt idx="17">
                  <c:v>148.27580880488168</c:v>
                </c:pt>
                <c:pt idx="18">
                  <c:v>161.96848631579994</c:v>
                </c:pt>
                <c:pt idx="19">
                  <c:v>175.63377103945319</c:v>
                </c:pt>
                <c:pt idx="20">
                  <c:v>189.27409581669576</c:v>
                </c:pt>
                <c:pt idx="21">
                  <c:v>202.8915137405094</c:v>
                </c:pt>
                <c:pt idx="22">
                  <c:v>216.4877795043939</c:v>
                </c:pt>
                <c:pt idx="23">
                  <c:v>230.06440919930415</c:v>
                </c:pt>
                <c:pt idx="24">
                  <c:v>243.62272523043964</c:v>
                </c:pt>
                <c:pt idx="25">
                  <c:v>257.16389069610608</c:v>
                </c:pt>
                <c:pt idx="26">
                  <c:v>232.28252085863505</c:v>
                </c:pt>
                <c:pt idx="27">
                  <c:v>249.27096374524822</c:v>
                </c:pt>
                <c:pt idx="28">
                  <c:v>266.23314955171287</c:v>
                </c:pt>
                <c:pt idx="29">
                  <c:v>283.17098652483548</c:v>
                </c:pt>
                <c:pt idx="30">
                  <c:v>300.08613592920426</c:v>
                </c:pt>
                <c:pt idx="31">
                  <c:v>316.98005642844515</c:v>
                </c:pt>
                <c:pt idx="32">
                  <c:v>333.85403850202016</c:v>
                </c:pt>
                <c:pt idx="33">
                  <c:v>350.70923153555435</c:v>
                </c:pt>
                <c:pt idx="34">
                  <c:v>367.54666542857058</c:v>
                </c:pt>
                <c:pt idx="35">
                  <c:v>384.36726803458515</c:v>
                </c:pt>
                <c:pt idx="36">
                  <c:v>341.96801334477124</c:v>
                </c:pt>
                <c:pt idx="37">
                  <c:v>362.21889944230844</c:v>
                </c:pt>
                <c:pt idx="38">
                  <c:v>382.44504445007607</c:v>
                </c:pt>
                <c:pt idx="39">
                  <c:v>402.64794016892546</c:v>
                </c:pt>
                <c:pt idx="40">
                  <c:v>422.8289165487779</c:v>
                </c:pt>
                <c:pt idx="41">
                  <c:v>442.9891662937448</c:v>
                </c:pt>
                <c:pt idx="42">
                  <c:v>463.12976475462921</c:v>
                </c:pt>
                <c:pt idx="43">
                  <c:v>483.25168618114122</c:v>
                </c:pt>
                <c:pt idx="44">
                  <c:v>503.35581712680488</c:v>
                </c:pt>
                <c:pt idx="45">
                  <c:v>523.44296760141981</c:v>
                </c:pt>
                <c:pt idx="46">
                  <c:v>461.5651645680062</c:v>
                </c:pt>
                <c:pt idx="47">
                  <c:v>485.07141016601082</c:v>
                </c:pt>
                <c:pt idx="48">
                  <c:v>508.55347835798051</c:v>
                </c:pt>
                <c:pt idx="49">
                  <c:v>532.01264143201831</c:v>
                </c:pt>
                <c:pt idx="50">
                  <c:v>555.45005042837022</c:v>
                </c:pt>
                <c:pt idx="51">
                  <c:v>578.86675142549791</c:v>
                </c:pt>
                <c:pt idx="52">
                  <c:v>602.26369905530157</c:v>
                </c:pt>
                <c:pt idx="53">
                  <c:v>625.64176781032029</c:v>
                </c:pt>
                <c:pt idx="54">
                  <c:v>649.00176157425824</c:v>
                </c:pt>
                <c:pt idx="55">
                  <c:v>672.34442171012915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2.2968493907960883</c:v>
                </c:pt>
                <c:pt idx="2">
                  <c:v>3.0460985772796825</c:v>
                </c:pt>
                <c:pt idx="3">
                  <c:v>4.0407653018897332</c:v>
                </c:pt>
                <c:pt idx="4">
                  <c:v>5.3615470481186875</c:v>
                </c:pt>
                <c:pt idx="5">
                  <c:v>7.1157714588558214</c:v>
                </c:pt>
                <c:pt idx="6">
                  <c:v>9.4462134984446582</c:v>
                </c:pt>
                <c:pt idx="7">
                  <c:v>12.542840858315394</c:v>
                </c:pt>
                <c:pt idx="8">
                  <c:v>16.658462805085517</c:v>
                </c:pt>
                <c:pt idx="9">
                  <c:v>22.129583263073584</c:v>
                </c:pt>
                <c:pt idx="10">
                  <c:v>29.404193471083619</c:v>
                </c:pt>
                <c:pt idx="11">
                  <c:v>39.078819590955874</c:v>
                </c:pt>
                <c:pt idx="12">
                  <c:v>51.947914981001276</c:v>
                </c:pt>
                <c:pt idx="13">
                  <c:v>69.069720692517336</c:v>
                </c:pt>
                <c:pt idx="14">
                  <c:v>91.854098238288529</c:v>
                </c:pt>
                <c:pt idx="15">
                  <c:v>122.17968226184944</c:v>
                </c:pt>
                <c:pt idx="16">
                  <c:v>113.95272160800296</c:v>
                </c:pt>
                <c:pt idx="17">
                  <c:v>125.56970461952518</c:v>
                </c:pt>
                <c:pt idx="18">
                  <c:v>137.16061188422088</c:v>
                </c:pt>
                <c:pt idx="19">
                  <c:v>148.72795998116825</c:v>
                </c:pt>
                <c:pt idx="20">
                  <c:v>160.27384127523817</c:v>
                </c:pt>
                <c:pt idx="21">
                  <c:v>171.80002152912917</c:v>
                </c:pt>
                <c:pt idx="22">
                  <c:v>183.30800986705376</c:v>
                </c:pt>
                <c:pt idx="23">
                  <c:v>194.79911020309638</c:v>
                </c:pt>
                <c:pt idx="24">
                  <c:v>206.27445987190004</c:v>
                </c:pt>
                <c:pt idx="25">
                  <c:v>217.73505919620777</c:v>
                </c:pt>
                <c:pt idx="26">
                  <c:v>196.67646968355916</c:v>
                </c:pt>
                <c:pt idx="27">
                  <c:v>211.05488839971338</c:v>
                </c:pt>
                <c:pt idx="28">
                  <c:v>225.4107247130687</c:v>
                </c:pt>
                <c:pt idx="29">
                  <c:v>239.74561981136495</c:v>
                </c:pt>
                <c:pt idx="30">
                  <c:v>254.06100246527566</c:v>
                </c:pt>
                <c:pt idx="31">
                  <c:v>268.35812719850861</c:v>
                </c:pt>
                <c:pt idx="32">
                  <c:v>282.63810388797543</c:v>
                </c:pt>
                <c:pt idx="33">
                  <c:v>296.90192106282717</c:v>
                </c:pt>
                <c:pt idx="34">
                  <c:v>311.15046448818856</c:v>
                </c:pt>
                <c:pt idx="35">
                  <c:v>325.38453216451211</c:v>
                </c:pt>
                <c:pt idx="36">
                  <c:v>289.50463952496187</c:v>
                </c:pt>
                <c:pt idx="37">
                  <c:v>306.6419109634727</c:v>
                </c:pt>
                <c:pt idx="38">
                  <c:v>323.75790382676848</c:v>
                </c:pt>
                <c:pt idx="39">
                  <c:v>340.85390113822956</c:v>
                </c:pt>
                <c:pt idx="40">
                  <c:v>357.93104672133722</c:v>
                </c:pt>
                <c:pt idx="41">
                  <c:v>374.99036636130859</c:v>
                </c:pt>
                <c:pt idx="42">
                  <c:v>392.03278491364375</c:v>
                </c:pt>
                <c:pt idx="43">
                  <c:v>409.05914028184338</c:v>
                </c:pt>
                <c:pt idx="44">
                  <c:v>426.07019494630009</c:v>
                </c:pt>
                <c:pt idx="45">
                  <c:v>443.06664555597359</c:v>
                </c:pt>
                <c:pt idx="46">
                  <c:v>390.7088728727893</c:v>
                </c:pt>
                <c:pt idx="47">
                  <c:v>410.59890468820385</c:v>
                </c:pt>
                <c:pt idx="48">
                  <c:v>430.4681427246212</c:v>
                </c:pt>
                <c:pt idx="49">
                  <c:v>450.31768121347403</c:v>
                </c:pt>
                <c:pt idx="50">
                  <c:v>470.14851010697026</c:v>
                </c:pt>
                <c:pt idx="51">
                  <c:v>489.96152908493178</c:v>
                </c:pt>
                <c:pt idx="52">
                  <c:v>509.75755917856105</c:v>
                </c:pt>
                <c:pt idx="53">
                  <c:v>529.53735249520003</c:v>
                </c:pt>
                <c:pt idx="54">
                  <c:v>549.30160041505997</c:v>
                </c:pt>
                <c:pt idx="55">
                  <c:v>569.05094054742926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sites/PrintempsdesTerres/Documents%20partages/i.%20Portefeuille/p.4-70-88%20Mille%20Etangs-Champs%20des%20roches%20-%20Haute-Saone%20et%20Vosges/g.%20Carbone%20-%20LBC/1.%20LBC%20Mille%20Etangs/1.%20dossier%20interne/1.%20Doc%20interne%20-%20economix%20Mille%20Etangs.xlsm?05AA5096" TargetMode="External"/><Relationship Id="rId1" Type="http://schemas.openxmlformats.org/officeDocument/2006/relationships/externalLinkPath" Target="file:///05AA5096/1.%20Doc%20interne%20-%20economix%20Mille%20Etang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PROJET"/>
      <sheetName val="Surf., essences, devis, BDD VAN"/>
      <sheetName val="Données projet"/>
      <sheetName val="VAN"/>
      <sheetName val="Scénario référence"/>
      <sheetName val="REE"/>
      <sheetName val="TP"/>
      <sheetName val="Paramètres"/>
      <sheetName val="TP intégrale"/>
      <sheetName val="Calculateur"/>
    </sheetNames>
    <sheetDataSet>
      <sheetData sheetId="0"/>
      <sheetData sheetId="1">
        <row r="120">
          <cell r="H120">
            <v>5527.3200241984277</v>
          </cell>
        </row>
        <row r="121">
          <cell r="H121">
            <v>600</v>
          </cell>
        </row>
        <row r="122">
          <cell r="H122">
            <v>800.00000000000023</v>
          </cell>
        </row>
        <row r="123">
          <cell r="H123">
            <v>700.00000000000011</v>
          </cell>
        </row>
        <row r="124">
          <cell r="H124">
            <v>700.00000000000011</v>
          </cell>
        </row>
        <row r="125">
          <cell r="H125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115" zoomScaleNormal="115" workbookViewId="0">
      <selection activeCell="H6" sqref="H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310" t="s">
        <v>291</v>
      </c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</row>
    <row r="13" spans="2:13" ht="15" customHeight="1" x14ac:dyDescent="0.2"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</row>
    <row r="14" spans="2:13" ht="15" customHeight="1" x14ac:dyDescent="0.2"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</row>
    <row r="15" spans="2:13" ht="18.75" customHeight="1" x14ac:dyDescent="0.2"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</row>
    <row r="16" spans="2:13" ht="18.75" customHeight="1" x14ac:dyDescent="0.2"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</row>
    <row r="18" spans="2:13" ht="12" customHeight="1" x14ac:dyDescent="0.2">
      <c r="B18" s="310" t="s">
        <v>292</v>
      </c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</row>
    <row r="19" spans="2:13" ht="12" customHeight="1" x14ac:dyDescent="0.2"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</row>
    <row r="20" spans="2:13" ht="12" customHeight="1" x14ac:dyDescent="0.2">
      <c r="B20" s="310"/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</row>
    <row r="21" spans="2:13" ht="12" customHeight="1" x14ac:dyDescent="0.2">
      <c r="B21" s="310"/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</row>
    <row r="22" spans="2:13" ht="12" customHeight="1" x14ac:dyDescent="0.2">
      <c r="B22" s="310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</row>
    <row r="23" spans="2:13" ht="12" customHeight="1" x14ac:dyDescent="0.2">
      <c r="B23" s="310"/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</row>
    <row r="24" spans="2:13" ht="12" customHeight="1" x14ac:dyDescent="0.2"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</row>
    <row r="25" spans="2:13" ht="12" customHeight="1" x14ac:dyDescent="0.2"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</row>
    <row r="26" spans="2:13" ht="12" customHeight="1" x14ac:dyDescent="0.2">
      <c r="B26" s="310"/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</row>
    <row r="27" spans="2:13" ht="12" customHeight="1" x14ac:dyDescent="0.2">
      <c r="B27" s="310"/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</row>
    <row r="28" spans="2:13" ht="12" customHeight="1" x14ac:dyDescent="0.2"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</row>
    <row r="29" spans="2:13" ht="12" customHeight="1" x14ac:dyDescent="0.2"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</row>
    <row r="30" spans="2:13" ht="12" customHeight="1" x14ac:dyDescent="0.2">
      <c r="B30" s="310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</row>
    <row r="31" spans="2:13" ht="12" customHeight="1" x14ac:dyDescent="0.2"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79" zoomScale="74" zoomScaleNormal="74" workbookViewId="0">
      <selection activeCell="A192" sqref="A192:H196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311" t="s">
        <v>190</v>
      </c>
      <c r="D1" s="311"/>
      <c r="E1" s="31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316" t="s">
        <v>192</v>
      </c>
      <c r="C3" s="317"/>
      <c r="D3" s="317"/>
      <c r="E3" s="317"/>
      <c r="F3" s="318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22" t="s">
        <v>231</v>
      </c>
      <c r="B5" s="322"/>
      <c r="C5" s="26">
        <v>11.02</v>
      </c>
      <c r="D5" s="323" t="s">
        <v>229</v>
      </c>
      <c r="E5" s="324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7"/>
      <c r="B6" s="97"/>
      <c r="C6" s="98"/>
      <c r="D6" s="92"/>
      <c r="E6" s="92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6" x14ac:dyDescent="0.2">
      <c r="A7" s="320" t="s">
        <v>226</v>
      </c>
      <c r="B7" s="320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0.54</v>
      </c>
      <c r="D9" s="36">
        <f t="shared" ref="D9:D18" si="0">C9*$C$5</f>
        <v>5.9508000000000001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27</v>
      </c>
      <c r="C10" s="35">
        <v>0.35</v>
      </c>
      <c r="D10" s="36">
        <f t="shared" si="0"/>
        <v>3.8569999999999998</v>
      </c>
      <c r="E10" s="37">
        <v>78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14</v>
      </c>
      <c r="C11" s="35">
        <v>0.02</v>
      </c>
      <c r="D11" s="36">
        <f t="shared" si="0"/>
        <v>0.22039999999999998</v>
      </c>
      <c r="E11" s="37">
        <v>177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11</v>
      </c>
      <c r="C12" s="35">
        <v>0.02</v>
      </c>
      <c r="D12" s="36">
        <f t="shared" si="0"/>
        <v>0.22039999999999998</v>
      </c>
      <c r="E12" s="37">
        <v>177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4</v>
      </c>
      <c r="C13" s="35">
        <v>0.01</v>
      </c>
      <c r="D13" s="36">
        <f t="shared" si="0"/>
        <v>0.11019999999999999</v>
      </c>
      <c r="E13" s="37">
        <v>55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23</v>
      </c>
      <c r="C14" s="35">
        <v>0.03</v>
      </c>
      <c r="D14" s="36">
        <f t="shared" si="0"/>
        <v>0.33059999999999995</v>
      </c>
      <c r="E14" s="37">
        <v>55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50</v>
      </c>
      <c r="C15" s="35">
        <v>0.03</v>
      </c>
      <c r="D15" s="36">
        <f t="shared" si="0"/>
        <v>0.33059999999999995</v>
      </c>
      <c r="E15" s="37">
        <v>55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99"/>
      <c r="B19" s="39" t="s">
        <v>175</v>
      </c>
      <c r="C19" s="40">
        <f>SUM(C9:C18)</f>
        <v>1</v>
      </c>
      <c r="D19" s="41">
        <f>SUM(D9:D18)</f>
        <v>11.020000000000001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19" t="s">
        <v>232</v>
      </c>
      <c r="B22" s="319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21" t="s">
        <v>227</v>
      </c>
      <c r="B30" s="321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C32" s="25">
        <v>2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312" t="s">
        <v>186</v>
      </c>
      <c r="D34" s="312"/>
      <c r="E34" s="313" t="s">
        <v>187</v>
      </c>
      <c r="F34" s="314"/>
      <c r="G34" s="314"/>
      <c r="H34" s="315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291">
        <v>19</v>
      </c>
      <c r="B36" s="291">
        <v>162</v>
      </c>
      <c r="C36" s="292"/>
      <c r="D36" s="293">
        <v>0</v>
      </c>
      <c r="E36" s="294">
        <v>0</v>
      </c>
      <c r="F36" s="294">
        <f>0.56</f>
        <v>0.56000000000000005</v>
      </c>
      <c r="G36" s="294">
        <f>0.44</f>
        <v>0.44</v>
      </c>
      <c r="H36" s="294">
        <v>0</v>
      </c>
      <c r="I36" s="52">
        <f>IFERROR(B36/A36,"")</f>
        <v>8.526315789473685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291">
        <v>25</v>
      </c>
      <c r="B37" s="291">
        <v>335</v>
      </c>
      <c r="C37" s="295">
        <v>1</v>
      </c>
      <c r="D37" s="291">
        <v>54</v>
      </c>
      <c r="E37" s="294">
        <v>0</v>
      </c>
      <c r="F37" s="294">
        <f>0.56</f>
        <v>0.56000000000000005</v>
      </c>
      <c r="G37" s="294">
        <v>0.44</v>
      </c>
      <c r="H37" s="294">
        <v>0</v>
      </c>
      <c r="I37" s="56">
        <f t="shared" ref="I37:I55" si="1">IF(A37&lt;&gt;0,(B37-(B36-D36))/(A37-A36),"")</f>
        <v>28.833333333333332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291">
        <v>30</v>
      </c>
      <c r="B38" s="291">
        <v>421</v>
      </c>
      <c r="C38" s="295">
        <v>2</v>
      </c>
      <c r="D38" s="291">
        <v>54</v>
      </c>
      <c r="E38" s="294">
        <v>0.7</v>
      </c>
      <c r="F38" s="294">
        <f>0.3*0.56</f>
        <v>0.16800000000000001</v>
      </c>
      <c r="G38" s="294">
        <f>0.3*0.44</f>
        <v>0.13200000000000001</v>
      </c>
      <c r="H38" s="294">
        <v>0</v>
      </c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291">
        <v>35</v>
      </c>
      <c r="B39" s="291">
        <v>505</v>
      </c>
      <c r="C39" s="295">
        <v>3</v>
      </c>
      <c r="D39" s="291">
        <v>69</v>
      </c>
      <c r="E39" s="294">
        <v>0.7</v>
      </c>
      <c r="F39" s="294">
        <f t="shared" ref="F39:F44" si="2">0.3*0.56</f>
        <v>0.16800000000000001</v>
      </c>
      <c r="G39" s="294">
        <f t="shared" ref="G39:G44" si="3">0.3*0.44</f>
        <v>0.13200000000000001</v>
      </c>
      <c r="H39" s="294">
        <v>0</v>
      </c>
      <c r="I39" s="52">
        <f t="shared" si="1"/>
        <v>27.6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291">
        <v>40</v>
      </c>
      <c r="B40" s="291">
        <v>564</v>
      </c>
      <c r="C40" s="295">
        <v>4</v>
      </c>
      <c r="D40" s="291">
        <v>72</v>
      </c>
      <c r="E40" s="294">
        <v>0.7</v>
      </c>
      <c r="F40" s="294">
        <f t="shared" si="2"/>
        <v>0.16800000000000001</v>
      </c>
      <c r="G40" s="294">
        <f t="shared" si="3"/>
        <v>0.13200000000000001</v>
      </c>
      <c r="H40" s="294">
        <v>0</v>
      </c>
      <c r="I40" s="52">
        <f t="shared" si="1"/>
        <v>25.6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291">
        <v>45</v>
      </c>
      <c r="B41" s="291">
        <v>606</v>
      </c>
      <c r="C41" s="295">
        <v>5</v>
      </c>
      <c r="D41" s="291">
        <v>66</v>
      </c>
      <c r="E41" s="294">
        <v>0.7</v>
      </c>
      <c r="F41" s="294">
        <f t="shared" si="2"/>
        <v>0.16800000000000001</v>
      </c>
      <c r="G41" s="294">
        <f t="shared" si="3"/>
        <v>0.13200000000000001</v>
      </c>
      <c r="H41" s="294">
        <v>0</v>
      </c>
      <c r="I41" s="56">
        <f t="shared" si="1"/>
        <v>22.8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291">
        <v>50</v>
      </c>
      <c r="B42" s="291">
        <v>629</v>
      </c>
      <c r="C42" s="295">
        <v>6</v>
      </c>
      <c r="D42" s="291">
        <v>48</v>
      </c>
      <c r="E42" s="294">
        <v>0.7</v>
      </c>
      <c r="F42" s="294">
        <f t="shared" si="2"/>
        <v>0.16800000000000001</v>
      </c>
      <c r="G42" s="294">
        <f t="shared" si="3"/>
        <v>0.13200000000000001</v>
      </c>
      <c r="H42" s="294">
        <v>0</v>
      </c>
      <c r="I42" s="56">
        <f t="shared" si="1"/>
        <v>17.8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91">
        <v>55</v>
      </c>
      <c r="B43" s="291">
        <v>650</v>
      </c>
      <c r="C43" s="295">
        <v>7</v>
      </c>
      <c r="D43" s="291">
        <v>35</v>
      </c>
      <c r="E43" s="294">
        <v>0.7</v>
      </c>
      <c r="F43" s="294">
        <f t="shared" si="2"/>
        <v>0.16800000000000001</v>
      </c>
      <c r="G43" s="294">
        <f t="shared" si="3"/>
        <v>0.13200000000000001</v>
      </c>
      <c r="H43" s="294">
        <v>0</v>
      </c>
      <c r="I43" s="52">
        <f t="shared" si="1"/>
        <v>13.8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91">
        <v>60</v>
      </c>
      <c r="B44" s="291">
        <v>666</v>
      </c>
      <c r="C44" s="295" t="s">
        <v>324</v>
      </c>
      <c r="D44" s="291">
        <f>637+29</f>
        <v>666</v>
      </c>
      <c r="E44" s="294">
        <v>0.7</v>
      </c>
      <c r="F44" s="294">
        <f t="shared" si="2"/>
        <v>0.16800000000000001</v>
      </c>
      <c r="G44" s="294">
        <f t="shared" si="3"/>
        <v>0.13200000000000001</v>
      </c>
      <c r="H44" s="294">
        <v>0</v>
      </c>
      <c r="I44" s="52">
        <f t="shared" si="1"/>
        <v>10.199999999999999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Mélèze d'Europe</v>
      </c>
      <c r="C58" s="25">
        <v>2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312" t="s">
        <v>186</v>
      </c>
      <c r="D60" s="312"/>
      <c r="E60" s="313" t="s">
        <v>187</v>
      </c>
      <c r="F60" s="314"/>
      <c r="G60" s="314"/>
      <c r="H60" s="315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296">
        <v>12</v>
      </c>
      <c r="B62" s="296">
        <v>90.64</v>
      </c>
      <c r="C62" s="296">
        <v>0</v>
      </c>
      <c r="D62" s="296">
        <v>0</v>
      </c>
      <c r="E62" s="297">
        <v>0</v>
      </c>
      <c r="F62" s="297">
        <v>0.56000000000000005</v>
      </c>
      <c r="G62" s="297">
        <v>0.44</v>
      </c>
      <c r="H62" s="297">
        <v>0</v>
      </c>
      <c r="I62" s="56">
        <f>IFERROR(B62/A62,"")</f>
        <v>7.5533333333333337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296">
        <v>18</v>
      </c>
      <c r="B63" s="296">
        <v>230.56</v>
      </c>
      <c r="C63" s="296">
        <v>0</v>
      </c>
      <c r="D63" s="296">
        <v>0</v>
      </c>
      <c r="E63" s="297">
        <v>0</v>
      </c>
      <c r="F63" s="297">
        <v>0.56000000000000005</v>
      </c>
      <c r="G63" s="297">
        <v>0.44</v>
      </c>
      <c r="H63" s="297">
        <v>0</v>
      </c>
      <c r="I63" s="52">
        <f>IF(A63&lt;&gt;0,(B63-(B62-D62))/(A63-A62),"")</f>
        <v>23.320000000000004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296">
        <v>24</v>
      </c>
      <c r="B64" s="296">
        <v>372.24</v>
      </c>
      <c r="C64" s="296">
        <v>0</v>
      </c>
      <c r="D64" s="296">
        <v>0</v>
      </c>
      <c r="E64" s="297">
        <v>0.7</v>
      </c>
      <c r="F64" s="297">
        <v>0.16800000000000001</v>
      </c>
      <c r="G64" s="297">
        <v>0.13200000000000001</v>
      </c>
      <c r="H64" s="297">
        <v>0</v>
      </c>
      <c r="I64" s="52">
        <f>IF(A64&lt;&gt;0,(B64-(B63-D63))/(A64-A63),"")</f>
        <v>23.613333333333333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296">
        <v>30</v>
      </c>
      <c r="B65" s="296">
        <v>513.04</v>
      </c>
      <c r="C65" s="296">
        <v>1</v>
      </c>
      <c r="D65" s="296">
        <v>94.16</v>
      </c>
      <c r="E65" s="297">
        <v>0.7</v>
      </c>
      <c r="F65" s="297">
        <v>0.16800000000000001</v>
      </c>
      <c r="G65" s="297">
        <v>0.13200000000000001</v>
      </c>
      <c r="H65" s="297">
        <v>0</v>
      </c>
      <c r="I65" s="52">
        <f>IF(A65&lt;&gt;0,(B65-(B64-D64))/(A65-A64),"")</f>
        <v>23.466666666666658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296">
        <v>36</v>
      </c>
      <c r="B66" s="296">
        <v>546.48</v>
      </c>
      <c r="C66" s="296">
        <v>2</v>
      </c>
      <c r="D66" s="296">
        <v>104.72</v>
      </c>
      <c r="E66" s="297">
        <v>0.7</v>
      </c>
      <c r="F66" s="297">
        <v>0.16800000000000001</v>
      </c>
      <c r="G66" s="297">
        <v>0.13200000000000001</v>
      </c>
      <c r="H66" s="297">
        <v>0</v>
      </c>
      <c r="I66" s="52">
        <f t="shared" ref="I66:I81" si="4">IF(A66&lt;&gt;0,(B66-(B65-D65))/(A66-A65),"")</f>
        <v>21.266666666666669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296">
        <v>42</v>
      </c>
      <c r="B67" s="296">
        <v>541.20000000000005</v>
      </c>
      <c r="C67" s="296">
        <v>3</v>
      </c>
      <c r="D67" s="296">
        <v>106.48</v>
      </c>
      <c r="E67" s="297">
        <v>0.7</v>
      </c>
      <c r="F67" s="297">
        <v>0.16800000000000001</v>
      </c>
      <c r="G67" s="297">
        <v>0.13200000000000001</v>
      </c>
      <c r="H67" s="297">
        <v>0</v>
      </c>
      <c r="I67" s="52">
        <f t="shared" si="4"/>
        <v>16.573333333333341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296">
        <v>48</v>
      </c>
      <c r="B68" s="296">
        <v>528</v>
      </c>
      <c r="C68" s="296">
        <v>4</v>
      </c>
      <c r="D68" s="296">
        <v>108.24</v>
      </c>
      <c r="E68" s="297">
        <v>0.7</v>
      </c>
      <c r="F68" s="297">
        <v>0.16800000000000001</v>
      </c>
      <c r="G68" s="297">
        <v>0.13200000000000001</v>
      </c>
      <c r="H68" s="297">
        <v>0</v>
      </c>
      <c r="I68" s="52">
        <f t="shared" si="4"/>
        <v>15.546666666666662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54</v>
      </c>
      <c r="B69" s="53">
        <v>504.24</v>
      </c>
      <c r="C69" s="53">
        <v>5</v>
      </c>
      <c r="D69" s="53">
        <v>104.72</v>
      </c>
      <c r="E69" s="54">
        <v>0.7</v>
      </c>
      <c r="F69" s="54">
        <v>0.16800000000000001</v>
      </c>
      <c r="G69" s="54">
        <v>0.13200000000000001</v>
      </c>
      <c r="H69" s="54">
        <v>0</v>
      </c>
      <c r="I69" s="52">
        <f t="shared" si="4"/>
        <v>14.080000000000004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60</v>
      </c>
      <c r="B70" s="53">
        <v>469.92</v>
      </c>
      <c r="C70" s="53">
        <v>6</v>
      </c>
      <c r="D70" s="53">
        <v>98.56</v>
      </c>
      <c r="E70" s="54">
        <v>0.7</v>
      </c>
      <c r="F70" s="54">
        <v>0.16800000000000001</v>
      </c>
      <c r="G70" s="54">
        <v>0.13200000000000001</v>
      </c>
      <c r="H70" s="54">
        <v>0</v>
      </c>
      <c r="I70" s="52">
        <f t="shared" si="4"/>
        <v>11.73333333333334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66</v>
      </c>
      <c r="B71" s="53">
        <v>441.76</v>
      </c>
      <c r="C71" s="53">
        <v>7</v>
      </c>
      <c r="D71" s="53">
        <v>95.92</v>
      </c>
      <c r="E71" s="54">
        <v>0.7</v>
      </c>
      <c r="F71" s="54">
        <v>0.16800000000000001</v>
      </c>
      <c r="G71" s="54">
        <v>0.13200000000000001</v>
      </c>
      <c r="H71" s="54">
        <v>0</v>
      </c>
      <c r="I71" s="52">
        <f t="shared" si="4"/>
        <v>11.733333333333329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72</v>
      </c>
      <c r="B72" s="53">
        <v>407.44</v>
      </c>
      <c r="C72" s="53">
        <v>8</v>
      </c>
      <c r="D72" s="53">
        <v>88.88</v>
      </c>
      <c r="E72" s="54">
        <v>0.7</v>
      </c>
      <c r="F72" s="54">
        <v>0.16800000000000001</v>
      </c>
      <c r="G72" s="54">
        <v>0.13200000000000001</v>
      </c>
      <c r="H72" s="54">
        <v>0</v>
      </c>
      <c r="I72" s="52">
        <f t="shared" si="4"/>
        <v>10.266666666666671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78</v>
      </c>
      <c r="B73" s="53">
        <v>374.88</v>
      </c>
      <c r="C73" s="53" t="s">
        <v>324</v>
      </c>
      <c r="D73" s="53">
        <v>374.88</v>
      </c>
      <c r="E73" s="54">
        <v>0.7</v>
      </c>
      <c r="F73" s="54">
        <v>0.16800000000000001</v>
      </c>
      <c r="G73" s="54">
        <v>0.13200000000000001</v>
      </c>
      <c r="H73" s="54">
        <v>0</v>
      </c>
      <c r="I73" s="52">
        <f t="shared" si="4"/>
        <v>9.3866666666666649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4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4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4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4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4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4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4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4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Chêne sessile</v>
      </c>
      <c r="C84" s="25">
        <v>3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312" t="s">
        <v>186</v>
      </c>
      <c r="D86" s="312"/>
      <c r="E86" s="313" t="s">
        <v>187</v>
      </c>
      <c r="F86" s="314"/>
      <c r="G86" s="314"/>
      <c r="H86" s="315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298">
        <v>56</v>
      </c>
      <c r="B88" s="298">
        <v>112</v>
      </c>
      <c r="C88" s="295">
        <v>1</v>
      </c>
      <c r="D88" s="295">
        <v>33</v>
      </c>
      <c r="E88" s="294">
        <v>0</v>
      </c>
      <c r="F88" s="294">
        <v>0</v>
      </c>
      <c r="G88" s="294">
        <v>0</v>
      </c>
      <c r="H88" s="294">
        <v>1</v>
      </c>
      <c r="I88" s="56">
        <f>IFERROR(B88/A88,"")</f>
        <v>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298">
        <v>64</v>
      </c>
      <c r="B89" s="309">
        <v>119</v>
      </c>
      <c r="C89" s="295">
        <v>2</v>
      </c>
      <c r="D89" s="295">
        <v>34</v>
      </c>
      <c r="E89" s="294">
        <v>0</v>
      </c>
      <c r="F89" s="294">
        <v>0</v>
      </c>
      <c r="G89" s="294">
        <v>0</v>
      </c>
      <c r="H89" s="294">
        <v>1</v>
      </c>
      <c r="I89" s="56">
        <f t="shared" ref="I89:I107" si="5">IF(A89&lt;&gt;0,(B89-(B88-D88))/(A89-A88),"")</f>
        <v>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298">
        <v>72</v>
      </c>
      <c r="B90" s="309">
        <v>118</v>
      </c>
      <c r="C90" s="295">
        <v>3</v>
      </c>
      <c r="D90" s="295">
        <v>28</v>
      </c>
      <c r="E90" s="294">
        <v>0</v>
      </c>
      <c r="F90" s="294">
        <v>0</v>
      </c>
      <c r="G90" s="294">
        <v>0</v>
      </c>
      <c r="H90" s="294">
        <v>1</v>
      </c>
      <c r="I90" s="56">
        <f t="shared" si="5"/>
        <v>4.125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298">
        <v>81</v>
      </c>
      <c r="B91" s="309">
        <v>122</v>
      </c>
      <c r="C91" s="295">
        <v>4</v>
      </c>
      <c r="D91" s="295">
        <v>26</v>
      </c>
      <c r="E91" s="294">
        <v>0.7</v>
      </c>
      <c r="F91" s="294">
        <v>0</v>
      </c>
      <c r="G91" s="294">
        <v>0</v>
      </c>
      <c r="H91" s="294">
        <v>0.3</v>
      </c>
      <c r="I91" s="56">
        <f t="shared" si="5"/>
        <v>3.5555555555555554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298">
        <v>90</v>
      </c>
      <c r="B92" s="309">
        <v>125</v>
      </c>
      <c r="C92" s="295">
        <v>5</v>
      </c>
      <c r="D92" s="295">
        <v>22</v>
      </c>
      <c r="E92" s="294">
        <v>0.7</v>
      </c>
      <c r="F92" s="294">
        <v>0</v>
      </c>
      <c r="G92" s="294">
        <v>0</v>
      </c>
      <c r="H92" s="294">
        <v>0.3</v>
      </c>
      <c r="I92" s="56">
        <f t="shared" si="5"/>
        <v>3.2222222222222223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298">
        <v>100</v>
      </c>
      <c r="B93" s="309">
        <v>134</v>
      </c>
      <c r="C93" s="295">
        <v>6</v>
      </c>
      <c r="D93" s="295">
        <v>22</v>
      </c>
      <c r="E93" s="294">
        <v>0.7</v>
      </c>
      <c r="F93" s="294">
        <v>0</v>
      </c>
      <c r="G93" s="294">
        <v>0</v>
      </c>
      <c r="H93" s="294">
        <v>0.3</v>
      </c>
      <c r="I93" s="56">
        <f t="shared" si="5"/>
        <v>3.1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298">
        <v>110</v>
      </c>
      <c r="B94" s="309">
        <v>146</v>
      </c>
      <c r="C94" s="295">
        <v>7</v>
      </c>
      <c r="D94" s="295">
        <v>24</v>
      </c>
      <c r="E94" s="294">
        <v>0.7</v>
      </c>
      <c r="F94" s="294">
        <v>0</v>
      </c>
      <c r="G94" s="294">
        <v>0</v>
      </c>
      <c r="H94" s="294">
        <v>0.3</v>
      </c>
      <c r="I94" s="56">
        <f t="shared" si="5"/>
        <v>3.4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298">
        <v>122</v>
      </c>
      <c r="B95" s="309">
        <v>159</v>
      </c>
      <c r="C95" s="295">
        <v>8</v>
      </c>
      <c r="D95" s="295">
        <v>25</v>
      </c>
      <c r="E95" s="294">
        <v>0.9</v>
      </c>
      <c r="F95" s="294">
        <v>0</v>
      </c>
      <c r="G95" s="294">
        <v>0</v>
      </c>
      <c r="H95" s="294">
        <v>0.1</v>
      </c>
      <c r="I95" s="56">
        <f t="shared" si="5"/>
        <v>3.0833333333333335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298">
        <v>134</v>
      </c>
      <c r="B96" s="298">
        <v>171</v>
      </c>
      <c r="C96" s="295">
        <v>9</v>
      </c>
      <c r="D96" s="295">
        <v>26</v>
      </c>
      <c r="E96" s="294">
        <v>0.9</v>
      </c>
      <c r="F96" s="294">
        <v>0</v>
      </c>
      <c r="G96" s="294">
        <v>0</v>
      </c>
      <c r="H96" s="294">
        <v>0.1</v>
      </c>
      <c r="I96" s="56">
        <f t="shared" si="5"/>
        <v>3.0833333333333335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298">
        <v>148</v>
      </c>
      <c r="B97" s="298">
        <v>189</v>
      </c>
      <c r="C97" s="295">
        <v>10</v>
      </c>
      <c r="D97" s="295">
        <v>30</v>
      </c>
      <c r="E97" s="294">
        <v>0.9</v>
      </c>
      <c r="F97" s="294">
        <v>0</v>
      </c>
      <c r="G97" s="294">
        <v>0</v>
      </c>
      <c r="H97" s="294">
        <v>0.1</v>
      </c>
      <c r="I97" s="56">
        <f t="shared" si="5"/>
        <v>3.1428571428571428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298">
        <v>162</v>
      </c>
      <c r="B98" s="298">
        <v>212</v>
      </c>
      <c r="C98" s="295">
        <v>11</v>
      </c>
      <c r="D98" s="295">
        <v>37</v>
      </c>
      <c r="E98" s="294">
        <v>0.9</v>
      </c>
      <c r="F98" s="294">
        <v>0</v>
      </c>
      <c r="G98" s="294">
        <v>0</v>
      </c>
      <c r="H98" s="294">
        <v>0.1</v>
      </c>
      <c r="I98" s="56">
        <f t="shared" si="5"/>
        <v>3.7857142857142856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298">
        <v>177</v>
      </c>
      <c r="B99" s="298">
        <v>230</v>
      </c>
      <c r="C99" s="295" t="s">
        <v>324</v>
      </c>
      <c r="D99" s="295">
        <v>230</v>
      </c>
      <c r="E99" s="294">
        <v>0.9</v>
      </c>
      <c r="F99" s="294">
        <v>0</v>
      </c>
      <c r="G99" s="294">
        <v>0</v>
      </c>
      <c r="H99" s="294">
        <v>0.1</v>
      </c>
      <c r="I99" s="56">
        <f t="shared" si="5"/>
        <v>3.6666666666666665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5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5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5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5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5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5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5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5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Chêne pédonculé</v>
      </c>
      <c r="C110" s="25">
        <v>3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312" t="s">
        <v>186</v>
      </c>
      <c r="D112" s="312"/>
      <c r="E112" s="313" t="s">
        <v>187</v>
      </c>
      <c r="F112" s="314"/>
      <c r="G112" s="314"/>
      <c r="H112" s="315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298">
        <v>56</v>
      </c>
      <c r="B114" s="298">
        <v>112</v>
      </c>
      <c r="C114" s="295">
        <v>1</v>
      </c>
      <c r="D114" s="295">
        <v>33</v>
      </c>
      <c r="E114" s="294">
        <v>0</v>
      </c>
      <c r="F114" s="294">
        <v>0</v>
      </c>
      <c r="G114" s="294">
        <v>0</v>
      </c>
      <c r="H114" s="294">
        <v>1</v>
      </c>
      <c r="I114" s="56">
        <f>IFERROR(B114/A114,"")</f>
        <v>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298">
        <v>64</v>
      </c>
      <c r="B115" s="309">
        <v>119</v>
      </c>
      <c r="C115" s="295">
        <v>2</v>
      </c>
      <c r="D115" s="295">
        <v>34</v>
      </c>
      <c r="E115" s="294">
        <v>0</v>
      </c>
      <c r="F115" s="294">
        <v>0</v>
      </c>
      <c r="G115" s="294">
        <v>0</v>
      </c>
      <c r="H115" s="294">
        <v>1</v>
      </c>
      <c r="I115" s="56">
        <f t="shared" ref="I115:I133" si="6">IF(A115&lt;&gt;0,(B115-(B114-D114))/(A115-A114),"")</f>
        <v>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298">
        <v>72</v>
      </c>
      <c r="B116" s="309">
        <v>118</v>
      </c>
      <c r="C116" s="295">
        <v>3</v>
      </c>
      <c r="D116" s="295">
        <v>28</v>
      </c>
      <c r="E116" s="294">
        <v>0</v>
      </c>
      <c r="F116" s="294">
        <v>0</v>
      </c>
      <c r="G116" s="294">
        <v>0</v>
      </c>
      <c r="H116" s="294">
        <v>1</v>
      </c>
      <c r="I116" s="56">
        <f t="shared" si="6"/>
        <v>4.125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298">
        <v>81</v>
      </c>
      <c r="B117" s="309">
        <v>122</v>
      </c>
      <c r="C117" s="295">
        <v>4</v>
      </c>
      <c r="D117" s="295">
        <v>26</v>
      </c>
      <c r="E117" s="294">
        <v>0.7</v>
      </c>
      <c r="F117" s="294">
        <v>0</v>
      </c>
      <c r="G117" s="294">
        <v>0</v>
      </c>
      <c r="H117" s="294">
        <v>0.3</v>
      </c>
      <c r="I117" s="56">
        <f t="shared" si="6"/>
        <v>3.5555555555555554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298">
        <v>90</v>
      </c>
      <c r="B118" s="309">
        <v>125</v>
      </c>
      <c r="C118" s="295">
        <v>5</v>
      </c>
      <c r="D118" s="295">
        <v>22</v>
      </c>
      <c r="E118" s="294">
        <v>0.7</v>
      </c>
      <c r="F118" s="294">
        <v>0</v>
      </c>
      <c r="G118" s="294">
        <v>0</v>
      </c>
      <c r="H118" s="294">
        <v>0.3</v>
      </c>
      <c r="I118" s="56">
        <f t="shared" si="6"/>
        <v>3.2222222222222223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298">
        <v>100</v>
      </c>
      <c r="B119" s="309">
        <v>134</v>
      </c>
      <c r="C119" s="295">
        <v>6</v>
      </c>
      <c r="D119" s="295">
        <v>22</v>
      </c>
      <c r="E119" s="294">
        <v>0.7</v>
      </c>
      <c r="F119" s="294">
        <v>0</v>
      </c>
      <c r="G119" s="294">
        <v>0</v>
      </c>
      <c r="H119" s="294">
        <v>0.3</v>
      </c>
      <c r="I119" s="56">
        <f t="shared" si="6"/>
        <v>3.1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298">
        <v>110</v>
      </c>
      <c r="B120" s="309">
        <v>146</v>
      </c>
      <c r="C120" s="295">
        <v>7</v>
      </c>
      <c r="D120" s="295">
        <v>24</v>
      </c>
      <c r="E120" s="294">
        <v>0.7</v>
      </c>
      <c r="F120" s="294">
        <v>0</v>
      </c>
      <c r="G120" s="294">
        <v>0</v>
      </c>
      <c r="H120" s="294">
        <v>0.3</v>
      </c>
      <c r="I120" s="56">
        <f t="shared" si="6"/>
        <v>3.4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298">
        <v>122</v>
      </c>
      <c r="B121" s="309">
        <v>159</v>
      </c>
      <c r="C121" s="295">
        <v>8</v>
      </c>
      <c r="D121" s="295">
        <v>25</v>
      </c>
      <c r="E121" s="294">
        <v>0.9</v>
      </c>
      <c r="F121" s="294">
        <v>0</v>
      </c>
      <c r="G121" s="294">
        <v>0</v>
      </c>
      <c r="H121" s="294">
        <v>0.1</v>
      </c>
      <c r="I121" s="56">
        <f t="shared" si="6"/>
        <v>3.0833333333333335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298">
        <v>134</v>
      </c>
      <c r="B122" s="298">
        <v>171</v>
      </c>
      <c r="C122" s="295">
        <v>9</v>
      </c>
      <c r="D122" s="295">
        <v>26</v>
      </c>
      <c r="E122" s="294">
        <v>0.9</v>
      </c>
      <c r="F122" s="294">
        <v>0</v>
      </c>
      <c r="G122" s="294">
        <v>0</v>
      </c>
      <c r="H122" s="294">
        <v>0.1</v>
      </c>
      <c r="I122" s="56">
        <f t="shared" si="6"/>
        <v>3.0833333333333335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298">
        <v>148</v>
      </c>
      <c r="B123" s="298">
        <v>189</v>
      </c>
      <c r="C123" s="295">
        <v>10</v>
      </c>
      <c r="D123" s="295">
        <v>30</v>
      </c>
      <c r="E123" s="294">
        <v>0.9</v>
      </c>
      <c r="F123" s="294">
        <v>0</v>
      </c>
      <c r="G123" s="294">
        <v>0</v>
      </c>
      <c r="H123" s="294">
        <v>0.1</v>
      </c>
      <c r="I123" s="56">
        <f t="shared" si="6"/>
        <v>3.1428571428571428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298">
        <v>162</v>
      </c>
      <c r="B124" s="298">
        <v>212</v>
      </c>
      <c r="C124" s="295">
        <v>11</v>
      </c>
      <c r="D124" s="295">
        <v>37</v>
      </c>
      <c r="E124" s="294">
        <v>0.9</v>
      </c>
      <c r="F124" s="294">
        <v>0</v>
      </c>
      <c r="G124" s="294">
        <v>0</v>
      </c>
      <c r="H124" s="294">
        <v>0.1</v>
      </c>
      <c r="I124" s="56">
        <f t="shared" si="6"/>
        <v>3.7857142857142856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298">
        <v>177</v>
      </c>
      <c r="B125" s="298">
        <v>230</v>
      </c>
      <c r="C125" s="295" t="s">
        <v>324</v>
      </c>
      <c r="D125" s="295">
        <v>230</v>
      </c>
      <c r="E125" s="294">
        <v>0.9</v>
      </c>
      <c r="F125" s="294">
        <v>0</v>
      </c>
      <c r="G125" s="294">
        <v>0</v>
      </c>
      <c r="H125" s="294">
        <v>0.1</v>
      </c>
      <c r="I125" s="56">
        <f t="shared" si="6"/>
        <v>3.6666666666666665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6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6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6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6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6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6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6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6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Aulne glutineux</v>
      </c>
      <c r="C136" s="25">
        <v>4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312" t="s">
        <v>186</v>
      </c>
      <c r="D138" s="312"/>
      <c r="E138" s="313" t="s">
        <v>187</v>
      </c>
      <c r="F138" s="314"/>
      <c r="G138" s="314"/>
      <c r="H138" s="315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291">
        <v>15</v>
      </c>
      <c r="B140" s="360">
        <v>81.10499999999999</v>
      </c>
      <c r="C140" s="295">
        <v>1</v>
      </c>
      <c r="D140" s="360">
        <v>13.517499999999998</v>
      </c>
      <c r="E140" s="294">
        <v>0</v>
      </c>
      <c r="F140" s="294">
        <v>0</v>
      </c>
      <c r="G140" s="294">
        <v>0</v>
      </c>
      <c r="H140" s="294">
        <v>1</v>
      </c>
      <c r="I140" s="60">
        <f>IFERROR(B140/A140,"")</f>
        <v>5.4069999999999991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291">
        <v>25</v>
      </c>
      <c r="B141" s="360">
        <v>146.73250000000002</v>
      </c>
      <c r="C141" s="295">
        <v>2</v>
      </c>
      <c r="D141" s="360">
        <v>24.455416666666672</v>
      </c>
      <c r="E141" s="294">
        <v>0.7</v>
      </c>
      <c r="F141" s="294">
        <v>0</v>
      </c>
      <c r="G141" s="294">
        <v>0</v>
      </c>
      <c r="H141" s="294">
        <v>0.3</v>
      </c>
      <c r="I141" s="60">
        <f t="shared" ref="I141:I159" si="7">IF(A141&lt;&gt;0,(B141-(B140-D140))/(A141-A140),"")</f>
        <v>7.9145000000000021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291">
        <v>35</v>
      </c>
      <c r="B142" s="360">
        <v>221.48208333333338</v>
      </c>
      <c r="C142" s="295">
        <v>3</v>
      </c>
      <c r="D142" s="360">
        <v>36.913680555555565</v>
      </c>
      <c r="E142" s="294">
        <v>0.7</v>
      </c>
      <c r="F142" s="294">
        <v>0</v>
      </c>
      <c r="G142" s="294">
        <v>0</v>
      </c>
      <c r="H142" s="294">
        <v>0.3</v>
      </c>
      <c r="I142" s="60">
        <f t="shared" si="7"/>
        <v>9.9205000000000041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291">
        <v>45</v>
      </c>
      <c r="B143" s="360">
        <v>303.83340277777774</v>
      </c>
      <c r="C143" s="295">
        <v>4</v>
      </c>
      <c r="D143" s="360">
        <v>50.638900462962958</v>
      </c>
      <c r="E143" s="294">
        <v>0.7</v>
      </c>
      <c r="F143" s="294">
        <v>0</v>
      </c>
      <c r="G143" s="294">
        <v>0</v>
      </c>
      <c r="H143" s="294">
        <v>0.3</v>
      </c>
      <c r="I143" s="60">
        <f t="shared" si="7"/>
        <v>11.926499999999994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291">
        <v>55</v>
      </c>
      <c r="B144" s="360">
        <v>392.51950231481487</v>
      </c>
      <c r="C144" s="295" t="s">
        <v>324</v>
      </c>
      <c r="D144" s="360">
        <v>392.51950231481487</v>
      </c>
      <c r="E144" s="294">
        <v>0.7</v>
      </c>
      <c r="F144" s="294">
        <v>0</v>
      </c>
      <c r="G144" s="294">
        <v>0</v>
      </c>
      <c r="H144" s="294">
        <v>0.3</v>
      </c>
      <c r="I144" s="60">
        <f t="shared" si="7"/>
        <v>13.93250000000001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7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7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7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7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7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7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7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7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7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7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7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7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7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7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Erable sycomore</v>
      </c>
      <c r="C162" s="25">
        <v>4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312" t="s">
        <v>186</v>
      </c>
      <c r="D164" s="312"/>
      <c r="E164" s="313" t="s">
        <v>187</v>
      </c>
      <c r="F164" s="314"/>
      <c r="G164" s="314"/>
      <c r="H164" s="315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291">
        <v>15</v>
      </c>
      <c r="B166" s="360">
        <v>81.10499999999999</v>
      </c>
      <c r="C166" s="295">
        <v>1</v>
      </c>
      <c r="D166" s="360">
        <v>13.517499999999998</v>
      </c>
      <c r="E166" s="294">
        <v>0</v>
      </c>
      <c r="F166" s="294">
        <v>0</v>
      </c>
      <c r="G166" s="294">
        <v>0</v>
      </c>
      <c r="H166" s="294">
        <v>1</v>
      </c>
      <c r="I166" s="52">
        <f>IFERROR(B166/A166,"")</f>
        <v>5.4069999999999991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291">
        <v>25</v>
      </c>
      <c r="B167" s="360">
        <v>146.73250000000002</v>
      </c>
      <c r="C167" s="295">
        <v>2</v>
      </c>
      <c r="D167" s="360">
        <v>24.455416666666672</v>
      </c>
      <c r="E167" s="294">
        <v>0.7</v>
      </c>
      <c r="F167" s="294">
        <v>0</v>
      </c>
      <c r="G167" s="294">
        <v>0</v>
      </c>
      <c r="H167" s="294">
        <v>0.3</v>
      </c>
      <c r="I167" s="52">
        <f t="shared" ref="I167:I185" si="8">IF(A167&lt;&gt;0,(B167-(B166-D166))/(A167-A166),"")</f>
        <v>7.9145000000000021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291">
        <v>35</v>
      </c>
      <c r="B168" s="360">
        <v>221.48208333333338</v>
      </c>
      <c r="C168" s="295">
        <v>3</v>
      </c>
      <c r="D168" s="360">
        <v>36.913680555555565</v>
      </c>
      <c r="E168" s="294">
        <v>0.7</v>
      </c>
      <c r="F168" s="294">
        <v>0</v>
      </c>
      <c r="G168" s="294">
        <v>0</v>
      </c>
      <c r="H168" s="294">
        <v>0.3</v>
      </c>
      <c r="I168" s="52">
        <f t="shared" si="8"/>
        <v>9.9205000000000041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291">
        <v>45</v>
      </c>
      <c r="B169" s="360">
        <v>303.83340277777774</v>
      </c>
      <c r="C169" s="295">
        <v>4</v>
      </c>
      <c r="D169" s="360">
        <v>50.638900462962958</v>
      </c>
      <c r="E169" s="294">
        <v>0.7</v>
      </c>
      <c r="F169" s="294">
        <v>0</v>
      </c>
      <c r="G169" s="294">
        <v>0</v>
      </c>
      <c r="H169" s="294">
        <v>0.3</v>
      </c>
      <c r="I169" s="52">
        <f t="shared" si="8"/>
        <v>11.926499999999994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291">
        <v>55</v>
      </c>
      <c r="B170" s="360">
        <v>392.51950231481487</v>
      </c>
      <c r="C170" s="295" t="s">
        <v>324</v>
      </c>
      <c r="D170" s="360">
        <v>392.51950231481487</v>
      </c>
      <c r="E170" s="294">
        <v>0.7</v>
      </c>
      <c r="F170" s="294">
        <v>0</v>
      </c>
      <c r="G170" s="294">
        <v>0</v>
      </c>
      <c r="H170" s="294">
        <v>0.3</v>
      </c>
      <c r="I170" s="52">
        <f t="shared" si="8"/>
        <v>13.93250000000001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8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8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8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8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8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8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8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8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8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8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8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8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8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8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8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Tilleul</v>
      </c>
      <c r="C188" s="25">
        <v>4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312" t="s">
        <v>186</v>
      </c>
      <c r="D190" s="312"/>
      <c r="E190" s="313" t="s">
        <v>187</v>
      </c>
      <c r="F190" s="314"/>
      <c r="G190" s="314"/>
      <c r="H190" s="315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291">
        <v>15</v>
      </c>
      <c r="B192" s="360">
        <v>81.10499999999999</v>
      </c>
      <c r="C192" s="295">
        <v>1</v>
      </c>
      <c r="D192" s="360">
        <v>13.517499999999998</v>
      </c>
      <c r="E192" s="294">
        <v>0</v>
      </c>
      <c r="F192" s="294">
        <v>0</v>
      </c>
      <c r="G192" s="294">
        <v>0</v>
      </c>
      <c r="H192" s="294">
        <v>1</v>
      </c>
      <c r="I192" s="52">
        <f>IFERROR(B192/A192,"")</f>
        <v>5.4069999999999991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291">
        <v>25</v>
      </c>
      <c r="B193" s="360">
        <v>146.73250000000002</v>
      </c>
      <c r="C193" s="295">
        <v>2</v>
      </c>
      <c r="D193" s="360">
        <v>24.455416666666672</v>
      </c>
      <c r="E193" s="294">
        <v>0.7</v>
      </c>
      <c r="F193" s="294">
        <v>0</v>
      </c>
      <c r="G193" s="294">
        <v>0</v>
      </c>
      <c r="H193" s="294">
        <v>0.3</v>
      </c>
      <c r="I193" s="52">
        <f t="shared" ref="I193:I211" si="9">IF(A193&lt;&gt;0,(B193-(B192-D192))/(A193-A192),"")</f>
        <v>7.9145000000000021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291">
        <v>35</v>
      </c>
      <c r="B194" s="360">
        <v>221.48208333333338</v>
      </c>
      <c r="C194" s="295">
        <v>3</v>
      </c>
      <c r="D194" s="360">
        <v>36.913680555555565</v>
      </c>
      <c r="E194" s="294">
        <v>0.7</v>
      </c>
      <c r="F194" s="294">
        <v>0</v>
      </c>
      <c r="G194" s="294">
        <v>0</v>
      </c>
      <c r="H194" s="294">
        <v>0.3</v>
      </c>
      <c r="I194" s="52">
        <f t="shared" si="9"/>
        <v>9.9205000000000041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291">
        <v>45</v>
      </c>
      <c r="B195" s="360">
        <v>303.83340277777774</v>
      </c>
      <c r="C195" s="295">
        <v>4</v>
      </c>
      <c r="D195" s="360">
        <v>50.638900462962958</v>
      </c>
      <c r="E195" s="294">
        <v>0.7</v>
      </c>
      <c r="F195" s="294">
        <v>0</v>
      </c>
      <c r="G195" s="294">
        <v>0</v>
      </c>
      <c r="H195" s="294">
        <v>0.3</v>
      </c>
      <c r="I195" s="52">
        <f t="shared" si="9"/>
        <v>11.926499999999994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291">
        <v>55</v>
      </c>
      <c r="B196" s="360">
        <v>392.51950231481487</v>
      </c>
      <c r="C196" s="295" t="s">
        <v>324</v>
      </c>
      <c r="D196" s="360">
        <v>392.51950231481487</v>
      </c>
      <c r="E196" s="294">
        <v>0.7</v>
      </c>
      <c r="F196" s="294">
        <v>0</v>
      </c>
      <c r="G196" s="294">
        <v>0</v>
      </c>
      <c r="H196" s="294">
        <v>0.3</v>
      </c>
      <c r="I196" s="52">
        <f t="shared" si="9"/>
        <v>13.93250000000001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9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9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9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9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9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9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9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9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9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9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9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9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9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9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9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312" t="s">
        <v>186</v>
      </c>
      <c r="D216" s="312"/>
      <c r="E216" s="313" t="s">
        <v>187</v>
      </c>
      <c r="F216" s="314"/>
      <c r="G216" s="314"/>
      <c r="H216" s="315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10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10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10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10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10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10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10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10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10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10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10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10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3"/>
      <c r="B231" s="63"/>
      <c r="C231" s="93"/>
      <c r="D231" s="63"/>
      <c r="E231" s="57"/>
      <c r="F231" s="57"/>
      <c r="G231" s="57"/>
      <c r="H231" s="57"/>
      <c r="I231" s="56" t="str">
        <f t="shared" si="10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0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0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0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0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0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0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312" t="s">
        <v>186</v>
      </c>
      <c r="D242" s="312"/>
      <c r="E242" s="313" t="s">
        <v>187</v>
      </c>
      <c r="F242" s="314"/>
      <c r="G242" s="314"/>
      <c r="H242" s="315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1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1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1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1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1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1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1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1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1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1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3"/>
      <c r="B257" s="63"/>
      <c r="C257" s="93"/>
      <c r="D257" s="63"/>
      <c r="E257" s="57"/>
      <c r="F257" s="57"/>
      <c r="G257" s="57"/>
      <c r="H257" s="57"/>
      <c r="I257" s="56" t="str">
        <f t="shared" si="11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1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1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1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1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1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1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312" t="s">
        <v>186</v>
      </c>
      <c r="D268" s="312"/>
      <c r="E268" s="313" t="s">
        <v>187</v>
      </c>
      <c r="F268" s="314"/>
      <c r="G268" s="314"/>
      <c r="H268" s="315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2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2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2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2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2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2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2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2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2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2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2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3"/>
      <c r="B283" s="63"/>
      <c r="C283" s="93"/>
      <c r="D283" s="63"/>
      <c r="E283" s="57"/>
      <c r="F283" s="57"/>
      <c r="G283" s="57"/>
      <c r="H283" s="57"/>
      <c r="I283" s="56" t="str">
        <f t="shared" si="12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2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2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2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2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2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2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A13" sqref="A13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26" t="s">
        <v>191</v>
      </c>
      <c r="C2" s="327"/>
      <c r="D2" s="327"/>
      <c r="E2" s="327"/>
      <c r="F2" s="327"/>
      <c r="G2" s="32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25"/>
      <c r="C4" s="325"/>
      <c r="D4" s="325"/>
      <c r="E4" s="325"/>
      <c r="F4" s="325"/>
      <c r="G4" s="32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2">
      <c r="A8" s="113">
        <v>1</v>
      </c>
      <c r="B8" s="64">
        <v>0</v>
      </c>
      <c r="C8" s="52" t="s">
        <v>177</v>
      </c>
      <c r="D8" s="25"/>
      <c r="E8" s="113">
        <v>4</v>
      </c>
      <c r="F8" s="64">
        <v>1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3">
        <v>2</v>
      </c>
      <c r="B9" s="64">
        <v>0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1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2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4">
        <f>SUM(B16:B18)</f>
        <v>0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32" t="s">
        <v>176</v>
      </c>
      <c r="C1" s="333"/>
      <c r="D1" s="333"/>
      <c r="E1" s="333"/>
      <c r="F1" s="333"/>
      <c r="G1" s="333"/>
      <c r="H1" s="334"/>
      <c r="I1" s="329" t="str">
        <f>IF('Données projet'!$B$9="","",'Données projet'!$B$9)</f>
        <v>Douglas</v>
      </c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1"/>
      <c r="AD1" s="330" t="str">
        <f>IF('Données projet'!$B$10="","",'Données projet'!$B$10)</f>
        <v>Mélèze d'Europe</v>
      </c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1"/>
      <c r="AY1" s="329" t="str">
        <f>IF('Données projet'!$B$11="","",'Données projet'!$B$11)</f>
        <v>Chêne sessile</v>
      </c>
      <c r="AZ1" s="330"/>
      <c r="BA1" s="330"/>
      <c r="BB1" s="330"/>
      <c r="BC1" s="330"/>
      <c r="BD1" s="330"/>
      <c r="BE1" s="330"/>
      <c r="BF1" s="330"/>
      <c r="BG1" s="330"/>
      <c r="BH1" s="330"/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1"/>
      <c r="BT1" s="329" t="str">
        <f>IF('Données projet'!$B$12="","",'Données projet'!$B$12)</f>
        <v>Chêne pédonculé</v>
      </c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30"/>
      <c r="CG1" s="330"/>
      <c r="CH1" s="330"/>
      <c r="CI1" s="330"/>
      <c r="CJ1" s="330"/>
      <c r="CK1" s="330"/>
      <c r="CL1" s="330"/>
      <c r="CM1" s="330"/>
      <c r="CN1" s="331"/>
      <c r="CO1" s="329" t="str">
        <f>IF('Données projet'!$B$13="","",'Données projet'!$B$13)</f>
        <v>Aulne glutineux</v>
      </c>
      <c r="CP1" s="330"/>
      <c r="CQ1" s="330"/>
      <c r="CR1" s="330"/>
      <c r="CS1" s="330"/>
      <c r="CT1" s="330"/>
      <c r="CU1" s="330"/>
      <c r="CV1" s="330"/>
      <c r="CW1" s="330"/>
      <c r="CX1" s="330"/>
      <c r="CY1" s="330"/>
      <c r="CZ1" s="330"/>
      <c r="DA1" s="330"/>
      <c r="DB1" s="330"/>
      <c r="DC1" s="330"/>
      <c r="DD1" s="330"/>
      <c r="DE1" s="330"/>
      <c r="DF1" s="330"/>
      <c r="DG1" s="330"/>
      <c r="DH1" s="330"/>
      <c r="DI1" s="331"/>
      <c r="DJ1" s="329" t="str">
        <f>IF('Données projet'!$B$14="","",'Données projet'!$B$14)</f>
        <v>Erable sycomore</v>
      </c>
      <c r="DK1" s="330"/>
      <c r="DL1" s="330"/>
      <c r="DM1" s="330"/>
      <c r="DN1" s="330"/>
      <c r="DO1" s="330"/>
      <c r="DP1" s="330"/>
      <c r="DQ1" s="330"/>
      <c r="DR1" s="330"/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1"/>
      <c r="EE1" s="329" t="str">
        <f>IF('Données projet'!$B$15="","",'Données projet'!$B$15)</f>
        <v>Tilleul</v>
      </c>
      <c r="EF1" s="330"/>
      <c r="EG1" s="330"/>
      <c r="EH1" s="330"/>
      <c r="EI1" s="330"/>
      <c r="EJ1" s="330"/>
      <c r="EK1" s="330"/>
      <c r="EL1" s="330"/>
      <c r="EM1" s="330"/>
      <c r="EN1" s="330"/>
      <c r="EO1" s="330"/>
      <c r="EP1" s="330"/>
      <c r="EQ1" s="330"/>
      <c r="ER1" s="330"/>
      <c r="ES1" s="330"/>
      <c r="ET1" s="330"/>
      <c r="EU1" s="330"/>
      <c r="EV1" s="330"/>
      <c r="EW1" s="330"/>
      <c r="EX1" s="330"/>
      <c r="EY1" s="331"/>
      <c r="EZ1" s="329" t="str">
        <f>IF('Données projet'!$B$16="","",'Données projet'!$B$16)</f>
        <v/>
      </c>
      <c r="FA1" s="330"/>
      <c r="FB1" s="330"/>
      <c r="FC1" s="330"/>
      <c r="FD1" s="330"/>
      <c r="FE1" s="330"/>
      <c r="FF1" s="330"/>
      <c r="FG1" s="330"/>
      <c r="FH1" s="330"/>
      <c r="FI1" s="330"/>
      <c r="FJ1" s="330"/>
      <c r="FK1" s="330"/>
      <c r="FL1" s="330"/>
      <c r="FM1" s="330"/>
      <c r="FN1" s="330"/>
      <c r="FO1" s="330"/>
      <c r="FP1" s="330"/>
      <c r="FQ1" s="330"/>
      <c r="FR1" s="330"/>
      <c r="FS1" s="330"/>
      <c r="FT1" s="331"/>
      <c r="FU1" s="329" t="str">
        <f>IF('Données projet'!$B$17="","",'Données projet'!$B$17)</f>
        <v/>
      </c>
      <c r="FV1" s="330"/>
      <c r="FW1" s="330"/>
      <c r="FX1" s="330"/>
      <c r="FY1" s="330"/>
      <c r="FZ1" s="330"/>
      <c r="GA1" s="330"/>
      <c r="GB1" s="330"/>
      <c r="GC1" s="330"/>
      <c r="GD1" s="330"/>
      <c r="GE1" s="330"/>
      <c r="GF1" s="330"/>
      <c r="GG1" s="330"/>
      <c r="GH1" s="330"/>
      <c r="GI1" s="330"/>
      <c r="GJ1" s="330"/>
      <c r="GK1" s="330"/>
      <c r="GL1" s="330"/>
      <c r="GM1" s="330"/>
      <c r="GN1" s="330"/>
      <c r="GO1" s="331"/>
      <c r="GP1" s="329" t="str">
        <f>IF('Données projet'!$B$18="","",'Données projet'!$B$18)</f>
        <v/>
      </c>
      <c r="GQ1" s="330"/>
      <c r="GR1" s="330"/>
      <c r="GS1" s="330"/>
      <c r="GT1" s="330"/>
      <c r="GU1" s="330"/>
      <c r="GV1" s="330"/>
      <c r="GW1" s="330"/>
      <c r="GX1" s="330"/>
      <c r="GY1" s="330"/>
      <c r="GZ1" s="330"/>
      <c r="HA1" s="330"/>
      <c r="HB1" s="330"/>
      <c r="HC1" s="330"/>
      <c r="HD1" s="330"/>
      <c r="HE1" s="330"/>
      <c r="HF1" s="330"/>
      <c r="HG1" s="330"/>
      <c r="HH1" s="330"/>
      <c r="HI1" s="330"/>
      <c r="HJ1" s="331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382.55387448074327</v>
      </c>
      <c r="T3" s="62">
        <f>IF('Données projet'!E9&gt;30,$R$33-$H$33,LOOKUP('Données projet'!$E$9,$A$3:$A$203,R3:R203)-LOOKUP('Données projet'!$E$9,$A$3:$A$203,$H$3:$H$203))</f>
        <v>476.29465646955543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420.68062999212015</v>
      </c>
      <c r="AO3" s="62">
        <f>IF('Données projet'!E10&gt;30,$AM$33-$H$33,LOOKUP('Données projet'!$E$10,$A$3:$A$203,AM3:AM203)-LOOKUP('Données projet'!$E$10,$A$3:$A$203,$H$3:$H$203))</f>
        <v>655.24090633185676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138.3429338270858</v>
      </c>
      <c r="BJ3" s="62">
        <f>IF('Données projet'!E11&gt;30,$BH$33-$H$33,LOOKUP('Données projet'!$E$11,$A$3:$A$203,BH3:BH203)-LOOKUP('Données projet'!$E$11,$A$3:$A$203,$H$3:$H$203))</f>
        <v>88.30225651635925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122.57815304102127</v>
      </c>
      <c r="CE3" s="62">
        <f>IF('Données projet'!E12&gt;30,$CC$33-$H$33,LOOKUP('Données projet'!$E$12,$A$3:$A$203,CC3:CC203)-LOOKUP('Données projet'!$E$12,$A$3:$A$203,$H$3:$H$203))</f>
        <v>80.106609825870578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199.99826357281154</v>
      </c>
      <c r="CZ3" s="62">
        <f>IF('Données projet'!E13&gt;30,$CX$33-$H$33,LOOKUP('Données projet'!$E$13,$A$3:$A$203,CX3:CX203)-LOOKUP('Données projet'!$E$13,$A$3:$A$203,$H$3:$H$203))</f>
        <v>214.67424457475136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248.15263300983543</v>
      </c>
      <c r="DU3" s="62">
        <f>IF('Données projet'!E14&gt;30,$DS$33-$H$33,LOOKUP('Données projet'!$E$14,$A$3:$A$203,DS3:DS203)-LOOKUP('Données projet'!$E$14,$A$3:$A$203,$H$3:$H$203))</f>
        <v>266.46511459244618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205.35893113421139</v>
      </c>
      <c r="EP3" s="62">
        <f>IF('Données projet'!E15&gt;30,$EN$33-$H$33,LOOKUP('Données projet'!$E$15,$A$3:$A$203,EN3:EN203)-LOOKUP('Données projet'!$E$15,$A$3:$A$203,$H$3:$H$203))</f>
        <v>220.4399811285175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8.526315789473685</v>
      </c>
      <c r="N4" s="14">
        <f>IF('Données projet'!$A$36&gt;35,N3+M4-V3,IF(A4&lt;'Données projet'!$A$36,$K$205^A4,IF(A4='Données projet'!$A$36,'Données projet'!$B$36,N3+M4-V3)))</f>
        <v>1.3070441688874561</v>
      </c>
      <c r="O4" s="14">
        <f>N4*VLOOKUP('Données projet'!$B$9,Paramètres!$A$1:$I$89,3,0)*VLOOKUP('Données projet'!$B$9,Paramètres!$A$1:$I$89,5,0)</f>
        <v>0.73063769040808801</v>
      </c>
      <c r="P4" s="14">
        <f>EXP(-1.0587+0.8836*LN(O4)+0.284)</f>
        <v>0.34923616900555043</v>
      </c>
      <c r="Q4" s="22">
        <f t="shared" ref="Q4:Q34" si="2">(O4+P4)*0.475*44/12</f>
        <v>1.8807803051454206</v>
      </c>
      <c r="R4" s="62">
        <f t="shared" si="0"/>
        <v>295.21411363847875</v>
      </c>
      <c r="S4" s="62">
        <f ca="1">AVERAGE(OFFSET($R$3,0,0,'Données projet'!$E$9+1,1))-AVERAGE(OFFSET($H$3,0,0,'Données projet'!$E$9+1,1))</f>
        <v>382.55387448074327</v>
      </c>
      <c r="T4" s="62">
        <f>$T$3</f>
        <v>476.29465646955543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7.5533333333333337</v>
      </c>
      <c r="AI4" s="14">
        <f>IF('Données projet'!$A$62&gt;35,AI3+AH4-AQ3,IF(A4&lt;'Données projet'!$A$62,$AF$205^A4,IF(A4='Données projet'!$A$62,'Données projet'!$B$62,AI3+AH4-AQ3)))</f>
        <v>1.4558277434808029</v>
      </c>
      <c r="AJ4" s="14">
        <f>AI4*VLOOKUP('Données projet'!$B$10,Paramètres!$A$1:$I$89,3,0)*VLOOKUP('Données projet'!$B$10,Paramètres!$A$1:$I$89,5,0)</f>
        <v>0.90843651193202102</v>
      </c>
      <c r="AK4" s="14">
        <f>EXP(-1.0587+0.8836*LN(AJ4)+0.284)</f>
        <v>0.42335155247849027</v>
      </c>
      <c r="AL4" s="22">
        <f t="shared" ref="AL4:AL67" si="4">(AJ4+AK4)*0.475*44/12</f>
        <v>2.3195308788483069</v>
      </c>
      <c r="AM4" s="62">
        <f t="shared" ref="AM4:AM67" si="5">AL4+(AD4+AE4)*44/12</f>
        <v>295.65286421218161</v>
      </c>
      <c r="AN4" s="62">
        <f ca="1">AVERAGE(OFFSET($AM$3,0,0,'Données projet'!$E$10+1,1))-AVERAGE(OFFSET($H$3,0,0,'Données projet'!$E$10+1,1))</f>
        <v>420.68062999212015</v>
      </c>
      <c r="AO4" s="62">
        <f>$AO$3</f>
        <v>655.24090633185676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</v>
      </c>
      <c r="BD4" s="13">
        <f>IF('Données projet'!$A$88&gt;35,BD3+BC4-BL3,IF(A4&lt;'Données projet'!$A$88,$BA$205^A4,IF(A4='Données projet'!$A$88,'Données projet'!$B$88,BD3+BC4-BL3)))</f>
        <v>2</v>
      </c>
      <c r="BE4" s="14">
        <f>BD4*VLOOKUP('Données projet'!$B$11,Paramètres!$A$1:$I$89,3,0)*VLOOKUP('Données projet'!$B$11,Paramètres!$A$1:$I$89,5,0)</f>
        <v>1.8095999999999999</v>
      </c>
      <c r="BF4" s="14">
        <f>EXP(-1.0587+0.8836*LN(BE4)+0.284)</f>
        <v>0.778308976345926</v>
      </c>
      <c r="BG4" s="22">
        <f t="shared" ref="BG4:BG67" si="7">(BE4+BF4)*0.475*44/12</f>
        <v>4.5072748004691539</v>
      </c>
      <c r="BH4" s="62">
        <f t="shared" ref="BH4:BH67" si="8">BG4+(AY4+AZ4)*44/12</f>
        <v>297.84060813380245</v>
      </c>
      <c r="BI4" s="62">
        <f ca="1">AVERAGE(OFFSET($BH$3,0,0,'Données projet'!$E$11+1,1))-AVERAGE(OFFSET($H$3,0,0,'Données projet'!$E$11+1,1))</f>
        <v>138.3429338270858</v>
      </c>
      <c r="BJ4" s="62">
        <f>$BJ$3</f>
        <v>88.30225651635925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</v>
      </c>
      <c r="BY4" s="13">
        <f>IF('Données projet'!$A$114&gt;35,BY3+BX4-CG3,IF(A4&lt;'Données projet'!$A$114,$BV$205^A4,IF(A4='Données projet'!$A$114,'Données projet'!$B$114,BY3+BX4-CG3)))</f>
        <v>2</v>
      </c>
      <c r="BZ4" s="14">
        <f>BY4*VLOOKUP('Données projet'!$B$12,Paramètres!$A$1:$I$89,3,0)*VLOOKUP('Données projet'!$B$12,Paramètres!$A$1:$I$89,5,0)</f>
        <v>1.6848000000000001</v>
      </c>
      <c r="CA4" s="14">
        <f>EXP(-1.0587+0.8836*LN(BZ4)+0.284)</f>
        <v>0.7306849972750864</v>
      </c>
      <c r="CB4" s="22">
        <f t="shared" ref="CB4:CB67" si="10">(BZ4+CA4)*0.475*44/12</f>
        <v>4.2069697035874425</v>
      </c>
      <c r="CC4" s="62">
        <f t="shared" ref="CC4:CC67" si="11">CB4+(BT4+BU4)*44/12</f>
        <v>297.54030303692076</v>
      </c>
      <c r="CD4" s="62">
        <f ca="1">AVERAGE(OFFSET($CC$3,0,0,'Données projet'!$E$12+1,1))-AVERAGE(OFFSET($H$3,0,0,'Données projet'!$E$12+1,1))</f>
        <v>122.57815304102127</v>
      </c>
      <c r="CE4" s="62">
        <f>$CE$3</f>
        <v>80.106609825870578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5.4069999999999991</v>
      </c>
      <c r="CT4" s="13">
        <f>IF('Données projet'!$A$140&gt;35,CT3+CS4-DB3,IF(A4&lt;'Données projet'!$A$140,$CQ$205^A4,IF(A4='Données projet'!$A$140,'Données projet'!$B$140,CT3+CS4-DB3)))</f>
        <v>1.3405093326912476</v>
      </c>
      <c r="CU4" s="18">
        <f>CT4*VLOOKUP('Données projet'!$B$13,Paramètres!$A$1:$I$89,3,0)*VLOOKUP('Données projet'!$B$13,Paramètres!$A$1:$I$89,5,0)</f>
        <v>0.87830171477930552</v>
      </c>
      <c r="CV4" s="14">
        <f>EXP(-1.0587+0.8836*LN(CU4)+0.284)</f>
        <v>0.41091847271935666</v>
      </c>
      <c r="CW4" s="22">
        <f t="shared" ref="CW4:CW67" si="13">(CU4+CV4)*0.475*44/12</f>
        <v>2.2453918265601698</v>
      </c>
      <c r="CX4" s="62">
        <f t="shared" ref="CX4:CX67" si="14">CW4+(CO4+CP4)*44/12</f>
        <v>295.57872515989351</v>
      </c>
      <c r="CY4" s="62">
        <f ca="1">AVERAGE(OFFSET($CX$3,0,0,'Données projet'!$E$13+1,1))-AVERAGE(OFFSET($H$3,0,0,'Données projet'!$E$13+1,1))</f>
        <v>199.99826357281154</v>
      </c>
      <c r="CZ4" s="62">
        <f>$CZ$3</f>
        <v>214.67424457475136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5.4069999999999991</v>
      </c>
      <c r="DO4" s="13">
        <f>IF('Données projet'!$A$166&gt;35,DO3+DN4-DW3,IF(A4&lt;'Données projet'!$A$166,$DL$205^A4,IF(A4='Données projet'!$A$166,'Données projet'!$B$166,DO3+DN4-DW3)))</f>
        <v>1.3405093326912476</v>
      </c>
      <c r="DP4" s="18">
        <f>DO4*VLOOKUP('Données projet'!$B$14,Paramètres!$A$1:$I$89,3,0)*VLOOKUP('Données projet'!$B$14,Paramètres!$A$1:$I$89,5,0)</f>
        <v>1.0665092250891568</v>
      </c>
      <c r="DQ4" s="14">
        <f>EXP(-1.0587+0.8836*LN(DP4)+0.284)</f>
        <v>0.48782224427722365</v>
      </c>
      <c r="DR4" s="22">
        <f t="shared" ref="DR4:DR67" si="16">(DP4+DQ4)*0.475*44/12</f>
        <v>2.7071273091464456</v>
      </c>
      <c r="DS4" s="62">
        <f t="shared" ref="DS4:DS67" si="17">DR4+(DJ4+DK4)*44/12</f>
        <v>296.04046064247979</v>
      </c>
      <c r="DT4" s="62">
        <f ca="1">AVERAGE(OFFSET($DS$3,0,0,'Données projet'!$E$14+1,1))-AVERAGE(OFFSET($H$3,0,0,'Données projet'!$E$14+1,1))</f>
        <v>248.15263300983543</v>
      </c>
      <c r="DU4" s="62">
        <f>$DU$3</f>
        <v>266.46511459244618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5.4069999999999991</v>
      </c>
      <c r="EJ4" s="13">
        <f>IF('Données projet'!$A$192&gt;35,EJ3+EI4-ER3,IF(A4&lt;'Données projet'!$A$192,$EG$205^A4,IF(A4='Données projet'!$A$192,'Données projet'!$B$192,EJ3+EI4-ER3)))</f>
        <v>1.3405093326912476</v>
      </c>
      <c r="EK4" s="18">
        <f>EJ4*VLOOKUP('Données projet'!$B$15,Paramètres!$A$1:$I$89,3,0)*VLOOKUP('Données projet'!$B$15,Paramètres!$A$1:$I$89,5,0)</f>
        <v>0.89921366036928885</v>
      </c>
      <c r="EL4" s="14">
        <f>EXP(-1.0587+0.8836*LN(EK4)+0.284)</f>
        <v>0.41955154008779533</v>
      </c>
      <c r="EM4" s="22">
        <f t="shared" ref="EM4:EM67" si="19">(EK4+EL4)*0.475*44/12</f>
        <v>2.2968493907960883</v>
      </c>
      <c r="EN4" s="62">
        <f t="shared" ref="EN4:EN67" si="20">EM4+(EE4+EF4)*44/12</f>
        <v>295.63018272412938</v>
      </c>
      <c r="EO4" s="62">
        <f ca="1">AVERAGE(OFFSET($EN$3,0,0,'Données projet'!$E$15+1,1))-AVERAGE(OFFSET($H$3,0,0,'Données projet'!$E$15+1,1))</f>
        <v>205.35893113421139</v>
      </c>
      <c r="EP4" s="62">
        <f>$EP$3</f>
        <v>220.4399811285175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8.526315789473685</v>
      </c>
      <c r="N5" s="14">
        <f>IF('Données projet'!$A$36&gt;35,N4+M5-V4,IF(A5&lt;'Données projet'!$A$36,$K$205^A5,IF(A5='Données projet'!$A$36,'Données projet'!$B$36,N4+M5-V4)))</f>
        <v>1.708364459422701</v>
      </c>
      <c r="O5" s="14">
        <f>N5*VLOOKUP('Données projet'!$B$9,Paramètres!$A$1:$I$89,3,0)*VLOOKUP('Données projet'!$B$9,Paramètres!$A$1:$I$89,5,0)</f>
        <v>0.95497573281728976</v>
      </c>
      <c r="P5" s="14">
        <f t="shared" ref="P5:P68" si="33">EXP(-1.0587+0.8836*LN(O5)+0.284)</f>
        <v>0.44245926414263009</v>
      </c>
      <c r="Q5" s="22">
        <f t="shared" si="2"/>
        <v>2.4338659530385267</v>
      </c>
      <c r="R5" s="62">
        <f t="shared" si="0"/>
        <v>295.76719928637186</v>
      </c>
      <c r="S5" s="62">
        <f ca="1">AVERAGE(OFFSET($R$3,0,0,'Données projet'!$E$9+1,1))-AVERAGE(OFFSET($H$3,0,0,'Données projet'!$E$9+1,1))</f>
        <v>382.55387448074327</v>
      </c>
      <c r="T5" s="62">
        <f t="shared" ref="T5:T68" si="34">$T$3</f>
        <v>476.29465646955543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7.5533333333333337</v>
      </c>
      <c r="AI5" s="14">
        <f>IF('Données projet'!$A$62&gt;35,AI4+AH5-AQ4,IF(A5&lt;'Données projet'!$A$62,$AF$205^A5,IF(A5='Données projet'!$A$62,'Données projet'!$B$62,AI4+AH5-AQ4)))</f>
        <v>2.1194344186884067</v>
      </c>
      <c r="AJ5" s="14">
        <f>AI5*VLOOKUP('Données projet'!$B$10,Paramètres!$A$1:$I$89,3,0)*VLOOKUP('Données projet'!$B$10,Paramètres!$A$1:$I$89,5,0)</f>
        <v>1.3225270772615658</v>
      </c>
      <c r="AK5" s="14">
        <f t="shared" ref="AK5:AK68" si="35">EXP(-1.0587+0.8836*LN(AJ5)+0.284)</f>
        <v>0.5899635022857378</v>
      </c>
      <c r="AL5" s="22">
        <f t="shared" si="4"/>
        <v>3.3309210927115536</v>
      </c>
      <c r="AM5" s="62">
        <f t="shared" si="5"/>
        <v>296.66425442604486</v>
      </c>
      <c r="AN5" s="62">
        <f ca="1">AVERAGE(OFFSET($AM$3,0,0,'Données projet'!$E$10+1,1))-AVERAGE(OFFSET($H$3,0,0,'Données projet'!$E$10+1,1))</f>
        <v>420.68062999212015</v>
      </c>
      <c r="AO5" s="62">
        <f t="shared" ref="AO5:AO68" si="36">$AO$3</f>
        <v>655.24090633185676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</v>
      </c>
      <c r="BD5" s="13">
        <f>IF('Données projet'!$A$88&gt;35,BD4+BC5-BL4,IF(A5&lt;'Données projet'!$A$88,$BA$205^A5,IF(A5='Données projet'!$A$88,'Données projet'!$B$88,BD4+BC5-BL4)))</f>
        <v>4</v>
      </c>
      <c r="BE5" s="14">
        <f>BD5*VLOOKUP('Données projet'!$B$11,Paramètres!$A$1:$I$89,3,0)*VLOOKUP('Données projet'!$B$11,Paramètres!$A$1:$I$89,5,0)</f>
        <v>3.6191999999999998</v>
      </c>
      <c r="BF5" s="14">
        <f t="shared" ref="BF5:BF68" si="37">EXP(-1.0587+0.8836*LN(BE5)+0.284)</f>
        <v>1.4359593421107981</v>
      </c>
      <c r="BG5" s="22">
        <f t="shared" si="7"/>
        <v>8.8044025208429719</v>
      </c>
      <c r="BH5" s="62">
        <f t="shared" si="8"/>
        <v>302.1377358541763</v>
      </c>
      <c r="BI5" s="62">
        <f ca="1">AVERAGE(OFFSET($BH$3,0,0,'Données projet'!$E$11+1,1))-AVERAGE(OFFSET($H$3,0,0,'Données projet'!$E$11+1,1))</f>
        <v>138.3429338270858</v>
      </c>
      <c r="BJ5" s="62">
        <f t="shared" ref="BJ5:BJ68" si="38">$BJ$3</f>
        <v>88.30225651635925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</v>
      </c>
      <c r="BY5" s="13">
        <f>IF('Données projet'!$A$114&gt;35,BY4+BX5-CG4,IF(A5&lt;'Données projet'!$A$114,$BV$205^A5,IF(A5='Données projet'!$A$114,'Données projet'!$B$114,BY4+BX5-CG4)))</f>
        <v>4</v>
      </c>
      <c r="BZ5" s="14">
        <f>BY5*VLOOKUP('Données projet'!$B$12,Paramètres!$A$1:$I$89,3,0)*VLOOKUP('Données projet'!$B$12,Paramètres!$A$1:$I$89,5,0)</f>
        <v>3.3696000000000002</v>
      </c>
      <c r="CA5" s="14">
        <f t="shared" ref="CA5:CA68" si="39">EXP(-1.0587+0.8836*LN(BZ5)+0.284)</f>
        <v>1.3480943685159585</v>
      </c>
      <c r="CB5" s="22">
        <f t="shared" si="10"/>
        <v>8.2166510251652944</v>
      </c>
      <c r="CC5" s="62">
        <f t="shared" si="11"/>
        <v>301.54998435849859</v>
      </c>
      <c r="CD5" s="62">
        <f ca="1">AVERAGE(OFFSET($CC$3,0,0,'Données projet'!$E$12+1,1))-AVERAGE(OFFSET($H$3,0,0,'Données projet'!$E$12+1,1))</f>
        <v>122.57815304102127</v>
      </c>
      <c r="CE5" s="62">
        <f t="shared" ref="CE5:CE68" si="40">$CE$3</f>
        <v>80.106609825870578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5.4069999999999991</v>
      </c>
      <c r="CT5" s="13">
        <f>IF('Données projet'!$A$140&gt;35,CT4+CS5-DB4,IF(A5&lt;'Données projet'!$A$140,$CQ$205^A5,IF(A5='Données projet'!$A$140,'Données projet'!$B$140,CT4+CS5-DB4)))</f>
        <v>1.7969652710323341</v>
      </c>
      <c r="CU5" s="18">
        <f>CT5*VLOOKUP('Données projet'!$B$13,Paramètres!$A$1:$I$89,3,0)*VLOOKUP('Données projet'!$B$13,Paramètres!$A$1:$I$89,5,0)</f>
        <v>1.1773716455803853</v>
      </c>
      <c r="CV5" s="14">
        <f t="shared" ref="CV5:CV68" si="41">EXP(-1.0587+0.8836*LN(CU5)+0.284)</f>
        <v>0.53236720925174985</v>
      </c>
      <c r="CW5" s="22">
        <f t="shared" si="13"/>
        <v>2.9777951721659686</v>
      </c>
      <c r="CX5" s="62">
        <f t="shared" si="14"/>
        <v>296.31112850549925</v>
      </c>
      <c r="CY5" s="62">
        <f ca="1">AVERAGE(OFFSET($CX$3,0,0,'Données projet'!$E$13+1,1))-AVERAGE(OFFSET($H$3,0,0,'Données projet'!$E$13+1,1))</f>
        <v>199.99826357281154</v>
      </c>
      <c r="CZ5" s="62">
        <f t="shared" ref="CZ5:CZ68" si="42">$CZ$3</f>
        <v>214.67424457475136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5.4069999999999991</v>
      </c>
      <c r="DO5" s="13">
        <f>IF('Données projet'!$A$166&gt;35,DO4+DN5-DW4,IF(A5&lt;'Données projet'!$A$166,$DL$205^A5,IF(A5='Données projet'!$A$166,'Données projet'!$B$166,DO4+DN5-DW4)))</f>
        <v>1.7969652710323341</v>
      </c>
      <c r="DP5" s="18">
        <f>DO5*VLOOKUP('Données projet'!$B$14,Paramètres!$A$1:$I$89,3,0)*VLOOKUP('Données projet'!$B$14,Paramètres!$A$1:$I$89,5,0)</f>
        <v>1.4296655696333251</v>
      </c>
      <c r="DQ5" s="14">
        <f t="shared" ref="DQ5:DQ68" si="43">EXP(-1.0587+0.8836*LN(DP5)+0.284)</f>
        <v>0.63200022398155253</v>
      </c>
      <c r="DR5" s="22">
        <f t="shared" si="16"/>
        <v>3.5907345905459116</v>
      </c>
      <c r="DS5" s="62">
        <f t="shared" si="17"/>
        <v>296.92406792387925</v>
      </c>
      <c r="DT5" s="62">
        <f ca="1">AVERAGE(OFFSET($DS$3,0,0,'Données projet'!$E$14+1,1))-AVERAGE(OFFSET($H$3,0,0,'Données projet'!$E$14+1,1))</f>
        <v>248.15263300983543</v>
      </c>
      <c r="DU5" s="62">
        <f t="shared" ref="DU5:DU68" si="44">$DU$3</f>
        <v>266.46511459244618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5.4069999999999991</v>
      </c>
      <c r="EJ5" s="13">
        <f>IF('Données projet'!$A$192&gt;35,EJ4+EI5-ER4,IF(A5&lt;'Données projet'!$A$192,$EG$205^A5,IF(A5='Données projet'!$A$192,'Données projet'!$B$192,EJ4+EI5-ER4)))</f>
        <v>1.7969652710323341</v>
      </c>
      <c r="EK5" s="18">
        <f>EJ5*VLOOKUP('Données projet'!$B$15,Paramètres!$A$1:$I$89,3,0)*VLOOKUP('Données projet'!$B$15,Paramètres!$A$1:$I$89,5,0)</f>
        <v>1.2054043038084896</v>
      </c>
      <c r="EL5" s="14">
        <f t="shared" ref="EL5:EL68" si="45">EXP(-1.0587+0.8836*LN(EK5)+0.284)</f>
        <v>0.54355181711764378</v>
      </c>
      <c r="EM5" s="22">
        <f t="shared" si="19"/>
        <v>3.0460985772796825</v>
      </c>
      <c r="EN5" s="62">
        <f t="shared" si="20"/>
        <v>296.37943191061299</v>
      </c>
      <c r="EO5" s="62">
        <f ca="1">AVERAGE(OFFSET($EN$3,0,0,'Données projet'!$E$15+1,1))-AVERAGE(OFFSET($H$3,0,0,'Données projet'!$E$15+1,1))</f>
        <v>205.35893113421139</v>
      </c>
      <c r="EP5" s="62">
        <f t="shared" ref="EP5:EP68" si="46">$EP$3</f>
        <v>220.4399811285175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8.526315789473685</v>
      </c>
      <c r="N6" s="14">
        <f>IF('Données projet'!$A$36&gt;35,N5+M6-V5,IF(A6&lt;'Données projet'!$A$36,$K$205^A6,IF(A6='Données projet'!$A$36,'Données projet'!$B$36,N5+M6-V5)))</f>
        <v>2.2329078050230127</v>
      </c>
      <c r="O6" s="14">
        <f>N6*VLOOKUP('Données projet'!$B$9,Paramètres!$A$1:$I$89,3,0)*VLOOKUP('Données projet'!$B$9,Paramètres!$A$1:$I$89,5,0)</f>
        <v>1.248195463007864</v>
      </c>
      <c r="P6" s="14">
        <f t="shared" si="33"/>
        <v>0.56056679634040518</v>
      </c>
      <c r="Q6" s="22">
        <f t="shared" si="2"/>
        <v>3.1502609350315693</v>
      </c>
      <c r="R6" s="62">
        <f t="shared" si="0"/>
        <v>296.48359426836487</v>
      </c>
      <c r="S6" s="62">
        <f ca="1">AVERAGE(OFFSET($R$3,0,0,'Données projet'!$E$9+1,1))-AVERAGE(OFFSET($H$3,0,0,'Données projet'!$E$9+1,1))</f>
        <v>382.55387448074327</v>
      </c>
      <c r="T6" s="62">
        <f t="shared" si="34"/>
        <v>476.29465646955543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7.5533333333333337</v>
      </c>
      <c r="AI6" s="14">
        <f>IF('Données projet'!$A$62&gt;35,AI5+AH6-AQ5,IF(A6&lt;'Données projet'!$A$62,$AF$205^A6,IF(A6='Données projet'!$A$62,'Données projet'!$B$62,AI5+AH6-AQ5)))</f>
        <v>3.0855314272146903</v>
      </c>
      <c r="AJ6" s="14">
        <f>AI6*VLOOKUP('Données projet'!$B$10,Paramètres!$A$1:$I$89,3,0)*VLOOKUP('Données projet'!$B$10,Paramètres!$A$1:$I$89,5,0)</f>
        <v>1.9253716105819667</v>
      </c>
      <c r="AK6" s="14">
        <f t="shared" si="35"/>
        <v>0.82214635092648669</v>
      </c>
      <c r="AL6" s="22">
        <f t="shared" si="4"/>
        <v>4.7852604496272226</v>
      </c>
      <c r="AM6" s="62">
        <f t="shared" si="5"/>
        <v>298.11859378296055</v>
      </c>
      <c r="AN6" s="62">
        <f ca="1">AVERAGE(OFFSET($AM$3,0,0,'Données projet'!$E$10+1,1))-AVERAGE(OFFSET($H$3,0,0,'Données projet'!$E$10+1,1))</f>
        <v>420.68062999212015</v>
      </c>
      <c r="AO6" s="62">
        <f t="shared" si="36"/>
        <v>655.24090633185676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</v>
      </c>
      <c r="BD6" s="13">
        <f>IF('Données projet'!$A$88&gt;35,BD5+BC6-BL5,IF(A6&lt;'Données projet'!$A$88,$BA$205^A6,IF(A6='Données projet'!$A$88,'Données projet'!$B$88,BD5+BC6-BL5)))</f>
        <v>6</v>
      </c>
      <c r="BE6" s="14">
        <f>BD6*VLOOKUP('Données projet'!$B$11,Paramètres!$A$1:$I$89,3,0)*VLOOKUP('Données projet'!$B$11,Paramètres!$A$1:$I$89,5,0)</f>
        <v>5.4287999999999998</v>
      </c>
      <c r="BF6" s="14">
        <f t="shared" si="37"/>
        <v>2.0546430333413586</v>
      </c>
      <c r="BG6" s="22">
        <f t="shared" si="7"/>
        <v>13.033663283069531</v>
      </c>
      <c r="BH6" s="62">
        <f t="shared" si="8"/>
        <v>306.36699661640284</v>
      </c>
      <c r="BI6" s="62">
        <f ca="1">AVERAGE(OFFSET($BH$3,0,0,'Données projet'!$E$11+1,1))-AVERAGE(OFFSET($H$3,0,0,'Données projet'!$E$11+1,1))</f>
        <v>138.3429338270858</v>
      </c>
      <c r="BJ6" s="62">
        <f t="shared" si="38"/>
        <v>88.30225651635925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</v>
      </c>
      <c r="BY6" s="13">
        <f>IF('Données projet'!$A$114&gt;35,BY5+BX6-CG5,IF(A6&lt;'Données projet'!$A$114,$BV$205^A6,IF(A6='Données projet'!$A$114,'Données projet'!$B$114,BY5+BX6-CG5)))</f>
        <v>6</v>
      </c>
      <c r="BZ6" s="14">
        <f>BY6*VLOOKUP('Données projet'!$B$12,Paramètres!$A$1:$I$89,3,0)*VLOOKUP('Données projet'!$B$12,Paramètres!$A$1:$I$89,5,0)</f>
        <v>5.0544000000000002</v>
      </c>
      <c r="CA6" s="14">
        <f t="shared" si="39"/>
        <v>1.9289213986285076</v>
      </c>
      <c r="CB6" s="22">
        <f t="shared" si="10"/>
        <v>12.162618102611319</v>
      </c>
      <c r="CC6" s="62">
        <f t="shared" si="11"/>
        <v>305.49595143594462</v>
      </c>
      <c r="CD6" s="62">
        <f ca="1">AVERAGE(OFFSET($CC$3,0,0,'Données projet'!$E$12+1,1))-AVERAGE(OFFSET($H$3,0,0,'Données projet'!$E$12+1,1))</f>
        <v>122.57815304102127</v>
      </c>
      <c r="CE6" s="62">
        <f t="shared" si="40"/>
        <v>80.106609825870578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5.4069999999999991</v>
      </c>
      <c r="CT6" s="13">
        <f>IF('Données projet'!$A$140&gt;35,CT5+CS6-DB5,IF(A6&lt;'Données projet'!$A$140,$CQ$205^A6,IF(A6='Données projet'!$A$140,'Données projet'!$B$140,CT5+CS6-DB5)))</f>
        <v>2.4088487163409011</v>
      </c>
      <c r="CU6" s="18">
        <f>CT6*VLOOKUP('Données projet'!$B$13,Paramètres!$A$1:$I$89,3,0)*VLOOKUP('Données projet'!$B$13,Paramètres!$A$1:$I$89,5,0)</f>
        <v>1.5782776789465582</v>
      </c>
      <c r="CV6" s="14">
        <f t="shared" si="41"/>
        <v>0.68971064652053016</v>
      </c>
      <c r="CW6" s="22">
        <f t="shared" si="13"/>
        <v>3.9500796668551783</v>
      </c>
      <c r="CX6" s="62">
        <f t="shared" si="14"/>
        <v>297.28341300018849</v>
      </c>
      <c r="CY6" s="62">
        <f ca="1">AVERAGE(OFFSET($CX$3,0,0,'Données projet'!$E$13+1,1))-AVERAGE(OFFSET($H$3,0,0,'Données projet'!$E$13+1,1))</f>
        <v>199.99826357281154</v>
      </c>
      <c r="CZ6" s="62">
        <f t="shared" si="42"/>
        <v>214.67424457475136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5.4069999999999991</v>
      </c>
      <c r="DO6" s="13">
        <f>IF('Données projet'!$A$166&gt;35,DO5+DN6-DW5,IF(A6&lt;'Données projet'!$A$166,$DL$205^A6,IF(A6='Données projet'!$A$166,'Données projet'!$B$166,DO5+DN6-DW5)))</f>
        <v>2.4088487163409011</v>
      </c>
      <c r="DP6" s="18">
        <f>DO6*VLOOKUP('Données projet'!$B$14,Paramètres!$A$1:$I$89,3,0)*VLOOKUP('Données projet'!$B$14,Paramètres!$A$1:$I$89,5,0)</f>
        <v>1.9164800387208212</v>
      </c>
      <c r="DQ6" s="14">
        <f t="shared" si="43"/>
        <v>0.81879063080556136</v>
      </c>
      <c r="DR6" s="22">
        <f t="shared" si="16"/>
        <v>4.7639297494251158</v>
      </c>
      <c r="DS6" s="62">
        <f t="shared" si="17"/>
        <v>298.09726308275845</v>
      </c>
      <c r="DT6" s="62">
        <f ca="1">AVERAGE(OFFSET($DS$3,0,0,'Données projet'!$E$14+1,1))-AVERAGE(OFFSET($H$3,0,0,'Données projet'!$E$14+1,1))</f>
        <v>248.15263300983543</v>
      </c>
      <c r="DU6" s="62">
        <f t="shared" si="44"/>
        <v>266.46511459244618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5.4069999999999991</v>
      </c>
      <c r="EJ6" s="13">
        <f>IF('Données projet'!$A$192&gt;35,EJ5+EI6-ER5,IF(A6&lt;'Données projet'!$A$192,$EG$205^A6,IF(A6='Données projet'!$A$192,'Données projet'!$B$192,EJ5+EI6-ER5)))</f>
        <v>2.4088487163409011</v>
      </c>
      <c r="EK6" s="18">
        <f>EJ6*VLOOKUP('Données projet'!$B$15,Paramètres!$A$1:$I$89,3,0)*VLOOKUP('Données projet'!$B$15,Paramètres!$A$1:$I$89,5,0)</f>
        <v>1.6158557189214764</v>
      </c>
      <c r="EL6" s="14">
        <f t="shared" si="45"/>
        <v>0.70420091374248528</v>
      </c>
      <c r="EM6" s="22">
        <f t="shared" si="19"/>
        <v>4.0407653018897332</v>
      </c>
      <c r="EN6" s="62">
        <f t="shared" si="20"/>
        <v>297.37409863522305</v>
      </c>
      <c r="EO6" s="62">
        <f ca="1">AVERAGE(OFFSET($EN$3,0,0,'Données projet'!$E$15+1,1))-AVERAGE(OFFSET($H$3,0,0,'Données projet'!$E$15+1,1))</f>
        <v>205.35893113421139</v>
      </c>
      <c r="EP6" s="62">
        <f t="shared" si="46"/>
        <v>220.4399811285175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8.526315789473685</v>
      </c>
      <c r="N7" s="14">
        <f>IF('Données projet'!$A$36&gt;35,N6+M7-V6,IF(A7&lt;'Données projet'!$A$36,$K$205^A7,IF(A7='Données projet'!$A$36,'Données projet'!$B$36,N6+M7-V6)))</f>
        <v>2.9185091262186176</v>
      </c>
      <c r="O7" s="14">
        <f>N7*VLOOKUP('Données projet'!$B$9,Paramètres!$A$1:$I$89,3,0)*VLOOKUP('Données projet'!$B$9,Paramètres!$A$1:$I$89,5,0)</f>
        <v>1.6314466015562072</v>
      </c>
      <c r="P7" s="14">
        <f t="shared" si="33"/>
        <v>0.71020127416305878</v>
      </c>
      <c r="Q7" s="22">
        <f t="shared" si="2"/>
        <v>4.0783700502110554</v>
      </c>
      <c r="R7" s="62">
        <f t="shared" si="0"/>
        <v>297.41170338354436</v>
      </c>
      <c r="S7" s="62">
        <f ca="1">AVERAGE(OFFSET($R$3,0,0,'Données projet'!$E$9+1,1))-AVERAGE(OFFSET($H$3,0,0,'Données projet'!$E$9+1,1))</f>
        <v>382.55387448074327</v>
      </c>
      <c r="T7" s="62">
        <f t="shared" si="34"/>
        <v>476.29465646955543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7.5533333333333337</v>
      </c>
      <c r="AI7" s="14">
        <f>IF('Données projet'!$A$62&gt;35,AI6+AH7-AQ6,IF(A7&lt;'Données projet'!$A$62,$AF$205^A7,IF(A7='Données projet'!$A$62,'Données projet'!$B$62,AI6+AH7-AQ6)))</f>
        <v>4.4920022551210641</v>
      </c>
      <c r="AJ7" s="14">
        <f>AI7*VLOOKUP('Données projet'!$B$10,Paramètres!$A$1:$I$89,3,0)*VLOOKUP('Données projet'!$B$10,Paramètres!$A$1:$I$89,5,0)</f>
        <v>2.8030094071955438</v>
      </c>
      <c r="AK7" s="14">
        <f t="shared" si="35"/>
        <v>1.145705827094311</v>
      </c>
      <c r="AL7" s="22">
        <f t="shared" si="4"/>
        <v>6.8773456997214977</v>
      </c>
      <c r="AM7" s="62">
        <f t="shared" si="5"/>
        <v>300.21067903305482</v>
      </c>
      <c r="AN7" s="62">
        <f ca="1">AVERAGE(OFFSET($AM$3,0,0,'Données projet'!$E$10+1,1))-AVERAGE(OFFSET($H$3,0,0,'Données projet'!$E$10+1,1))</f>
        <v>420.68062999212015</v>
      </c>
      <c r="AO7" s="62">
        <f t="shared" si="36"/>
        <v>655.24090633185676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</v>
      </c>
      <c r="BD7" s="13">
        <f>IF('Données projet'!$A$88&gt;35,BD6+BC7-BL6,IF(A7&lt;'Données projet'!$A$88,$BA$205^A7,IF(A7='Données projet'!$A$88,'Données projet'!$B$88,BD6+BC7-BL6)))</f>
        <v>8</v>
      </c>
      <c r="BE7" s="14">
        <f>BD7*VLOOKUP('Données projet'!$B$11,Paramètres!$A$1:$I$89,3,0)*VLOOKUP('Données projet'!$B$11,Paramètres!$A$1:$I$89,5,0)</f>
        <v>7.2383999999999995</v>
      </c>
      <c r="BF7" s="14">
        <f t="shared" si="37"/>
        <v>2.6493067597344675</v>
      </c>
      <c r="BG7" s="22">
        <f t="shared" si="7"/>
        <v>17.221089273204196</v>
      </c>
      <c r="BH7" s="62">
        <f t="shared" si="8"/>
        <v>310.55442260653751</v>
      </c>
      <c r="BI7" s="62">
        <f ca="1">AVERAGE(OFFSET($BH$3,0,0,'Données projet'!$E$11+1,1))-AVERAGE(OFFSET($H$3,0,0,'Données projet'!$E$11+1,1))</f>
        <v>138.3429338270858</v>
      </c>
      <c r="BJ7" s="62">
        <f t="shared" si="38"/>
        <v>88.30225651635925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</v>
      </c>
      <c r="BY7" s="13">
        <f>IF('Données projet'!$A$114&gt;35,BY6+BX7-CG6,IF(A7&lt;'Données projet'!$A$114,$BV$205^A7,IF(A7='Données projet'!$A$114,'Données projet'!$B$114,BY6+BX7-CG6)))</f>
        <v>8</v>
      </c>
      <c r="BZ7" s="14">
        <f>BY7*VLOOKUP('Données projet'!$B$12,Paramètres!$A$1:$I$89,3,0)*VLOOKUP('Données projet'!$B$12,Paramètres!$A$1:$I$89,5,0)</f>
        <v>6.7392000000000003</v>
      </c>
      <c r="CA7" s="14">
        <f t="shared" si="39"/>
        <v>2.4871982224923759</v>
      </c>
      <c r="CB7" s="22">
        <f t="shared" si="10"/>
        <v>16.069310237507555</v>
      </c>
      <c r="CC7" s="62">
        <f t="shared" si="11"/>
        <v>309.40264357084089</v>
      </c>
      <c r="CD7" s="62">
        <f ca="1">AVERAGE(OFFSET($CC$3,0,0,'Données projet'!$E$12+1,1))-AVERAGE(OFFSET($H$3,0,0,'Données projet'!$E$12+1,1))</f>
        <v>122.57815304102127</v>
      </c>
      <c r="CE7" s="62">
        <f t="shared" si="40"/>
        <v>80.106609825870578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5.4069999999999991</v>
      </c>
      <c r="CT7" s="13">
        <f>IF('Données projet'!$A$140&gt;35,CT6+CS7-DB6,IF(A7&lt;'Données projet'!$A$140,$CQ$205^A7,IF(A7='Données projet'!$A$140,'Données projet'!$B$140,CT6+CS7-DB6)))</f>
        <v>3.2290841852963097</v>
      </c>
      <c r="CU7" s="18">
        <f>CT7*VLOOKUP('Données projet'!$B$13,Paramètres!$A$1:$I$89,3,0)*VLOOKUP('Données projet'!$B$13,Paramètres!$A$1:$I$89,5,0)</f>
        <v>2.1156959582061421</v>
      </c>
      <c r="CV7" s="14">
        <f t="shared" si="41"/>
        <v>0.89355761898328112</v>
      </c>
      <c r="CW7" s="22">
        <f t="shared" si="13"/>
        <v>5.2411166469382451</v>
      </c>
      <c r="CX7" s="62">
        <f t="shared" si="14"/>
        <v>298.57444998027154</v>
      </c>
      <c r="CY7" s="62">
        <f ca="1">AVERAGE(OFFSET($CX$3,0,0,'Données projet'!$E$13+1,1))-AVERAGE(OFFSET($H$3,0,0,'Données projet'!$E$13+1,1))</f>
        <v>199.99826357281154</v>
      </c>
      <c r="CZ7" s="62">
        <f t="shared" si="42"/>
        <v>214.67424457475136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5.4069999999999991</v>
      </c>
      <c r="DO7" s="13">
        <f>IF('Données projet'!$A$166&gt;35,DO6+DN7-DW6,IF(A7&lt;'Données projet'!$A$166,$DL$205^A7,IF(A7='Données projet'!$A$166,'Données projet'!$B$166,DO6+DN7-DW6)))</f>
        <v>3.2290841852963097</v>
      </c>
      <c r="DP7" s="18">
        <f>DO7*VLOOKUP('Données projet'!$B$14,Paramètres!$A$1:$I$89,3,0)*VLOOKUP('Données projet'!$B$14,Paramètres!$A$1:$I$89,5,0)</f>
        <v>2.5690593778217439</v>
      </c>
      <c r="DQ7" s="14">
        <f t="shared" si="43"/>
        <v>1.0607877523703817</v>
      </c>
      <c r="DR7" s="22">
        <f t="shared" si="16"/>
        <v>6.3219837517512856</v>
      </c>
      <c r="DS7" s="62">
        <f t="shared" si="17"/>
        <v>299.65531708508462</v>
      </c>
      <c r="DT7" s="62">
        <f ca="1">AVERAGE(OFFSET($DS$3,0,0,'Données projet'!$E$14+1,1))-AVERAGE(OFFSET($H$3,0,0,'Données projet'!$E$14+1,1))</f>
        <v>248.15263300983543</v>
      </c>
      <c r="DU7" s="62">
        <f t="shared" si="44"/>
        <v>266.46511459244618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5.4069999999999991</v>
      </c>
      <c r="EJ7" s="13">
        <f>IF('Données projet'!$A$192&gt;35,EJ6+EI7-ER6,IF(A7&lt;'Données projet'!$A$192,$EG$205^A7,IF(A7='Données projet'!$A$192,'Données projet'!$B$192,EJ6+EI7-ER6)))</f>
        <v>3.2290841852963097</v>
      </c>
      <c r="EK7" s="18">
        <f>EJ7*VLOOKUP('Données projet'!$B$15,Paramètres!$A$1:$I$89,3,0)*VLOOKUP('Données projet'!$B$15,Paramètres!$A$1:$I$89,5,0)</f>
        <v>2.1660696714967647</v>
      </c>
      <c r="EL7" s="14">
        <f t="shared" si="45"/>
        <v>0.91233054751874976</v>
      </c>
      <c r="EM7" s="22">
        <f t="shared" si="19"/>
        <v>5.3615470481186875</v>
      </c>
      <c r="EN7" s="62">
        <f t="shared" si="20"/>
        <v>298.69488038145198</v>
      </c>
      <c r="EO7" s="62">
        <f ca="1">AVERAGE(OFFSET($EN$3,0,0,'Données projet'!$E$15+1,1))-AVERAGE(OFFSET($H$3,0,0,'Données projet'!$E$15+1,1))</f>
        <v>205.35893113421139</v>
      </c>
      <c r="EP7" s="62">
        <f t="shared" si="46"/>
        <v>220.4399811285175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8.526315789473685</v>
      </c>
      <c r="N8" s="14">
        <f>IF('Données projet'!$A$36&gt;35,N7+M8-V7,IF(A8&lt;'Données projet'!$A$36,$K$205^A8,IF(A8='Données projet'!$A$36,'Données projet'!$B$36,N7+M8-V7)))</f>
        <v>3.8146203352688688</v>
      </c>
      <c r="O8" s="14">
        <f>N8*VLOOKUP('Données projet'!$B$9,Paramètres!$A$1:$I$89,3,0)*VLOOKUP('Données projet'!$B$9,Paramètres!$A$1:$I$89,5,0)</f>
        <v>2.1323727674152977</v>
      </c>
      <c r="P8" s="14">
        <f t="shared" si="33"/>
        <v>0.89977831922200224</v>
      </c>
      <c r="Q8" s="22">
        <f t="shared" si="2"/>
        <v>5.2809964758932972</v>
      </c>
      <c r="R8" s="62">
        <f t="shared" si="0"/>
        <v>298.6143298092266</v>
      </c>
      <c r="S8" s="62">
        <f ca="1">AVERAGE(OFFSET($R$3,0,0,'Données projet'!$E$9+1,1))-AVERAGE(OFFSET($H$3,0,0,'Données projet'!$E$9+1,1))</f>
        <v>382.55387448074327</v>
      </c>
      <c r="T8" s="62">
        <f t="shared" si="34"/>
        <v>476.29465646955543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7.5533333333333337</v>
      </c>
      <c r="AI8" s="14">
        <f>IF('Données projet'!$A$62&gt;35,AI7+AH8-AQ7,IF(A8&lt;'Données projet'!$A$62,$AF$205^A8,IF(A8='Données projet'!$A$62,'Données projet'!$B$62,AI7+AH8-AQ7)))</f>
        <v>6.539581506783577</v>
      </c>
      <c r="AJ8" s="14">
        <f>AI8*VLOOKUP('Données projet'!$B$10,Paramètres!$A$1:$I$89,3,0)*VLOOKUP('Données projet'!$B$10,Paramètres!$A$1:$I$89,5,0)</f>
        <v>4.0806988602329524</v>
      </c>
      <c r="AK8" s="14">
        <f t="shared" si="35"/>
        <v>1.5966036226501863</v>
      </c>
      <c r="AL8" s="22">
        <f t="shared" si="4"/>
        <v>9.8879684910214678</v>
      </c>
      <c r="AM8" s="62">
        <f t="shared" si="5"/>
        <v>303.22130182435478</v>
      </c>
      <c r="AN8" s="62">
        <f ca="1">AVERAGE(OFFSET($AM$3,0,0,'Données projet'!$E$10+1,1))-AVERAGE(OFFSET($H$3,0,0,'Données projet'!$E$10+1,1))</f>
        <v>420.68062999212015</v>
      </c>
      <c r="AO8" s="62">
        <f t="shared" si="36"/>
        <v>655.24090633185676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</v>
      </c>
      <c r="BD8" s="13">
        <f>IF('Données projet'!$A$88&gt;35,BD7+BC8-BL7,IF(A8&lt;'Données projet'!$A$88,$BA$205^A8,IF(A8='Données projet'!$A$88,'Données projet'!$B$88,BD7+BC8-BL7)))</f>
        <v>10</v>
      </c>
      <c r="BE8" s="14">
        <f>BD8*VLOOKUP('Données projet'!$B$11,Paramètres!$A$1:$I$89,3,0)*VLOOKUP('Données projet'!$B$11,Paramètres!$A$1:$I$89,5,0)</f>
        <v>9.048</v>
      </c>
      <c r="BF8" s="14">
        <f t="shared" si="37"/>
        <v>3.226724860110286</v>
      </c>
      <c r="BG8" s="22">
        <f t="shared" si="7"/>
        <v>21.378479131358745</v>
      </c>
      <c r="BH8" s="62">
        <f t="shared" si="8"/>
        <v>314.71181246469206</v>
      </c>
      <c r="BI8" s="62">
        <f ca="1">AVERAGE(OFFSET($BH$3,0,0,'Données projet'!$E$11+1,1))-AVERAGE(OFFSET($H$3,0,0,'Données projet'!$E$11+1,1))</f>
        <v>138.3429338270858</v>
      </c>
      <c r="BJ8" s="62">
        <f t="shared" si="38"/>
        <v>88.30225651635925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</v>
      </c>
      <c r="BY8" s="13">
        <f>IF('Données projet'!$A$114&gt;35,BY7+BX8-CG7,IF(A8&lt;'Données projet'!$A$114,$BV$205^A8,IF(A8='Données projet'!$A$114,'Données projet'!$B$114,BY7+BX8-CG7)))</f>
        <v>10</v>
      </c>
      <c r="BZ8" s="14">
        <f>BY8*VLOOKUP('Données projet'!$B$12,Paramètres!$A$1:$I$89,3,0)*VLOOKUP('Données projet'!$B$12,Paramètres!$A$1:$I$89,5,0)</f>
        <v>8.4240000000000013</v>
      </c>
      <c r="CA8" s="14">
        <f t="shared" si="39"/>
        <v>3.0292846636388133</v>
      </c>
      <c r="CB8" s="22">
        <f t="shared" si="10"/>
        <v>19.947804122504269</v>
      </c>
      <c r="CC8" s="62">
        <f t="shared" si="11"/>
        <v>313.28113745583761</v>
      </c>
      <c r="CD8" s="62">
        <f ca="1">AVERAGE(OFFSET($CC$3,0,0,'Données projet'!$E$12+1,1))-AVERAGE(OFFSET($H$3,0,0,'Données projet'!$E$12+1,1))</f>
        <v>122.57815304102127</v>
      </c>
      <c r="CE8" s="62">
        <f t="shared" si="40"/>
        <v>80.106609825870578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5.4069999999999991</v>
      </c>
      <c r="CT8" s="13">
        <f>IF('Données projet'!$A$140&gt;35,CT7+CS8-DB7,IF(A8&lt;'Données projet'!$A$140,$CQ$205^A8,IF(A8='Données projet'!$A$140,'Données projet'!$B$140,CT7+CS8-DB7)))</f>
        <v>4.3286174864354168</v>
      </c>
      <c r="CU8" s="18">
        <f>CT8*VLOOKUP('Données projet'!$B$13,Paramètres!$A$1:$I$89,3,0)*VLOOKUP('Données projet'!$B$13,Paramètres!$A$1:$I$89,5,0)</f>
        <v>2.8361101771124848</v>
      </c>
      <c r="CV8" s="14">
        <f t="shared" si="41"/>
        <v>1.1576524481260182</v>
      </c>
      <c r="CW8" s="22">
        <f t="shared" si="13"/>
        <v>6.955803238957059</v>
      </c>
      <c r="CX8" s="62">
        <f t="shared" si="14"/>
        <v>300.28913657229037</v>
      </c>
      <c r="CY8" s="62">
        <f ca="1">AVERAGE(OFFSET($CX$3,0,0,'Données projet'!$E$13+1,1))-AVERAGE(OFFSET($H$3,0,0,'Données projet'!$E$13+1,1))</f>
        <v>199.99826357281154</v>
      </c>
      <c r="CZ8" s="62">
        <f t="shared" si="42"/>
        <v>214.67424457475136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5.4069999999999991</v>
      </c>
      <c r="DO8" s="13">
        <f>IF('Données projet'!$A$166&gt;35,DO7+DN8-DW7,IF(A8&lt;'Données projet'!$A$166,$DL$205^A8,IF(A8='Données projet'!$A$166,'Données projet'!$B$166,DO7+DN8-DW7)))</f>
        <v>4.3286174864354168</v>
      </c>
      <c r="DP8" s="18">
        <f>DO8*VLOOKUP('Données projet'!$B$14,Paramètres!$A$1:$I$89,3,0)*VLOOKUP('Données projet'!$B$14,Paramètres!$A$1:$I$89,5,0)</f>
        <v>3.4438480722080178</v>
      </c>
      <c r="DQ8" s="14">
        <f t="shared" si="43"/>
        <v>1.3743081726178488</v>
      </c>
      <c r="DR8" s="22">
        <f t="shared" si="16"/>
        <v>8.3916221264050499</v>
      </c>
      <c r="DS8" s="62">
        <f t="shared" si="17"/>
        <v>301.72495545973834</v>
      </c>
      <c r="DT8" s="62">
        <f ca="1">AVERAGE(OFFSET($DS$3,0,0,'Données projet'!$E$14+1,1))-AVERAGE(OFFSET($H$3,0,0,'Données projet'!$E$14+1,1))</f>
        <v>248.15263300983543</v>
      </c>
      <c r="DU8" s="62">
        <f t="shared" si="44"/>
        <v>266.46511459244618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5.4069999999999991</v>
      </c>
      <c r="EJ8" s="13">
        <f>IF('Données projet'!$A$192&gt;35,EJ7+EI8-ER7,IF(A8&lt;'Données projet'!$A$192,$EG$205^A8,IF(A8='Données projet'!$A$192,'Données projet'!$B$192,EJ7+EI8-ER7)))</f>
        <v>4.3286174864354168</v>
      </c>
      <c r="EK8" s="18">
        <f>EJ8*VLOOKUP('Données projet'!$B$15,Paramètres!$A$1:$I$89,3,0)*VLOOKUP('Données projet'!$B$15,Paramètres!$A$1:$I$89,5,0)</f>
        <v>2.9036366099008775</v>
      </c>
      <c r="EL8" s="14">
        <f t="shared" si="45"/>
        <v>1.1819737970976807</v>
      </c>
      <c r="EM8" s="22">
        <f t="shared" si="19"/>
        <v>7.1157714588558214</v>
      </c>
      <c r="EN8" s="62">
        <f t="shared" si="20"/>
        <v>300.44910479218913</v>
      </c>
      <c r="EO8" s="62">
        <f ca="1">AVERAGE(OFFSET($EN$3,0,0,'Données projet'!$E$15+1,1))-AVERAGE(OFFSET($H$3,0,0,'Données projet'!$E$15+1,1))</f>
        <v>205.35893113421139</v>
      </c>
      <c r="EP8" s="62">
        <f t="shared" si="46"/>
        <v>220.4399811285175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8.526315789473685</v>
      </c>
      <c r="N9" s="14">
        <f>IF('Données projet'!$A$36&gt;35,N8+M9-V8,IF(A9&lt;'Données projet'!$A$36,$K$205^A9,IF(A9='Données projet'!$A$36,'Données projet'!$B$36,N8+M9-V8)))</f>
        <v>4.9858772657326877</v>
      </c>
      <c r="O9" s="14">
        <f>N9*VLOOKUP('Données projet'!$B$9,Paramètres!$A$1:$I$89,3,0)*VLOOKUP('Données projet'!$B$9,Paramètres!$A$1:$I$89,5,0)</f>
        <v>2.7871053915445723</v>
      </c>
      <c r="P9" s="14">
        <f t="shared" si="33"/>
        <v>1.1399599707787778</v>
      </c>
      <c r="Q9" s="22">
        <f t="shared" si="2"/>
        <v>6.839638839379834</v>
      </c>
      <c r="R9" s="62">
        <f t="shared" si="0"/>
        <v>300.17297217271317</v>
      </c>
      <c r="S9" s="62">
        <f ca="1">AVERAGE(OFFSET($R$3,0,0,'Données projet'!$E$9+1,1))-AVERAGE(OFFSET($H$3,0,0,'Données projet'!$E$9+1,1))</f>
        <v>382.55387448074327</v>
      </c>
      <c r="T9" s="62">
        <f t="shared" si="34"/>
        <v>476.29465646955543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7.5533333333333337</v>
      </c>
      <c r="AI9" s="14">
        <f>IF('Données projet'!$A$62&gt;35,AI8+AH9-AQ8,IF(A9&lt;'Données projet'!$A$62,$AF$205^A9,IF(A9='Données projet'!$A$62,'Données projet'!$B$62,AI8+AH9-AQ8)))</f>
        <v>9.5205041883295234</v>
      </c>
      <c r="AJ9" s="14">
        <f>AI9*VLOOKUP('Données projet'!$B$10,Paramètres!$A$1:$I$89,3,0)*VLOOKUP('Données projet'!$B$10,Paramètres!$A$1:$I$89,5,0)</f>
        <v>5.9407946135176219</v>
      </c>
      <c r="AK9" s="14">
        <f t="shared" si="35"/>
        <v>2.2249543186183507</v>
      </c>
      <c r="AL9" s="22">
        <f t="shared" si="4"/>
        <v>14.222012723470151</v>
      </c>
      <c r="AM9" s="62">
        <f t="shared" si="5"/>
        <v>307.55534605680344</v>
      </c>
      <c r="AN9" s="62">
        <f ca="1">AVERAGE(OFFSET($AM$3,0,0,'Données projet'!$E$10+1,1))-AVERAGE(OFFSET($H$3,0,0,'Données projet'!$E$10+1,1))</f>
        <v>420.68062999212015</v>
      </c>
      <c r="AO9" s="62">
        <f t="shared" si="36"/>
        <v>655.24090633185676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</v>
      </c>
      <c r="BD9" s="13">
        <f>IF('Données projet'!$A$88&gt;35,BD8+BC9-BL8,IF(A9&lt;'Données projet'!$A$88,$BA$205^A9,IF(A9='Données projet'!$A$88,'Données projet'!$B$88,BD8+BC9-BL8)))</f>
        <v>12</v>
      </c>
      <c r="BE9" s="14">
        <f>BD9*VLOOKUP('Données projet'!$B$11,Paramètres!$A$1:$I$89,3,0)*VLOOKUP('Données projet'!$B$11,Paramètres!$A$1:$I$89,5,0)</f>
        <v>10.8576</v>
      </c>
      <c r="BF9" s="14">
        <f t="shared" si="37"/>
        <v>3.7907617001683773</v>
      </c>
      <c r="BG9" s="22">
        <f t="shared" si="7"/>
        <v>25.512563294459923</v>
      </c>
      <c r="BH9" s="62">
        <f t="shared" si="8"/>
        <v>318.84589662779325</v>
      </c>
      <c r="BI9" s="62">
        <f ca="1">AVERAGE(OFFSET($BH$3,0,0,'Données projet'!$E$11+1,1))-AVERAGE(OFFSET($H$3,0,0,'Données projet'!$E$11+1,1))</f>
        <v>138.3429338270858</v>
      </c>
      <c r="BJ9" s="62">
        <f t="shared" si="38"/>
        <v>88.30225651635925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</v>
      </c>
      <c r="BY9" s="13">
        <f>IF('Données projet'!$A$114&gt;35,BY8+BX9-CG8,IF(A9&lt;'Données projet'!$A$114,$BV$205^A9,IF(A9='Données projet'!$A$114,'Données projet'!$B$114,BY8+BX9-CG8)))</f>
        <v>12</v>
      </c>
      <c r="BZ9" s="14">
        <f>BY9*VLOOKUP('Données projet'!$B$12,Paramètres!$A$1:$I$89,3,0)*VLOOKUP('Données projet'!$B$12,Paramètres!$A$1:$I$89,5,0)</f>
        <v>10.1088</v>
      </c>
      <c r="CA9" s="14">
        <f t="shared" si="39"/>
        <v>3.5588086309400975</v>
      </c>
      <c r="CB9" s="22">
        <f t="shared" si="10"/>
        <v>23.804418365554003</v>
      </c>
      <c r="CC9" s="62">
        <f t="shared" si="11"/>
        <v>317.13775169888731</v>
      </c>
      <c r="CD9" s="62">
        <f ca="1">AVERAGE(OFFSET($CC$3,0,0,'Données projet'!$E$12+1,1))-AVERAGE(OFFSET($H$3,0,0,'Données projet'!$E$12+1,1))</f>
        <v>122.57815304102127</v>
      </c>
      <c r="CE9" s="62">
        <f t="shared" si="40"/>
        <v>80.106609825870578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5.4069999999999991</v>
      </c>
      <c r="CT9" s="13">
        <f>IF('Données projet'!$A$140&gt;35,CT8+CS9-DB8,IF(A9&lt;'Données projet'!$A$140,$CQ$205^A9,IF(A9='Données projet'!$A$140,'Données projet'!$B$140,CT8+CS9-DB8)))</f>
        <v>5.8025521382172069</v>
      </c>
      <c r="CU9" s="18">
        <f>CT9*VLOOKUP('Données projet'!$B$13,Paramètres!$A$1:$I$89,3,0)*VLOOKUP('Données projet'!$B$13,Paramètres!$A$1:$I$89,5,0)</f>
        <v>3.8018321609599139</v>
      </c>
      <c r="CV9" s="14">
        <f t="shared" si="41"/>
        <v>1.4998016492512709</v>
      </c>
      <c r="CW9" s="22">
        <f t="shared" si="13"/>
        <v>9.2336788861178132</v>
      </c>
      <c r="CX9" s="62">
        <f t="shared" si="14"/>
        <v>302.5670122194511</v>
      </c>
      <c r="CY9" s="62">
        <f ca="1">AVERAGE(OFFSET($CX$3,0,0,'Données projet'!$E$13+1,1))-AVERAGE(OFFSET($H$3,0,0,'Données projet'!$E$13+1,1))</f>
        <v>199.99826357281154</v>
      </c>
      <c r="CZ9" s="62">
        <f t="shared" si="42"/>
        <v>214.67424457475136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5.4069999999999991</v>
      </c>
      <c r="DO9" s="13">
        <f>IF('Données projet'!$A$166&gt;35,DO8+DN9-DW8,IF(A9&lt;'Données projet'!$A$166,$DL$205^A9,IF(A9='Données projet'!$A$166,'Données projet'!$B$166,DO8+DN9-DW8)))</f>
        <v>5.8025521382172069</v>
      </c>
      <c r="DP9" s="18">
        <f>DO9*VLOOKUP('Données projet'!$B$14,Paramètres!$A$1:$I$89,3,0)*VLOOKUP('Données projet'!$B$14,Paramètres!$A$1:$I$89,5,0)</f>
        <v>4.6165104811656104</v>
      </c>
      <c r="DQ9" s="14">
        <f t="shared" si="43"/>
        <v>1.7804909126295698</v>
      </c>
      <c r="DR9" s="22">
        <f t="shared" si="16"/>
        <v>11.14144409419327</v>
      </c>
      <c r="DS9" s="62">
        <f t="shared" si="17"/>
        <v>304.47477742752659</v>
      </c>
      <c r="DT9" s="62">
        <f ca="1">AVERAGE(OFFSET($DS$3,0,0,'Données projet'!$E$14+1,1))-AVERAGE(OFFSET($H$3,0,0,'Données projet'!$E$14+1,1))</f>
        <v>248.15263300983543</v>
      </c>
      <c r="DU9" s="62">
        <f t="shared" si="44"/>
        <v>266.46511459244618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5.4069999999999991</v>
      </c>
      <c r="EJ9" s="13">
        <f>IF('Données projet'!$A$192&gt;35,EJ8+EI9-ER8,IF(A9&lt;'Données projet'!$A$192,$EG$205^A9,IF(A9='Données projet'!$A$192,'Données projet'!$B$192,EJ8+EI9-ER8)))</f>
        <v>5.8025521382172069</v>
      </c>
      <c r="EK9" s="18">
        <f>EJ9*VLOOKUP('Données projet'!$B$15,Paramètres!$A$1:$I$89,3,0)*VLOOKUP('Données projet'!$B$15,Paramètres!$A$1:$I$89,5,0)</f>
        <v>3.8923519743161026</v>
      </c>
      <c r="EL9" s="14">
        <f t="shared" si="45"/>
        <v>1.5313112783793943</v>
      </c>
      <c r="EM9" s="22">
        <f t="shared" si="19"/>
        <v>9.4462134984446582</v>
      </c>
      <c r="EN9" s="62">
        <f t="shared" si="20"/>
        <v>302.77954683177796</v>
      </c>
      <c r="EO9" s="62">
        <f ca="1">AVERAGE(OFFSET($EN$3,0,0,'Données projet'!$E$15+1,1))-AVERAGE(OFFSET($H$3,0,0,'Données projet'!$E$15+1,1))</f>
        <v>205.35893113421139</v>
      </c>
      <c r="EP9" s="62">
        <f t="shared" si="46"/>
        <v>220.4399811285175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8.526315789473685</v>
      </c>
      <c r="N10" s="14">
        <f>IF('Données projet'!$A$36&gt;35,N9+M10-V9,IF(A10&lt;'Données projet'!$A$36,$K$205^A10,IF(A10='Données projet'!$A$36,'Données projet'!$B$36,N9+M10-V9)))</f>
        <v>6.5167618069644444</v>
      </c>
      <c r="O10" s="14">
        <f>N10*VLOOKUP('Données projet'!$B$9,Paramètres!$A$1:$I$89,3,0)*VLOOKUP('Données projet'!$B$9,Paramètres!$A$1:$I$89,5,0)</f>
        <v>3.6428698500931249</v>
      </c>
      <c r="P10" s="14">
        <f t="shared" si="33"/>
        <v>1.4442543315575544</v>
      </c>
      <c r="Q10" s="22">
        <f t="shared" si="2"/>
        <v>8.8600746163749324</v>
      </c>
      <c r="R10" s="62">
        <f t="shared" si="0"/>
        <v>302.19340794970827</v>
      </c>
      <c r="S10" s="62">
        <f ca="1">AVERAGE(OFFSET($R$3,0,0,'Données projet'!$E$9+1,1))-AVERAGE(OFFSET($H$3,0,0,'Données projet'!$E$9+1,1))</f>
        <v>382.55387448074327</v>
      </c>
      <c r="T10" s="62">
        <f t="shared" si="34"/>
        <v>476.29465646955543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7.5533333333333337</v>
      </c>
      <c r="AI10" s="14">
        <f>IF('Données projet'!$A$62&gt;35,AI9+AH10-AQ9,IF(A10&lt;'Données projet'!$A$62,$AF$205^A10,IF(A10='Données projet'!$A$62,'Données projet'!$B$62,AI9+AH10-AQ9)))</f>
        <v>13.860214129295304</v>
      </c>
      <c r="AJ10" s="14">
        <f>AI10*VLOOKUP('Données projet'!$B$10,Paramètres!$A$1:$I$89,3,0)*VLOOKUP('Données projet'!$B$10,Paramètres!$A$1:$I$89,5,0)</f>
        <v>8.6487736166802698</v>
      </c>
      <c r="AK10" s="14">
        <f t="shared" si="35"/>
        <v>3.1005953197834386</v>
      </c>
      <c r="AL10" s="22">
        <f t="shared" si="4"/>
        <v>20.463484231007627</v>
      </c>
      <c r="AM10" s="62">
        <f t="shared" si="5"/>
        <v>313.79681756434093</v>
      </c>
      <c r="AN10" s="62">
        <f ca="1">AVERAGE(OFFSET($AM$3,0,0,'Données projet'!$E$10+1,1))-AVERAGE(OFFSET($H$3,0,0,'Données projet'!$E$10+1,1))</f>
        <v>420.68062999212015</v>
      </c>
      <c r="AO10" s="62">
        <f t="shared" si="36"/>
        <v>655.24090633185676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</v>
      </c>
      <c r="BD10" s="13">
        <f>IF('Données projet'!$A$88&gt;35,BD9+BC10-BL9,IF(A10&lt;'Données projet'!$A$88,$BA$205^A10,IF(A10='Données projet'!$A$88,'Données projet'!$B$88,BD9+BC10-BL9)))</f>
        <v>14</v>
      </c>
      <c r="BE10" s="14">
        <f>BD10*VLOOKUP('Données projet'!$B$11,Paramètres!$A$1:$I$89,3,0)*VLOOKUP('Données projet'!$B$11,Paramètres!$A$1:$I$89,5,0)</f>
        <v>12.667199999999999</v>
      </c>
      <c r="BF10" s="14">
        <f t="shared" si="37"/>
        <v>4.3439084870573748</v>
      </c>
      <c r="BG10" s="22">
        <f t="shared" si="7"/>
        <v>29.627680614958262</v>
      </c>
      <c r="BH10" s="62">
        <f t="shared" si="8"/>
        <v>322.96101394829157</v>
      </c>
      <c r="BI10" s="62">
        <f ca="1">AVERAGE(OFFSET($BH$3,0,0,'Données projet'!$E$11+1,1))-AVERAGE(OFFSET($H$3,0,0,'Données projet'!$E$11+1,1))</f>
        <v>138.3429338270858</v>
      </c>
      <c r="BJ10" s="62">
        <f t="shared" si="38"/>
        <v>88.30225651635925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</v>
      </c>
      <c r="BY10" s="13">
        <f>IF('Données projet'!$A$114&gt;35,BY9+BX10-CG9,IF(A10&lt;'Données projet'!$A$114,$BV$205^A10,IF(A10='Données projet'!$A$114,'Données projet'!$B$114,BY9+BX10-CG9)))</f>
        <v>14</v>
      </c>
      <c r="BZ10" s="14">
        <f>BY10*VLOOKUP('Données projet'!$B$12,Paramètres!$A$1:$I$89,3,0)*VLOOKUP('Données projet'!$B$12,Paramètres!$A$1:$I$89,5,0)</f>
        <v>11.793600000000001</v>
      </c>
      <c r="CA10" s="14">
        <f t="shared" si="39"/>
        <v>4.0781088969710382</v>
      </c>
      <c r="CB10" s="22">
        <f t="shared" si="10"/>
        <v>27.643226328891227</v>
      </c>
      <c r="CC10" s="62">
        <f t="shared" si="11"/>
        <v>320.97655966222453</v>
      </c>
      <c r="CD10" s="62">
        <f ca="1">AVERAGE(OFFSET($CC$3,0,0,'Données projet'!$E$12+1,1))-AVERAGE(OFFSET($H$3,0,0,'Données projet'!$E$12+1,1))</f>
        <v>122.57815304102127</v>
      </c>
      <c r="CE10" s="62">
        <f t="shared" si="40"/>
        <v>80.106609825870578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5.4069999999999991</v>
      </c>
      <c r="CT10" s="13">
        <f>IF('Données projet'!$A$140&gt;35,CT9+CS10-DB9,IF(A10&lt;'Données projet'!$A$140,$CQ$205^A10,IF(A10='Données projet'!$A$140,'Données projet'!$B$140,CT9+CS10-DB9)))</f>
        <v>7.77837529470772</v>
      </c>
      <c r="CU10" s="18">
        <f>CT10*VLOOKUP('Données projet'!$B$13,Paramètres!$A$1:$I$89,3,0)*VLOOKUP('Données projet'!$B$13,Paramètres!$A$1:$I$89,5,0)</f>
        <v>5.0963914930924981</v>
      </c>
      <c r="CV10" s="14">
        <f t="shared" si="41"/>
        <v>1.9430745304759802</v>
      </c>
      <c r="CW10" s="22">
        <f t="shared" si="13"/>
        <v>12.260403324381764</v>
      </c>
      <c r="CX10" s="62">
        <f t="shared" si="14"/>
        <v>305.59373665771506</v>
      </c>
      <c r="CY10" s="62">
        <f ca="1">AVERAGE(OFFSET($CX$3,0,0,'Données projet'!$E$13+1,1))-AVERAGE(OFFSET($H$3,0,0,'Données projet'!$E$13+1,1))</f>
        <v>199.99826357281154</v>
      </c>
      <c r="CZ10" s="62">
        <f t="shared" si="42"/>
        <v>214.67424457475136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5.4069999999999991</v>
      </c>
      <c r="DO10" s="13">
        <f>IF('Données projet'!$A$166&gt;35,DO9+DN10-DW9,IF(A10&lt;'Données projet'!$A$166,$DL$205^A10,IF(A10='Données projet'!$A$166,'Données projet'!$B$166,DO9+DN10-DW9)))</f>
        <v>7.77837529470772</v>
      </c>
      <c r="DP10" s="18">
        <f>DO10*VLOOKUP('Données projet'!$B$14,Paramètres!$A$1:$I$89,3,0)*VLOOKUP('Données projet'!$B$14,Paramètres!$A$1:$I$89,5,0)</f>
        <v>6.188475384469462</v>
      </c>
      <c r="DQ10" s="14">
        <f t="shared" si="43"/>
        <v>2.3067227228357567</v>
      </c>
      <c r="DR10" s="22">
        <f t="shared" si="16"/>
        <v>14.795803370223254</v>
      </c>
      <c r="DS10" s="62">
        <f t="shared" si="17"/>
        <v>308.12913670355658</v>
      </c>
      <c r="DT10" s="62">
        <f ca="1">AVERAGE(OFFSET($DS$3,0,0,'Données projet'!$E$14+1,1))-AVERAGE(OFFSET($H$3,0,0,'Données projet'!$E$14+1,1))</f>
        <v>248.15263300983543</v>
      </c>
      <c r="DU10" s="62">
        <f t="shared" si="44"/>
        <v>266.46511459244618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5.4069999999999991</v>
      </c>
      <c r="EJ10" s="13">
        <f>IF('Données projet'!$A$192&gt;35,EJ9+EI10-ER9,IF(A10&lt;'Données projet'!$A$192,$EG$205^A10,IF(A10='Données projet'!$A$192,'Données projet'!$B$192,EJ9+EI10-ER9)))</f>
        <v>7.77837529470772</v>
      </c>
      <c r="EK10" s="18">
        <f>EJ10*VLOOKUP('Données projet'!$B$15,Paramètres!$A$1:$I$89,3,0)*VLOOKUP('Données projet'!$B$15,Paramètres!$A$1:$I$89,5,0)</f>
        <v>5.2177341476899386</v>
      </c>
      <c r="EL10" s="14">
        <f t="shared" si="45"/>
        <v>1.9838969671322977</v>
      </c>
      <c r="EM10" s="22">
        <f t="shared" si="19"/>
        <v>12.542840858315394</v>
      </c>
      <c r="EN10" s="62">
        <f t="shared" si="20"/>
        <v>305.87617419164872</v>
      </c>
      <c r="EO10" s="62">
        <f ca="1">AVERAGE(OFFSET($EN$3,0,0,'Données projet'!$E$15+1,1))-AVERAGE(OFFSET($H$3,0,0,'Données projet'!$E$15+1,1))</f>
        <v>205.35893113421139</v>
      </c>
      <c r="EP10" s="62">
        <f t="shared" si="46"/>
        <v>220.4399811285175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8.526315789473685</v>
      </c>
      <c r="N11" s="14">
        <f>IF('Données projet'!$A$36&gt;35,N10+M11-V10,IF(A11&lt;'Données projet'!$A$36,$K$205^A11,IF(A11='Données projet'!$A$36,'Données projet'!$B$36,N10+M11-V10)))</f>
        <v>8.5176955198213591</v>
      </c>
      <c r="O11" s="14">
        <f>N11*VLOOKUP('Données projet'!$B$9,Paramètres!$A$1:$I$89,3,0)*VLOOKUP('Données projet'!$B$9,Paramètres!$A$1:$I$89,5,0)</f>
        <v>4.7613917955801393</v>
      </c>
      <c r="P11" s="14">
        <f t="shared" si="33"/>
        <v>1.8297752795633417</v>
      </c>
      <c r="Q11" s="22">
        <f t="shared" si="2"/>
        <v>11.479615989208229</v>
      </c>
      <c r="R11" s="62">
        <f t="shared" si="0"/>
        <v>304.81294932254156</v>
      </c>
      <c r="S11" s="62">
        <f ca="1">AVERAGE(OFFSET($R$3,0,0,'Données projet'!$E$9+1,1))-AVERAGE(OFFSET($H$3,0,0,'Données projet'!$E$9+1,1))</f>
        <v>382.55387448074327</v>
      </c>
      <c r="T11" s="62">
        <f t="shared" si="34"/>
        <v>476.29465646955543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7.5533333333333337</v>
      </c>
      <c r="AI11" s="14">
        <f>IF('Données projet'!$A$62&gt;35,AI10+AH11-AQ10,IF(A11&lt;'Données projet'!$A$62,$AF$205^A11,IF(A11='Données projet'!$A$62,'Données projet'!$B$62,AI10+AH11-AQ10)))</f>
        <v>20.178084260012724</v>
      </c>
      <c r="AJ11" s="14">
        <f>AI11*VLOOKUP('Données projet'!$B$10,Paramètres!$A$1:$I$89,3,0)*VLOOKUP('Données projet'!$B$10,Paramètres!$A$1:$I$89,5,0)</f>
        <v>12.591124578247939</v>
      </c>
      <c r="AK11" s="14">
        <f t="shared" si="35"/>
        <v>4.3208488626556889</v>
      </c>
      <c r="AL11" s="22">
        <f t="shared" si="4"/>
        <v>29.455020409573823</v>
      </c>
      <c r="AM11" s="62">
        <f t="shared" si="5"/>
        <v>322.78835374290713</v>
      </c>
      <c r="AN11" s="62">
        <f ca="1">AVERAGE(OFFSET($AM$3,0,0,'Données projet'!$E$10+1,1))-AVERAGE(OFFSET($H$3,0,0,'Données projet'!$E$10+1,1))</f>
        <v>420.68062999212015</v>
      </c>
      <c r="AO11" s="62">
        <f t="shared" si="36"/>
        <v>655.24090633185676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</v>
      </c>
      <c r="BD11" s="13">
        <f>IF('Données projet'!$A$88&gt;35,BD10+BC11-BL10,IF(A11&lt;'Données projet'!$A$88,$BA$205^A11,IF(A11='Données projet'!$A$88,'Données projet'!$B$88,BD10+BC11-BL10)))</f>
        <v>16</v>
      </c>
      <c r="BE11" s="14">
        <f>BD11*VLOOKUP('Données projet'!$B$11,Paramètres!$A$1:$I$89,3,0)*VLOOKUP('Données projet'!$B$11,Paramètres!$A$1:$I$89,5,0)</f>
        <v>14.476799999999999</v>
      </c>
      <c r="BF11" s="14">
        <f t="shared" si="37"/>
        <v>4.8879004449090973</v>
      </c>
      <c r="BG11" s="22">
        <f t="shared" si="7"/>
        <v>33.726853274883347</v>
      </c>
      <c r="BH11" s="62">
        <f t="shared" si="8"/>
        <v>327.06018660821667</v>
      </c>
      <c r="BI11" s="62">
        <f ca="1">AVERAGE(OFFSET($BH$3,0,0,'Données projet'!$E$11+1,1))-AVERAGE(OFFSET($H$3,0,0,'Données projet'!$E$11+1,1))</f>
        <v>138.3429338270858</v>
      </c>
      <c r="BJ11" s="62">
        <f t="shared" si="38"/>
        <v>88.30225651635925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</v>
      </c>
      <c r="BY11" s="13">
        <f>IF('Données projet'!$A$114&gt;35,BY10+BX11-CG10,IF(A11&lt;'Données projet'!$A$114,$BV$205^A11,IF(A11='Données projet'!$A$114,'Données projet'!$B$114,BY10+BX11-CG10)))</f>
        <v>16</v>
      </c>
      <c r="BZ11" s="14">
        <f>BY11*VLOOKUP('Données projet'!$B$12,Paramètres!$A$1:$I$89,3,0)*VLOOKUP('Données projet'!$B$12,Paramètres!$A$1:$I$89,5,0)</f>
        <v>13.478400000000001</v>
      </c>
      <c r="CA11" s="14">
        <f t="shared" si="39"/>
        <v>4.5888145091646839</v>
      </c>
      <c r="CB11" s="22">
        <f t="shared" si="10"/>
        <v>31.46706527012849</v>
      </c>
      <c r="CC11" s="62">
        <f t="shared" si="11"/>
        <v>324.80039860346182</v>
      </c>
      <c r="CD11" s="62">
        <f ca="1">AVERAGE(OFFSET($CC$3,0,0,'Données projet'!$E$12+1,1))-AVERAGE(OFFSET($H$3,0,0,'Données projet'!$E$12+1,1))</f>
        <v>122.57815304102127</v>
      </c>
      <c r="CE11" s="62">
        <f t="shared" si="40"/>
        <v>80.106609825870578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5.4069999999999991</v>
      </c>
      <c r="CT11" s="13">
        <f>IF('Données projet'!$A$140&gt;35,CT10+CS11-DB10,IF(A11&lt;'Données projet'!$A$140,$CQ$205^A11,IF(A11='Données projet'!$A$140,'Données projet'!$B$140,CT10+CS11-DB10)))</f>
        <v>10.426984675730733</v>
      </c>
      <c r="CU11" s="18">
        <f>CT11*VLOOKUP('Données projet'!$B$13,Paramètres!$A$1:$I$89,3,0)*VLOOKUP('Données projet'!$B$13,Paramètres!$A$1:$I$89,5,0)</f>
        <v>6.8317603595387766</v>
      </c>
      <c r="CV11" s="14">
        <f t="shared" si="41"/>
        <v>2.5173586339695455</v>
      </c>
      <c r="CW11" s="22">
        <f t="shared" si="13"/>
        <v>16.283048913693658</v>
      </c>
      <c r="CX11" s="62">
        <f t="shared" si="14"/>
        <v>309.61638224702699</v>
      </c>
      <c r="CY11" s="62">
        <f ca="1">AVERAGE(OFFSET($CX$3,0,0,'Données projet'!$E$13+1,1))-AVERAGE(OFFSET($H$3,0,0,'Données projet'!$E$13+1,1))</f>
        <v>199.99826357281154</v>
      </c>
      <c r="CZ11" s="62">
        <f t="shared" si="42"/>
        <v>214.67424457475136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5.4069999999999991</v>
      </c>
      <c r="DO11" s="13">
        <f>IF('Données projet'!$A$166&gt;35,DO10+DN11-DW10,IF(A11&lt;'Données projet'!$A$166,$DL$205^A11,IF(A11='Données projet'!$A$166,'Données projet'!$B$166,DO10+DN11-DW10)))</f>
        <v>10.426984675730733</v>
      </c>
      <c r="DP11" s="18">
        <f>DO11*VLOOKUP('Données projet'!$B$14,Paramètres!$A$1:$I$89,3,0)*VLOOKUP('Données projet'!$B$14,Paramètres!$A$1:$I$89,5,0)</f>
        <v>8.2957090080113716</v>
      </c>
      <c r="DQ11" s="14">
        <f t="shared" si="43"/>
        <v>2.988484626517065</v>
      </c>
      <c r="DR11" s="22">
        <f t="shared" si="16"/>
        <v>19.65330391347036</v>
      </c>
      <c r="DS11" s="62">
        <f t="shared" si="17"/>
        <v>312.9866372468037</v>
      </c>
      <c r="DT11" s="62">
        <f ca="1">AVERAGE(OFFSET($DS$3,0,0,'Données projet'!$E$14+1,1))-AVERAGE(OFFSET($H$3,0,0,'Données projet'!$E$14+1,1))</f>
        <v>248.15263300983543</v>
      </c>
      <c r="DU11" s="62">
        <f t="shared" si="44"/>
        <v>266.46511459244618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5.4069999999999991</v>
      </c>
      <c r="EJ11" s="13">
        <f>IF('Données projet'!$A$192&gt;35,EJ10+EI11-ER10,IF(A11&lt;'Données projet'!$A$192,$EG$205^A11,IF(A11='Données projet'!$A$192,'Données projet'!$B$192,EJ10+EI11-ER10)))</f>
        <v>10.426984675730733</v>
      </c>
      <c r="EK11" s="18">
        <f>EJ11*VLOOKUP('Données projet'!$B$15,Paramètres!$A$1:$I$89,3,0)*VLOOKUP('Données projet'!$B$15,Paramètres!$A$1:$I$89,5,0)</f>
        <v>6.9944213204801757</v>
      </c>
      <c r="EL11" s="14">
        <f t="shared" si="45"/>
        <v>2.5702463188033748</v>
      </c>
      <c r="EM11" s="22">
        <f t="shared" si="19"/>
        <v>16.658462805085517</v>
      </c>
      <c r="EN11" s="62">
        <f t="shared" si="20"/>
        <v>309.99179613841881</v>
      </c>
      <c r="EO11" s="62">
        <f ca="1">AVERAGE(OFFSET($EN$3,0,0,'Données projet'!$E$15+1,1))-AVERAGE(OFFSET($H$3,0,0,'Données projet'!$E$15+1,1))</f>
        <v>205.35893113421139</v>
      </c>
      <c r="EP11" s="62">
        <f t="shared" si="46"/>
        <v>220.4399811285175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8.526315789473685</v>
      </c>
      <c r="N12" s="14">
        <f>IF('Données projet'!$A$36&gt;35,N11+M12-V11,IF(A12&lt;'Données projet'!$A$36,$K$205^A12,IF(A12='Données projet'!$A$36,'Données projet'!$B$36,N11+M12-V11)))</f>
        <v>11.133004261541316</v>
      </c>
      <c r="O12" s="14">
        <f>N12*VLOOKUP('Données projet'!$B$9,Paramètres!$A$1:$I$89,3,0)*VLOOKUP('Données projet'!$B$9,Paramètres!$A$1:$I$89,5,0)</f>
        <v>6.2233493822015964</v>
      </c>
      <c r="P12" s="14">
        <f t="shared" si="33"/>
        <v>2.3182049730052579</v>
      </c>
      <c r="Q12" s="22">
        <f t="shared" si="2"/>
        <v>14.87654050198527</v>
      </c>
      <c r="R12" s="62">
        <f t="shared" si="0"/>
        <v>308.2098738353186</v>
      </c>
      <c r="S12" s="62">
        <f ca="1">AVERAGE(OFFSET($R$3,0,0,'Données projet'!$E$9+1,1))-AVERAGE(OFFSET($H$3,0,0,'Données projet'!$E$9+1,1))</f>
        <v>382.55387448074327</v>
      </c>
      <c r="T12" s="62">
        <f t="shared" si="34"/>
        <v>476.29465646955543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7.5533333333333337</v>
      </c>
      <c r="AI12" s="14">
        <f>IF('Données projet'!$A$62&gt;35,AI11+AH12-AQ11,IF(A12&lt;'Données projet'!$A$62,$AF$205^A12,IF(A12='Données projet'!$A$62,'Données projet'!$B$62,AI11+AH12-AQ11)))</f>
        <v>29.375814876019831</v>
      </c>
      <c r="AJ12" s="14">
        <f>AI12*VLOOKUP('Données projet'!$B$10,Paramètres!$A$1:$I$89,3,0)*VLOOKUP('Données projet'!$B$10,Paramètres!$A$1:$I$89,5,0)</f>
        <v>18.330508482636375</v>
      </c>
      <c r="AK12" s="14">
        <f t="shared" si="35"/>
        <v>6.0213387973561643</v>
      </c>
      <c r="AL12" s="22">
        <f t="shared" si="4"/>
        <v>42.412800679320334</v>
      </c>
      <c r="AM12" s="62">
        <f t="shared" si="5"/>
        <v>335.74613401265367</v>
      </c>
      <c r="AN12" s="62">
        <f ca="1">AVERAGE(OFFSET($AM$3,0,0,'Données projet'!$E$10+1,1))-AVERAGE(OFFSET($H$3,0,0,'Données projet'!$E$10+1,1))</f>
        <v>420.68062999212015</v>
      </c>
      <c r="AO12" s="62">
        <f t="shared" si="36"/>
        <v>655.24090633185676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</v>
      </c>
      <c r="BD12" s="13">
        <f>IF('Données projet'!$A$88&gt;35,BD11+BC12-BL11,IF(A12&lt;'Données projet'!$A$88,$BA$205^A12,IF(A12='Données projet'!$A$88,'Données projet'!$B$88,BD11+BC12-BL11)))</f>
        <v>18</v>
      </c>
      <c r="BE12" s="14">
        <f>BD12*VLOOKUP('Données projet'!$B$11,Paramètres!$A$1:$I$89,3,0)*VLOOKUP('Données projet'!$B$11,Paramètres!$A$1:$I$89,5,0)</f>
        <v>16.2864</v>
      </c>
      <c r="BF12" s="14">
        <f t="shared" si="37"/>
        <v>5.4240129855342607</v>
      </c>
      <c r="BG12" s="22">
        <f t="shared" si="7"/>
        <v>37.812302616472174</v>
      </c>
      <c r="BH12" s="62">
        <f t="shared" si="8"/>
        <v>331.14563594980547</v>
      </c>
      <c r="BI12" s="62">
        <f ca="1">AVERAGE(OFFSET($BH$3,0,0,'Données projet'!$E$11+1,1))-AVERAGE(OFFSET($H$3,0,0,'Données projet'!$E$11+1,1))</f>
        <v>138.3429338270858</v>
      </c>
      <c r="BJ12" s="62">
        <f t="shared" si="38"/>
        <v>88.30225651635925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</v>
      </c>
      <c r="BY12" s="13">
        <f>IF('Données projet'!$A$114&gt;35,BY11+BX12-CG11,IF(A12&lt;'Données projet'!$A$114,$BV$205^A12,IF(A12='Données projet'!$A$114,'Données projet'!$B$114,BY11+BX12-CG11)))</f>
        <v>18</v>
      </c>
      <c r="BZ12" s="14">
        <f>BY12*VLOOKUP('Données projet'!$B$12,Paramètres!$A$1:$I$89,3,0)*VLOOKUP('Données projet'!$B$12,Paramètres!$A$1:$I$89,5,0)</f>
        <v>15.163200000000002</v>
      </c>
      <c r="CA12" s="14">
        <f t="shared" si="39"/>
        <v>5.0921228381074677</v>
      </c>
      <c r="CB12" s="22">
        <f t="shared" si="10"/>
        <v>35.278020609703837</v>
      </c>
      <c r="CC12" s="62">
        <f t="shared" si="11"/>
        <v>328.61135394303716</v>
      </c>
      <c r="CD12" s="62">
        <f ca="1">AVERAGE(OFFSET($CC$3,0,0,'Données projet'!$E$12+1,1))-AVERAGE(OFFSET($H$3,0,0,'Données projet'!$E$12+1,1))</f>
        <v>122.57815304102127</v>
      </c>
      <c r="CE12" s="62">
        <f t="shared" si="40"/>
        <v>80.106609825870578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5.4069999999999991</v>
      </c>
      <c r="CT12" s="13">
        <f>IF('Données projet'!$A$140&gt;35,CT11+CS12-DB11,IF(A12&lt;'Données projet'!$A$140,$CQ$205^A12,IF(A12='Données projet'!$A$140,'Données projet'!$B$140,CT11+CS12-DB11)))</f>
        <v>13.97747026964567</v>
      </c>
      <c r="CU12" s="18">
        <f>CT12*VLOOKUP('Données projet'!$B$13,Paramètres!$A$1:$I$89,3,0)*VLOOKUP('Données projet'!$B$13,Paramètres!$A$1:$I$89,5,0)</f>
        <v>9.1580385206718429</v>
      </c>
      <c r="CV12" s="14">
        <f t="shared" si="41"/>
        <v>3.2613748945948382</v>
      </c>
      <c r="CW12" s="22">
        <f t="shared" si="13"/>
        <v>21.630478364922805</v>
      </c>
      <c r="CX12" s="62">
        <f t="shared" si="14"/>
        <v>314.96381169825611</v>
      </c>
      <c r="CY12" s="62">
        <f ca="1">AVERAGE(OFFSET($CX$3,0,0,'Données projet'!$E$13+1,1))-AVERAGE(OFFSET($H$3,0,0,'Données projet'!$E$13+1,1))</f>
        <v>199.99826357281154</v>
      </c>
      <c r="CZ12" s="62">
        <f t="shared" si="42"/>
        <v>214.67424457475136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5.4069999999999991</v>
      </c>
      <c r="DO12" s="13">
        <f>IF('Données projet'!$A$166&gt;35,DO11+DN12-DW11,IF(A12&lt;'Données projet'!$A$166,$DL$205^A12,IF(A12='Données projet'!$A$166,'Données projet'!$B$166,DO11+DN12-DW11)))</f>
        <v>13.97747026964567</v>
      </c>
      <c r="DP12" s="18">
        <f>DO12*VLOOKUP('Données projet'!$B$14,Paramètres!$A$1:$I$89,3,0)*VLOOKUP('Données projet'!$B$14,Paramètres!$A$1:$I$89,5,0)</f>
        <v>11.120475346530094</v>
      </c>
      <c r="DQ12" s="14">
        <f t="shared" si="43"/>
        <v>3.8717442172458063</v>
      </c>
      <c r="DR12" s="22">
        <f t="shared" si="16"/>
        <v>26.111449073576356</v>
      </c>
      <c r="DS12" s="62">
        <f t="shared" si="17"/>
        <v>319.44478240690967</v>
      </c>
      <c r="DT12" s="62">
        <f ca="1">AVERAGE(OFFSET($DS$3,0,0,'Données projet'!$E$14+1,1))-AVERAGE(OFFSET($H$3,0,0,'Données projet'!$E$14+1,1))</f>
        <v>248.15263300983543</v>
      </c>
      <c r="DU12" s="62">
        <f t="shared" si="44"/>
        <v>266.46511459244618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5.4069999999999991</v>
      </c>
      <c r="EJ12" s="13">
        <f>IF('Données projet'!$A$192&gt;35,EJ11+EI12-ER11,IF(A12&lt;'Données projet'!$A$192,$EG$205^A12,IF(A12='Données projet'!$A$192,'Données projet'!$B$192,EJ11+EI12-ER11)))</f>
        <v>13.97747026964567</v>
      </c>
      <c r="EK12" s="18">
        <f>EJ12*VLOOKUP('Données projet'!$B$15,Paramètres!$A$1:$I$89,3,0)*VLOOKUP('Données projet'!$B$15,Paramètres!$A$1:$I$89,5,0)</f>
        <v>9.3760870568783155</v>
      </c>
      <c r="EL12" s="14">
        <f t="shared" si="45"/>
        <v>3.3298937640251784</v>
      </c>
      <c r="EM12" s="22">
        <f t="shared" si="19"/>
        <v>22.129583263073584</v>
      </c>
      <c r="EN12" s="62">
        <f t="shared" si="20"/>
        <v>315.4629165964069</v>
      </c>
      <c r="EO12" s="62">
        <f ca="1">AVERAGE(OFFSET($EN$3,0,0,'Données projet'!$E$15+1,1))-AVERAGE(OFFSET($H$3,0,0,'Données projet'!$E$15+1,1))</f>
        <v>205.35893113421139</v>
      </c>
      <c r="EP12" s="62">
        <f t="shared" si="46"/>
        <v>220.4399811285175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8.526315789473685</v>
      </c>
      <c r="N13" s="14">
        <f>IF('Données projet'!$A$36&gt;35,N12+M13-V12,IF(A13&lt;'Données projet'!$A$36,$K$205^A13,IF(A13='Données projet'!$A$36,'Données projet'!$B$36,N12+M13-V12)))</f>
        <v>14.551328302246779</v>
      </c>
      <c r="O13" s="14">
        <f>N13*VLOOKUP('Données projet'!$B$9,Paramètres!$A$1:$I$89,3,0)*VLOOKUP('Données projet'!$B$9,Paramètres!$A$1:$I$89,5,0)</f>
        <v>8.1341925209559491</v>
      </c>
      <c r="P13" s="14">
        <f t="shared" si="33"/>
        <v>2.9370132807503975</v>
      </c>
      <c r="Q13" s="22">
        <f t="shared" si="2"/>
        <v>19.282350104638549</v>
      </c>
      <c r="R13" s="62">
        <f t="shared" si="0"/>
        <v>312.61568343797188</v>
      </c>
      <c r="S13" s="62">
        <f ca="1">AVERAGE(OFFSET($R$3,0,0,'Données projet'!$E$9+1,1))-AVERAGE(OFFSET($H$3,0,0,'Données projet'!$E$9+1,1))</f>
        <v>382.55387448074327</v>
      </c>
      <c r="T13" s="62">
        <f t="shared" si="34"/>
        <v>476.29465646955543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7.5533333333333337</v>
      </c>
      <c r="AI13" s="14">
        <f>IF('Données projet'!$A$62&gt;35,AI12+AH13-AQ12,IF(A13&lt;'Données projet'!$A$62,$AF$205^A13,IF(A13='Données projet'!$A$62,'Données projet'!$B$62,AI12+AH13-AQ12)))</f>
        <v>42.766126283865759</v>
      </c>
      <c r="AJ13" s="14">
        <f>AI13*VLOOKUP('Données projet'!$B$10,Paramètres!$A$1:$I$89,3,0)*VLOOKUP('Données projet'!$B$10,Paramètres!$A$1:$I$89,5,0)</f>
        <v>26.686062801132234</v>
      </c>
      <c r="AK13" s="14">
        <f t="shared" si="35"/>
        <v>8.3910643637422968</v>
      </c>
      <c r="AL13" s="22">
        <f t="shared" si="4"/>
        <v>61.092663145489801</v>
      </c>
      <c r="AM13" s="62">
        <f t="shared" si="5"/>
        <v>354.42599647882309</v>
      </c>
      <c r="AN13" s="62">
        <f ca="1">AVERAGE(OFFSET($AM$3,0,0,'Données projet'!$E$10+1,1))-AVERAGE(OFFSET($H$3,0,0,'Données projet'!$E$10+1,1))</f>
        <v>420.68062999212015</v>
      </c>
      <c r="AO13" s="62">
        <f t="shared" si="36"/>
        <v>655.24090633185676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</v>
      </c>
      <c r="BD13" s="13">
        <f>IF('Données projet'!$A$88&gt;35,BD12+BC13-BL12,IF(A13&lt;'Données projet'!$A$88,$BA$205^A13,IF(A13='Données projet'!$A$88,'Données projet'!$B$88,BD12+BC13-BL12)))</f>
        <v>20</v>
      </c>
      <c r="BE13" s="14">
        <f>BD13*VLOOKUP('Données projet'!$B$11,Paramètres!$A$1:$I$89,3,0)*VLOOKUP('Données projet'!$B$11,Paramètres!$A$1:$I$89,5,0)</f>
        <v>18.096</v>
      </c>
      <c r="BF13" s="14">
        <f t="shared" si="37"/>
        <v>5.9532214687411624</v>
      </c>
      <c r="BG13" s="22">
        <f t="shared" si="7"/>
        <v>41.885727391390851</v>
      </c>
      <c r="BH13" s="62">
        <f t="shared" si="8"/>
        <v>335.21906072472416</v>
      </c>
      <c r="BI13" s="62">
        <f ca="1">AVERAGE(OFFSET($BH$3,0,0,'Données projet'!$E$11+1,1))-AVERAGE(OFFSET($H$3,0,0,'Données projet'!$E$11+1,1))</f>
        <v>138.3429338270858</v>
      </c>
      <c r="BJ13" s="62">
        <f t="shared" si="38"/>
        <v>88.30225651635925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</v>
      </c>
      <c r="BY13" s="13">
        <f>IF('Données projet'!$A$114&gt;35,BY12+BX13-CG12,IF(A13&lt;'Données projet'!$A$114,$BV$205^A13,IF(A13='Données projet'!$A$114,'Données projet'!$B$114,BY12+BX13-CG12)))</f>
        <v>20</v>
      </c>
      <c r="BZ13" s="14">
        <f>BY13*VLOOKUP('Données projet'!$B$12,Paramètres!$A$1:$I$89,3,0)*VLOOKUP('Données projet'!$B$12,Paramètres!$A$1:$I$89,5,0)</f>
        <v>16.848000000000003</v>
      </c>
      <c r="CA13" s="14">
        <f t="shared" si="39"/>
        <v>5.5889495622773833</v>
      </c>
      <c r="CB13" s="22">
        <f t="shared" si="10"/>
        <v>39.077687154299774</v>
      </c>
      <c r="CC13" s="62">
        <f t="shared" si="11"/>
        <v>332.4110204876331</v>
      </c>
      <c r="CD13" s="62">
        <f ca="1">AVERAGE(OFFSET($CC$3,0,0,'Données projet'!$E$12+1,1))-AVERAGE(OFFSET($H$3,0,0,'Données projet'!$E$12+1,1))</f>
        <v>122.57815304102127</v>
      </c>
      <c r="CE13" s="62">
        <f t="shared" si="40"/>
        <v>80.106609825870578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5.4069999999999991</v>
      </c>
      <c r="CT13" s="13">
        <f>IF('Données projet'!$A$140&gt;35,CT12+CS13-DB12,IF(A13&lt;'Données projet'!$A$140,$CQ$205^A13,IF(A13='Données projet'!$A$140,'Données projet'!$B$140,CT12+CS13-DB12)))</f>
        <v>18.736929343874468</v>
      </c>
      <c r="CU13" s="18">
        <f>CT13*VLOOKUP('Données projet'!$B$13,Paramètres!$A$1:$I$89,3,0)*VLOOKUP('Données projet'!$B$13,Paramètres!$A$1:$I$89,5,0)</f>
        <v>12.276436106106551</v>
      </c>
      <c r="CV13" s="14">
        <f t="shared" si="41"/>
        <v>4.2252883874241718</v>
      </c>
      <c r="CW13" s="22">
        <f t="shared" si="13"/>
        <v>28.740503492899339</v>
      </c>
      <c r="CX13" s="62">
        <f t="shared" si="14"/>
        <v>322.07383682623265</v>
      </c>
      <c r="CY13" s="62">
        <f ca="1">AVERAGE(OFFSET($CX$3,0,0,'Données projet'!$E$13+1,1))-AVERAGE(OFFSET($H$3,0,0,'Données projet'!$E$13+1,1))</f>
        <v>199.99826357281154</v>
      </c>
      <c r="CZ13" s="62">
        <f t="shared" si="42"/>
        <v>214.67424457475136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5.4069999999999991</v>
      </c>
      <c r="DO13" s="13">
        <f>IF('Données projet'!$A$166&gt;35,DO12+DN13-DW12,IF(A13&lt;'Données projet'!$A$166,$DL$205^A13,IF(A13='Données projet'!$A$166,'Données projet'!$B$166,DO12+DN13-DW12)))</f>
        <v>18.736929343874468</v>
      </c>
      <c r="DP13" s="18">
        <f>DO13*VLOOKUP('Données projet'!$B$14,Paramètres!$A$1:$I$89,3,0)*VLOOKUP('Données projet'!$B$14,Paramètres!$A$1:$I$89,5,0)</f>
        <v>14.90710098598653</v>
      </c>
      <c r="DQ13" s="14">
        <f t="shared" si="43"/>
        <v>5.0160550102099526</v>
      </c>
      <c r="DR13" s="22">
        <f t="shared" si="16"/>
        <v>34.699496693375536</v>
      </c>
      <c r="DS13" s="62">
        <f t="shared" si="17"/>
        <v>328.03283002670884</v>
      </c>
      <c r="DT13" s="62">
        <f ca="1">AVERAGE(OFFSET($DS$3,0,0,'Données projet'!$E$14+1,1))-AVERAGE(OFFSET($H$3,0,0,'Données projet'!$E$14+1,1))</f>
        <v>248.15263300983543</v>
      </c>
      <c r="DU13" s="62">
        <f t="shared" si="44"/>
        <v>266.46511459244618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5.4069999999999991</v>
      </c>
      <c r="EJ13" s="13">
        <f>IF('Données projet'!$A$192&gt;35,EJ12+EI13-ER12,IF(A13&lt;'Données projet'!$A$192,$EG$205^A13,IF(A13='Données projet'!$A$192,'Données projet'!$B$192,EJ12+EI13-ER12)))</f>
        <v>18.736929343874468</v>
      </c>
      <c r="EK13" s="18">
        <f>EJ13*VLOOKUP('Données projet'!$B$15,Paramètres!$A$1:$I$89,3,0)*VLOOKUP('Données projet'!$B$15,Paramètres!$A$1:$I$89,5,0)</f>
        <v>12.568732203870994</v>
      </c>
      <c r="EL13" s="14">
        <f t="shared" si="45"/>
        <v>4.3140583058420932</v>
      </c>
      <c r="EM13" s="22">
        <f t="shared" si="19"/>
        <v>29.404193471083619</v>
      </c>
      <c r="EN13" s="62">
        <f t="shared" si="20"/>
        <v>322.73752680441692</v>
      </c>
      <c r="EO13" s="62">
        <f ca="1">AVERAGE(OFFSET($EN$3,0,0,'Données projet'!$E$15+1,1))-AVERAGE(OFFSET($H$3,0,0,'Données projet'!$E$15+1,1))</f>
        <v>205.35893113421139</v>
      </c>
      <c r="EP13" s="62">
        <f t="shared" si="46"/>
        <v>220.4399811285175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8.526315789473685</v>
      </c>
      <c r="N14" s="14">
        <f>IF('Données projet'!$A$36&gt;35,N13+M14-V13,IF(A14&lt;'Données projet'!$A$36,$K$205^A14,IF(A14='Données projet'!$A$36,'Données projet'!$B$36,N13+M14-V13)))</f>
        <v>19.01922880701866</v>
      </c>
      <c r="O14" s="14">
        <f>N14*VLOOKUP('Données projet'!$B$9,Paramètres!$A$1:$I$89,3,0)*VLOOKUP('Données projet'!$B$9,Paramètres!$A$1:$I$89,5,0)</f>
        <v>10.631748903123432</v>
      </c>
      <c r="P14" s="14">
        <f t="shared" si="33"/>
        <v>3.7210027205323613</v>
      </c>
      <c r="Q14" s="22">
        <f t="shared" si="2"/>
        <v>24.997709077867171</v>
      </c>
      <c r="R14" s="62">
        <f t="shared" si="0"/>
        <v>318.33104241120049</v>
      </c>
      <c r="S14" s="62">
        <f ca="1">AVERAGE(OFFSET($R$3,0,0,'Données projet'!$E$9+1,1))-AVERAGE(OFFSET($H$3,0,0,'Données projet'!$E$9+1,1))</f>
        <v>382.55387448074327</v>
      </c>
      <c r="T14" s="62">
        <f t="shared" si="34"/>
        <v>476.29465646955543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7.5533333333333337</v>
      </c>
      <c r="AI14" s="14">
        <f>IF('Données projet'!$A$62&gt;35,AI13+AH14-AQ13,IF(A14&lt;'Données projet'!$A$62,$AF$205^A14,IF(A14='Données projet'!$A$62,'Données projet'!$B$62,AI13+AH14-AQ13)))</f>
        <v>62.260113125255337</v>
      </c>
      <c r="AJ14" s="14">
        <f>AI14*VLOOKUP('Données projet'!$B$10,Paramètres!$A$1:$I$89,3,0)*VLOOKUP('Données projet'!$B$10,Paramètres!$A$1:$I$89,5,0)</f>
        <v>38.850310590159332</v>
      </c>
      <c r="AK14" s="14">
        <f t="shared" si="35"/>
        <v>11.69340632142827</v>
      </c>
      <c r="AL14" s="22">
        <f t="shared" si="4"/>
        <v>88.030306954348404</v>
      </c>
      <c r="AM14" s="62">
        <f t="shared" si="5"/>
        <v>381.36364028768173</v>
      </c>
      <c r="AN14" s="62">
        <f ca="1">AVERAGE(OFFSET($AM$3,0,0,'Données projet'!$E$10+1,1))-AVERAGE(OFFSET($H$3,0,0,'Données projet'!$E$10+1,1))</f>
        <v>420.68062999212015</v>
      </c>
      <c r="AO14" s="62">
        <f t="shared" si="36"/>
        <v>655.24090633185676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</v>
      </c>
      <c r="BD14" s="13">
        <f>IF('Données projet'!$A$88&gt;35,BD13+BC14-BL13,IF(A14&lt;'Données projet'!$A$88,$BA$205^A14,IF(A14='Données projet'!$A$88,'Données projet'!$B$88,BD13+BC14-BL13)))</f>
        <v>22</v>
      </c>
      <c r="BE14" s="14">
        <f>BD14*VLOOKUP('Données projet'!$B$11,Paramètres!$A$1:$I$89,3,0)*VLOOKUP('Données projet'!$B$11,Paramètres!$A$1:$I$89,5,0)</f>
        <v>19.9056</v>
      </c>
      <c r="BF14" s="14">
        <f t="shared" si="37"/>
        <v>6.4762948940833853</v>
      </c>
      <c r="BG14" s="22">
        <f t="shared" si="7"/>
        <v>45.948466940528562</v>
      </c>
      <c r="BH14" s="62">
        <f t="shared" si="8"/>
        <v>339.2818002738619</v>
      </c>
      <c r="BI14" s="62">
        <f ca="1">AVERAGE(OFFSET($BH$3,0,0,'Données projet'!$E$11+1,1))-AVERAGE(OFFSET($H$3,0,0,'Données projet'!$E$11+1,1))</f>
        <v>138.3429338270858</v>
      </c>
      <c r="BJ14" s="62">
        <f t="shared" si="38"/>
        <v>88.30225651635925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</v>
      </c>
      <c r="BY14" s="13">
        <f>IF('Données projet'!$A$114&gt;35,BY13+BX14-CG13,IF(A14&lt;'Données projet'!$A$114,$BV$205^A14,IF(A14='Données projet'!$A$114,'Données projet'!$B$114,BY13+BX14-CG13)))</f>
        <v>22</v>
      </c>
      <c r="BZ14" s="14">
        <f>BY14*VLOOKUP('Données projet'!$B$12,Paramètres!$A$1:$I$89,3,0)*VLOOKUP('Données projet'!$B$12,Paramètres!$A$1:$I$89,5,0)</f>
        <v>18.532800000000002</v>
      </c>
      <c r="CA14" s="14">
        <f t="shared" si="39"/>
        <v>6.0800166268835865</v>
      </c>
      <c r="CB14" s="22">
        <f t="shared" si="10"/>
        <v>42.867322291822241</v>
      </c>
      <c r="CC14" s="62">
        <f t="shared" si="11"/>
        <v>336.20065562515555</v>
      </c>
      <c r="CD14" s="62">
        <f ca="1">AVERAGE(OFFSET($CC$3,0,0,'Données projet'!$E$12+1,1))-AVERAGE(OFFSET($H$3,0,0,'Données projet'!$E$12+1,1))</f>
        <v>122.57815304102127</v>
      </c>
      <c r="CE14" s="62">
        <f t="shared" si="40"/>
        <v>80.106609825870578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5.4069999999999991</v>
      </c>
      <c r="CT14" s="13">
        <f>IF('Données projet'!$A$140&gt;35,CT13+CS14-DB13,IF(A14&lt;'Données projet'!$A$140,$CQ$205^A14,IF(A14='Données projet'!$A$140,'Données projet'!$B$140,CT13+CS14-DB13)))</f>
        <v>25.117028651440222</v>
      </c>
      <c r="CU14" s="18">
        <f>CT14*VLOOKUP('Données projet'!$B$13,Paramètres!$A$1:$I$89,3,0)*VLOOKUP('Données projet'!$B$13,Paramètres!$A$1:$I$89,5,0)</f>
        <v>16.456677172423632</v>
      </c>
      <c r="CV14" s="14">
        <f t="shared" si="41"/>
        <v>5.474090693004932</v>
      </c>
      <c r="CW14" s="22">
        <f t="shared" si="13"/>
        <v>38.196087365621416</v>
      </c>
      <c r="CX14" s="62">
        <f t="shared" si="14"/>
        <v>331.52942069895471</v>
      </c>
      <c r="CY14" s="62">
        <f ca="1">AVERAGE(OFFSET($CX$3,0,0,'Données projet'!$E$13+1,1))-AVERAGE(OFFSET($H$3,0,0,'Données projet'!$E$13+1,1))</f>
        <v>199.99826357281154</v>
      </c>
      <c r="CZ14" s="62">
        <f t="shared" si="42"/>
        <v>214.67424457475136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5.4069999999999991</v>
      </c>
      <c r="DO14" s="13">
        <f>IF('Données projet'!$A$166&gt;35,DO13+DN14-DW13,IF(A14&lt;'Données projet'!$A$166,$DL$205^A14,IF(A14='Données projet'!$A$166,'Données projet'!$B$166,DO13+DN14-DW13)))</f>
        <v>25.117028651440222</v>
      </c>
      <c r="DP14" s="18">
        <f>DO14*VLOOKUP('Données projet'!$B$14,Paramètres!$A$1:$I$89,3,0)*VLOOKUP('Données projet'!$B$14,Paramètres!$A$1:$I$89,5,0)</f>
        <v>19.983107995085842</v>
      </c>
      <c r="DQ14" s="14">
        <f t="shared" si="43"/>
        <v>6.4985718202610725</v>
      </c>
      <c r="DR14" s="22">
        <f t="shared" si="16"/>
        <v>46.122259011729206</v>
      </c>
      <c r="DS14" s="62">
        <f t="shared" si="17"/>
        <v>339.45559234506254</v>
      </c>
      <c r="DT14" s="62">
        <f ca="1">AVERAGE(OFFSET($DS$3,0,0,'Données projet'!$E$14+1,1))-AVERAGE(OFFSET($H$3,0,0,'Données projet'!$E$14+1,1))</f>
        <v>248.15263300983543</v>
      </c>
      <c r="DU14" s="62">
        <f t="shared" si="44"/>
        <v>266.46511459244618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5.4069999999999991</v>
      </c>
      <c r="EJ14" s="13">
        <f>IF('Données projet'!$A$192&gt;35,EJ13+EI14-ER13,IF(A14&lt;'Données projet'!$A$192,$EG$205^A14,IF(A14='Données projet'!$A$192,'Données projet'!$B$192,EJ13+EI14-ER13)))</f>
        <v>25.117028651440222</v>
      </c>
      <c r="EK14" s="18">
        <f>EJ14*VLOOKUP('Données projet'!$B$15,Paramètres!$A$1:$I$89,3,0)*VLOOKUP('Données projet'!$B$15,Paramètres!$A$1:$I$89,5,0)</f>
        <v>16.848502819386102</v>
      </c>
      <c r="EL14" s="14">
        <f t="shared" si="45"/>
        <v>5.5890969457560269</v>
      </c>
      <c r="EM14" s="22">
        <f t="shared" si="19"/>
        <v>39.078819590955874</v>
      </c>
      <c r="EN14" s="62">
        <f t="shared" si="20"/>
        <v>332.41215292428922</v>
      </c>
      <c r="EO14" s="62">
        <f ca="1">AVERAGE(OFFSET($EN$3,0,0,'Données projet'!$E$15+1,1))-AVERAGE(OFFSET($H$3,0,0,'Données projet'!$E$15+1,1))</f>
        <v>205.35893113421139</v>
      </c>
      <c r="EP14" s="62">
        <f t="shared" si="46"/>
        <v>220.4399811285175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8.526315789473685</v>
      </c>
      <c r="N15" s="14">
        <f>IF('Données projet'!$A$36&gt;35,N14+M15-V14,IF(A15&lt;'Données projet'!$A$36,$K$205^A15,IF(A15='Données projet'!$A$36,'Données projet'!$B$36,N14+M15-V14)))</f>
        <v>24.85897210895007</v>
      </c>
      <c r="O15" s="14">
        <f>N15*VLOOKUP('Données projet'!$B$9,Paramètres!$A$1:$I$89,3,0)*VLOOKUP('Données projet'!$B$9,Paramètres!$A$1:$I$89,5,0)</f>
        <v>13.896165408903089</v>
      </c>
      <c r="P15" s="14">
        <f t="shared" si="33"/>
        <v>4.7142657940830492</v>
      </c>
      <c r="Q15" s="22">
        <f t="shared" si="2"/>
        <v>32.413167678534187</v>
      </c>
      <c r="R15" s="62">
        <f t="shared" si="0"/>
        <v>325.74650101186751</v>
      </c>
      <c r="S15" s="62">
        <f ca="1">AVERAGE(OFFSET($R$3,0,0,'Données projet'!$E$9+1,1))-AVERAGE(OFFSET($H$3,0,0,'Données projet'!$E$9+1,1))</f>
        <v>382.55387448074327</v>
      </c>
      <c r="T15" s="62">
        <f t="shared" si="34"/>
        <v>476.29465646955543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90.64</v>
      </c>
      <c r="AG15" s="13">
        <f>VLOOKUP(A15,'Données projet'!$A$61:$I$81,9,0)</f>
        <v>7.5533333333333337</v>
      </c>
      <c r="AH15" s="13">
        <f t="array" ref="AH15">INDEX(AG:AG,MIN(IF(ISNUMBER(AG15:AG211),ROW(AG15:AG211),"")))</f>
        <v>7.5533333333333337</v>
      </c>
      <c r="AI15" s="14">
        <f>IF('Données projet'!$A$62&gt;35,AI14+AH15-AQ14,IF(A15&lt;'Données projet'!$A$62,$AF$205^A15,IF(A15='Données projet'!$A$62,'Données projet'!$B$62,AI14+AH15-AQ14)))</f>
        <v>90.64</v>
      </c>
      <c r="AJ15" s="14">
        <f>AI15*VLOOKUP('Données projet'!$B$10,Paramètres!$A$1:$I$89,3,0)*VLOOKUP('Données projet'!$B$10,Paramètres!$A$1:$I$89,5,0)</f>
        <v>56.559359999999998</v>
      </c>
      <c r="AK15" s="14">
        <f t="shared" si="35"/>
        <v>16.295400138849178</v>
      </c>
      <c r="AL15" s="22">
        <f t="shared" si="4"/>
        <v>126.88870724182897</v>
      </c>
      <c r="AM15" s="62">
        <f t="shared" si="5"/>
        <v>420.22204057516228</v>
      </c>
      <c r="AN15" s="62">
        <f ca="1">AVERAGE(OFFSET($AM$3,0,0,'Données projet'!$E$10+1,1))-AVERAGE(OFFSET($H$3,0,0,'Données projet'!$E$10+1,1))</f>
        <v>420.68062999212015</v>
      </c>
      <c r="AO15" s="62">
        <f t="shared" si="36"/>
        <v>655.24090633185676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0.33600000000000002</v>
      </c>
      <c r="AT15" s="17">
        <f>IF(ISNA(VLOOKUP(A15,'Données projet'!$A$61:$I$81,7,0)),0%,VLOOKUP(A15,'Données projet'!$A$61:$I$81,7,0))</f>
        <v>0.44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</v>
      </c>
      <c r="BD15" s="13">
        <f>IF('Données projet'!$A$88&gt;35,BD14+BC15-BL14,IF(A15&lt;'Données projet'!$A$88,$BA$205^A15,IF(A15='Données projet'!$A$88,'Données projet'!$B$88,BD14+BC15-BL14)))</f>
        <v>24</v>
      </c>
      <c r="BE15" s="14">
        <f>BD15*VLOOKUP('Données projet'!$B$11,Paramètres!$A$1:$I$89,3,0)*VLOOKUP('Données projet'!$B$11,Paramètres!$A$1:$I$89,5,0)</f>
        <v>21.715199999999999</v>
      </c>
      <c r="BF15" s="14">
        <f t="shared" si="37"/>
        <v>6.9938544235075568</v>
      </c>
      <c r="BG15" s="22">
        <f t="shared" si="7"/>
        <v>50.00160312094232</v>
      </c>
      <c r="BH15" s="62">
        <f t="shared" si="8"/>
        <v>343.33493645427563</v>
      </c>
      <c r="BI15" s="62">
        <f ca="1">AVERAGE(OFFSET($BH$3,0,0,'Données projet'!$E$11+1,1))-AVERAGE(OFFSET($H$3,0,0,'Données projet'!$E$11+1,1))</f>
        <v>138.3429338270858</v>
      </c>
      <c r="BJ15" s="62">
        <f t="shared" si="38"/>
        <v>88.30225651635925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</v>
      </c>
      <c r="BY15" s="13">
        <f>IF('Données projet'!$A$114&gt;35,BY14+BX15-CG14,IF(A15&lt;'Données projet'!$A$114,$BV$205^A15,IF(A15='Données projet'!$A$114,'Données projet'!$B$114,BY14+BX15-CG14)))</f>
        <v>24</v>
      </c>
      <c r="BZ15" s="14">
        <f>BY15*VLOOKUP('Données projet'!$B$12,Paramètres!$A$1:$I$89,3,0)*VLOOKUP('Données projet'!$B$12,Paramètres!$A$1:$I$89,5,0)</f>
        <v>20.217600000000001</v>
      </c>
      <c r="CA15" s="14">
        <f t="shared" si="39"/>
        <v>6.5659071855695155</v>
      </c>
      <c r="CB15" s="22">
        <f t="shared" si="10"/>
        <v>46.647941681533574</v>
      </c>
      <c r="CC15" s="62">
        <f t="shared" si="11"/>
        <v>339.98127501486687</v>
      </c>
      <c r="CD15" s="62">
        <f ca="1">AVERAGE(OFFSET($CC$3,0,0,'Données projet'!$E$12+1,1))-AVERAGE(OFFSET($H$3,0,0,'Données projet'!$E$12+1,1))</f>
        <v>122.57815304102127</v>
      </c>
      <c r="CE15" s="62">
        <f t="shared" si="40"/>
        <v>80.106609825870578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5.4069999999999991</v>
      </c>
      <c r="CT15" s="13">
        <f>IF('Données projet'!$A$140&gt;35,CT14+CS15-DB14,IF(A15&lt;'Données projet'!$A$140,$CQ$205^A15,IF(A15='Données projet'!$A$140,'Données projet'!$B$140,CT14+CS15-DB14)))</f>
        <v>33.669611316729082</v>
      </c>
      <c r="CU15" s="18">
        <f>CT15*VLOOKUP('Données projet'!$B$13,Paramètres!$A$1:$I$89,3,0)*VLOOKUP('Données projet'!$B$13,Paramètres!$A$1:$I$89,5,0)</f>
        <v>22.060329334720894</v>
      </c>
      <c r="CV15" s="14">
        <f t="shared" si="41"/>
        <v>7.0919819353468947</v>
      </c>
      <c r="CW15" s="22">
        <f t="shared" si="13"/>
        <v>50.773608795368062</v>
      </c>
      <c r="CX15" s="62">
        <f t="shared" si="14"/>
        <v>344.10694212870135</v>
      </c>
      <c r="CY15" s="62">
        <f ca="1">AVERAGE(OFFSET($CX$3,0,0,'Données projet'!$E$13+1,1))-AVERAGE(OFFSET($H$3,0,0,'Données projet'!$E$13+1,1))</f>
        <v>199.99826357281154</v>
      </c>
      <c r="CZ15" s="62">
        <f t="shared" si="42"/>
        <v>214.67424457475136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5.4069999999999991</v>
      </c>
      <c r="DO15" s="13">
        <f>IF('Données projet'!$A$166&gt;35,DO14+DN15-DW14,IF(A15&lt;'Données projet'!$A$166,$DL$205^A15,IF(A15='Données projet'!$A$166,'Données projet'!$B$166,DO14+DN15-DW14)))</f>
        <v>33.669611316729082</v>
      </c>
      <c r="DP15" s="18">
        <f>DO15*VLOOKUP('Données projet'!$B$14,Paramètres!$A$1:$I$89,3,0)*VLOOKUP('Données projet'!$B$14,Paramètres!$A$1:$I$89,5,0)</f>
        <v>26.787542763589659</v>
      </c>
      <c r="DQ15" s="14">
        <f t="shared" si="43"/>
        <v>8.4192529023567566</v>
      </c>
      <c r="DR15" s="22">
        <f t="shared" si="16"/>
        <v>61.318502451523329</v>
      </c>
      <c r="DS15" s="62">
        <f t="shared" si="17"/>
        <v>354.65183578485664</v>
      </c>
      <c r="DT15" s="62">
        <f ca="1">AVERAGE(OFFSET($DS$3,0,0,'Données projet'!$E$14+1,1))-AVERAGE(OFFSET($H$3,0,0,'Données projet'!$E$14+1,1))</f>
        <v>248.15263300983543</v>
      </c>
      <c r="DU15" s="62">
        <f t="shared" si="44"/>
        <v>266.46511459244618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5.4069999999999991</v>
      </c>
      <c r="EJ15" s="13">
        <f>IF('Données projet'!$A$192&gt;35,EJ14+EI15-ER14,IF(A15&lt;'Données projet'!$A$192,$EG$205^A15,IF(A15='Données projet'!$A$192,'Données projet'!$B$192,EJ14+EI15-ER14)))</f>
        <v>33.669611316729082</v>
      </c>
      <c r="EK15" s="18">
        <f>EJ15*VLOOKUP('Données projet'!$B$15,Paramètres!$A$1:$I$89,3,0)*VLOOKUP('Données projet'!$B$15,Paramètres!$A$1:$I$89,5,0)</f>
        <v>22.58557527126187</v>
      </c>
      <c r="EL15" s="14">
        <f t="shared" si="45"/>
        <v>7.240978784815419</v>
      </c>
      <c r="EM15" s="22">
        <f t="shared" si="19"/>
        <v>51.947914981001276</v>
      </c>
      <c r="EN15" s="62">
        <f t="shared" si="20"/>
        <v>345.28124831433456</v>
      </c>
      <c r="EO15" s="62">
        <f ca="1">AVERAGE(OFFSET($EN$3,0,0,'Données projet'!$E$15+1,1))-AVERAGE(OFFSET($H$3,0,0,'Données projet'!$E$15+1,1))</f>
        <v>205.35893113421139</v>
      </c>
      <c r="EP15" s="62">
        <f t="shared" si="46"/>
        <v>220.4399811285175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8.526315789473685</v>
      </c>
      <c r="N16" s="14">
        <f>IF('Données projet'!$A$36&gt;35,N15+M16-V15,IF(A16&lt;'Données projet'!$A$36,$K$205^A16,IF(A16='Données projet'!$A$36,'Données projet'!$B$36,N15+M16-V15)))</f>
        <v>32.491774539539094</v>
      </c>
      <c r="O16" s="14">
        <f>N16*VLOOKUP('Données projet'!$B$9,Paramètres!$A$1:$I$89,3,0)*VLOOKUP('Données projet'!$B$9,Paramètres!$A$1:$I$89,5,0)</f>
        <v>18.162901967602355</v>
      </c>
      <c r="P16" s="14">
        <f t="shared" si="33"/>
        <v>5.9726648020514927</v>
      </c>
      <c r="Q16" s="22">
        <f t="shared" si="2"/>
        <v>42.036112123813787</v>
      </c>
      <c r="R16" s="62">
        <f t="shared" si="0"/>
        <v>335.36944545714709</v>
      </c>
      <c r="S16" s="62">
        <f ca="1">AVERAGE(OFFSET($R$3,0,0,'Données projet'!$E$9+1,1))-AVERAGE(OFFSET($H$3,0,0,'Données projet'!$E$9+1,1))</f>
        <v>382.55387448074327</v>
      </c>
      <c r="T16" s="62">
        <f t="shared" si="34"/>
        <v>476.29465646955543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23.320000000000004</v>
      </c>
      <c r="AI16" s="14">
        <f>IF('Données projet'!$A$62&gt;35,AI15+AH16-AQ15,IF(A16&lt;'Données projet'!$A$62,$AF$205^A16,IF(A16='Données projet'!$A$62,'Données projet'!$B$62,AI15+AH16-AQ15)))</f>
        <v>113.96000000000001</v>
      </c>
      <c r="AJ16" s="14">
        <f>AI16*VLOOKUP('Données projet'!$B$10,Paramètres!$A$1:$I$89,3,0)*VLOOKUP('Données projet'!$B$10,Paramètres!$A$1:$I$89,5,0)</f>
        <v>71.111040000000003</v>
      </c>
      <c r="AK16" s="14">
        <f t="shared" si="35"/>
        <v>19.949114581901995</v>
      </c>
      <c r="AL16" s="22">
        <f t="shared" si="4"/>
        <v>158.59643589681264</v>
      </c>
      <c r="AM16" s="62">
        <f t="shared" si="5"/>
        <v>451.92976923014595</v>
      </c>
      <c r="AN16" s="62">
        <f ca="1">AVERAGE(OFFSET($AM$3,0,0,'Données projet'!$E$10+1,1))-AVERAGE(OFFSET($H$3,0,0,'Données projet'!$E$10+1,1))</f>
        <v>420.68062999212015</v>
      </c>
      <c r="AO16" s="62">
        <f t="shared" si="36"/>
        <v>655.24090633185676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</v>
      </c>
      <c r="BD16" s="13">
        <f>IF('Données projet'!$A$88&gt;35,BD15+BC16-BL15,IF(A16&lt;'Données projet'!$A$88,$BA$205^A16,IF(A16='Données projet'!$A$88,'Données projet'!$B$88,BD15+BC16-BL15)))</f>
        <v>26</v>
      </c>
      <c r="BE16" s="14">
        <f>BD16*VLOOKUP('Données projet'!$B$11,Paramètres!$A$1:$I$89,3,0)*VLOOKUP('Données projet'!$B$11,Paramètres!$A$1:$I$89,5,0)</f>
        <v>23.524799999999999</v>
      </c>
      <c r="BF16" s="14">
        <f t="shared" si="37"/>
        <v>7.5064117884233559</v>
      </c>
      <c r="BG16" s="22">
        <f t="shared" si="7"/>
        <v>54.046027198170684</v>
      </c>
      <c r="BH16" s="62">
        <f t="shared" si="8"/>
        <v>347.37936053150401</v>
      </c>
      <c r="BI16" s="62">
        <f ca="1">AVERAGE(OFFSET($BH$3,0,0,'Données projet'!$E$11+1,1))-AVERAGE(OFFSET($H$3,0,0,'Données projet'!$E$11+1,1))</f>
        <v>138.3429338270858</v>
      </c>
      <c r="BJ16" s="62">
        <f t="shared" si="38"/>
        <v>88.30225651635925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</v>
      </c>
      <c r="BY16" s="13">
        <f>IF('Données projet'!$A$114&gt;35,BY15+BX16-CG15,IF(A16&lt;'Données projet'!$A$114,$BV$205^A16,IF(A16='Données projet'!$A$114,'Données projet'!$B$114,BY15+BX16-CG15)))</f>
        <v>26</v>
      </c>
      <c r="BZ16" s="14">
        <f>BY16*VLOOKUP('Données projet'!$B$12,Paramètres!$A$1:$I$89,3,0)*VLOOKUP('Données projet'!$B$12,Paramètres!$A$1:$I$89,5,0)</f>
        <v>21.902400000000004</v>
      </c>
      <c r="CA16" s="14">
        <f t="shared" si="39"/>
        <v>7.0471016573911687</v>
      </c>
      <c r="CB16" s="22">
        <f t="shared" si="10"/>
        <v>50.420382053289622</v>
      </c>
      <c r="CC16" s="62">
        <f t="shared" si="11"/>
        <v>343.75371538662296</v>
      </c>
      <c r="CD16" s="62">
        <f ca="1">AVERAGE(OFFSET($CC$3,0,0,'Données projet'!$E$12+1,1))-AVERAGE(OFFSET($H$3,0,0,'Données projet'!$E$12+1,1))</f>
        <v>122.57815304102127</v>
      </c>
      <c r="CE16" s="62">
        <f t="shared" si="40"/>
        <v>80.106609825870578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5.4069999999999991</v>
      </c>
      <c r="CT16" s="13">
        <f>IF('Données projet'!$A$140&gt;35,CT15+CS16-DB15,IF(A16&lt;'Données projet'!$A$140,$CQ$205^A16,IF(A16='Données projet'!$A$140,'Données projet'!$B$140,CT15+CS16-DB15)))</f>
        <v>45.134428198162176</v>
      </c>
      <c r="CU16" s="18">
        <f>CT16*VLOOKUP('Données projet'!$B$13,Paramètres!$A$1:$I$89,3,0)*VLOOKUP('Données projet'!$B$13,Paramètres!$A$1:$I$89,5,0)</f>
        <v>29.572077355435859</v>
      </c>
      <c r="CV16" s="14">
        <f t="shared" si="41"/>
        <v>9.18804795023906</v>
      </c>
      <c r="CW16" s="22">
        <f t="shared" si="13"/>
        <v>67.507218240717151</v>
      </c>
      <c r="CX16" s="62">
        <f t="shared" si="14"/>
        <v>360.84055157405044</v>
      </c>
      <c r="CY16" s="62">
        <f ca="1">AVERAGE(OFFSET($CX$3,0,0,'Données projet'!$E$13+1,1))-AVERAGE(OFFSET($H$3,0,0,'Données projet'!$E$13+1,1))</f>
        <v>199.99826357281154</v>
      </c>
      <c r="CZ16" s="62">
        <f t="shared" si="42"/>
        <v>214.67424457475136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5.4069999999999991</v>
      </c>
      <c r="DO16" s="13">
        <f>IF('Données projet'!$A$166&gt;35,DO15+DN16-DW15,IF(A16&lt;'Données projet'!$A$166,$DL$205^A16,IF(A16='Données projet'!$A$166,'Données projet'!$B$166,DO15+DN16-DW15)))</f>
        <v>45.134428198162176</v>
      </c>
      <c r="DP16" s="18">
        <f>DO16*VLOOKUP('Données projet'!$B$14,Paramètres!$A$1:$I$89,3,0)*VLOOKUP('Données projet'!$B$14,Paramètres!$A$1:$I$89,5,0)</f>
        <v>35.908951074457832</v>
      </c>
      <c r="DQ16" s="14">
        <f t="shared" si="43"/>
        <v>10.907599607169535</v>
      </c>
      <c r="DR16" s="22">
        <f t="shared" si="16"/>
        <v>81.538825770500992</v>
      </c>
      <c r="DS16" s="62">
        <f t="shared" si="17"/>
        <v>374.87215910383429</v>
      </c>
      <c r="DT16" s="62">
        <f ca="1">AVERAGE(OFFSET($DS$3,0,0,'Données projet'!$E$14+1,1))-AVERAGE(OFFSET($H$3,0,0,'Données projet'!$E$14+1,1))</f>
        <v>248.15263300983543</v>
      </c>
      <c r="DU16" s="62">
        <f t="shared" si="44"/>
        <v>266.46511459244618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5.4069999999999991</v>
      </c>
      <c r="EJ16" s="13">
        <f>IF('Données projet'!$A$192&gt;35,EJ15+EI16-ER15,IF(A16&lt;'Données projet'!$A$192,$EG$205^A16,IF(A16='Données projet'!$A$192,'Données projet'!$B$192,EJ15+EI16-ER15)))</f>
        <v>45.134428198162176</v>
      </c>
      <c r="EK16" s="18">
        <f>EJ16*VLOOKUP('Données projet'!$B$15,Paramètres!$A$1:$I$89,3,0)*VLOOKUP('Données projet'!$B$15,Paramètres!$A$1:$I$89,5,0)</f>
        <v>30.276174435327189</v>
      </c>
      <c r="EL16" s="14">
        <f t="shared" si="45"/>
        <v>9.3810814646827669</v>
      </c>
      <c r="EM16" s="22">
        <f t="shared" si="19"/>
        <v>69.069720692517336</v>
      </c>
      <c r="EN16" s="62">
        <f t="shared" si="20"/>
        <v>362.40305402585068</v>
      </c>
      <c r="EO16" s="62">
        <f ca="1">AVERAGE(OFFSET($EN$3,0,0,'Données projet'!$E$15+1,1))-AVERAGE(OFFSET($H$3,0,0,'Données projet'!$E$15+1,1))</f>
        <v>205.35893113421139</v>
      </c>
      <c r="EP16" s="62">
        <f t="shared" si="46"/>
        <v>220.4399811285175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8.526315789473685</v>
      </c>
      <c r="N17" s="14">
        <f>IF('Données projet'!$A$36&gt;35,N16+M17-V16,IF(A17&lt;'Données projet'!$A$36,$K$205^A17,IF(A17='Données projet'!$A$36,'Données projet'!$B$36,N16+M17-V16)))</f>
        <v>42.468184448710481</v>
      </c>
      <c r="O17" s="14">
        <f>N17*VLOOKUP('Données projet'!$B$9,Paramètres!$A$1:$I$89,3,0)*VLOOKUP('Données projet'!$B$9,Paramètres!$A$1:$I$89,5,0)</f>
        <v>23.739715106829159</v>
      </c>
      <c r="P17" s="14">
        <f t="shared" si="33"/>
        <v>7.5669736064602473</v>
      </c>
      <c r="Q17" s="22">
        <f t="shared" si="2"/>
        <v>54.525816175645708</v>
      </c>
      <c r="R17" s="62">
        <f t="shared" si="0"/>
        <v>347.85914950897904</v>
      </c>
      <c r="S17" s="62">
        <f ca="1">AVERAGE(OFFSET($R$3,0,0,'Données projet'!$E$9+1,1))-AVERAGE(OFFSET($H$3,0,0,'Données projet'!$E$9+1,1))</f>
        <v>382.55387448074327</v>
      </c>
      <c r="T17" s="62">
        <f t="shared" si="34"/>
        <v>476.29465646955543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23.320000000000004</v>
      </c>
      <c r="AI17" s="14">
        <f>IF('Données projet'!$A$62&gt;35,AI16+AH17-AQ16,IF(A17&lt;'Données projet'!$A$62,$AF$205^A17,IF(A17='Données projet'!$A$62,'Données projet'!$B$62,AI16+AH17-AQ16)))</f>
        <v>137.28</v>
      </c>
      <c r="AJ17" s="14">
        <f>AI17*VLOOKUP('Données projet'!$B$10,Paramètres!$A$1:$I$89,3,0)*VLOOKUP('Données projet'!$B$10,Paramètres!$A$1:$I$89,5,0)</f>
        <v>85.662720000000007</v>
      </c>
      <c r="AK17" s="14">
        <f t="shared" si="35"/>
        <v>23.516189572226949</v>
      </c>
      <c r="AL17" s="22">
        <f t="shared" si="4"/>
        <v>190.15326750496195</v>
      </c>
      <c r="AM17" s="62">
        <f t="shared" si="5"/>
        <v>483.48660083829526</v>
      </c>
      <c r="AN17" s="62">
        <f ca="1">AVERAGE(OFFSET($AM$3,0,0,'Données projet'!$E$10+1,1))-AVERAGE(OFFSET($H$3,0,0,'Données projet'!$E$10+1,1))</f>
        <v>420.68062999212015</v>
      </c>
      <c r="AO17" s="62">
        <f t="shared" si="36"/>
        <v>655.24090633185676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</v>
      </c>
      <c r="BD17" s="13">
        <f>IF('Données projet'!$A$88&gt;35,BD16+BC17-BL16,IF(A17&lt;'Données projet'!$A$88,$BA$205^A17,IF(A17='Données projet'!$A$88,'Données projet'!$B$88,BD16+BC17-BL16)))</f>
        <v>28</v>
      </c>
      <c r="BE17" s="14">
        <f>BD17*VLOOKUP('Données projet'!$B$11,Paramètres!$A$1:$I$89,3,0)*VLOOKUP('Données projet'!$B$11,Paramètres!$A$1:$I$89,5,0)</f>
        <v>25.334399999999999</v>
      </c>
      <c r="BF17" s="14">
        <f t="shared" si="37"/>
        <v>8.0143955200794572</v>
      </c>
      <c r="BG17" s="22">
        <f t="shared" si="7"/>
        <v>58.082485530805052</v>
      </c>
      <c r="BH17" s="62">
        <f t="shared" si="8"/>
        <v>351.41581886413837</v>
      </c>
      <c r="BI17" s="62">
        <f ca="1">AVERAGE(OFFSET($BH$3,0,0,'Données projet'!$E$11+1,1))-AVERAGE(OFFSET($H$3,0,0,'Données projet'!$E$11+1,1))</f>
        <v>138.3429338270858</v>
      </c>
      <c r="BJ17" s="62">
        <f t="shared" si="38"/>
        <v>88.30225651635925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</v>
      </c>
      <c r="BY17" s="13">
        <f>IF('Données projet'!$A$114&gt;35,BY16+BX17-CG16,IF(A17&lt;'Données projet'!$A$114,$BV$205^A17,IF(A17='Données projet'!$A$114,'Données projet'!$B$114,BY16+BX17-CG16)))</f>
        <v>28</v>
      </c>
      <c r="BZ17" s="14">
        <f>BY17*VLOOKUP('Données projet'!$B$12,Paramètres!$A$1:$I$89,3,0)*VLOOKUP('Données projet'!$B$12,Paramètres!$A$1:$I$89,5,0)</f>
        <v>23.587200000000003</v>
      </c>
      <c r="CA17" s="14">
        <f t="shared" si="39"/>
        <v>7.5240023521815003</v>
      </c>
      <c r="CB17" s="22">
        <f t="shared" si="10"/>
        <v>54.185344096716115</v>
      </c>
      <c r="CC17" s="62">
        <f t="shared" si="11"/>
        <v>347.51867743004942</v>
      </c>
      <c r="CD17" s="62">
        <f ca="1">AVERAGE(OFFSET($CC$3,0,0,'Données projet'!$E$12+1,1))-AVERAGE(OFFSET($H$3,0,0,'Données projet'!$E$12+1,1))</f>
        <v>122.57815304102127</v>
      </c>
      <c r="CE17" s="62">
        <f t="shared" si="40"/>
        <v>80.106609825870578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5.4069999999999991</v>
      </c>
      <c r="CT17" s="13">
        <f>IF('Données projet'!$A$140&gt;35,CT16+CS17-DB16,IF(A17&lt;'Données projet'!$A$140,$CQ$205^A17,IF(A17='Données projet'!$A$140,'Données projet'!$B$140,CT16+CS17-DB16)))</f>
        <v>60.503122225319416</v>
      </c>
      <c r="CU17" s="18">
        <f>CT17*VLOOKUP('Données projet'!$B$13,Paramètres!$A$1:$I$89,3,0)*VLOOKUP('Données projet'!$B$13,Paramètres!$A$1:$I$89,5,0)</f>
        <v>39.641645682029278</v>
      </c>
      <c r="CV17" s="14">
        <f t="shared" si="41"/>
        <v>11.903615365281224</v>
      </c>
      <c r="CW17" s="22">
        <f t="shared" si="13"/>
        <v>89.774662990732452</v>
      </c>
      <c r="CX17" s="62">
        <f t="shared" si="14"/>
        <v>383.10799632406577</v>
      </c>
      <c r="CY17" s="62">
        <f ca="1">AVERAGE(OFFSET($CX$3,0,0,'Données projet'!$E$13+1,1))-AVERAGE(OFFSET($H$3,0,0,'Données projet'!$E$13+1,1))</f>
        <v>199.99826357281154</v>
      </c>
      <c r="CZ17" s="62">
        <f t="shared" si="42"/>
        <v>214.67424457475136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5.4069999999999991</v>
      </c>
      <c r="DO17" s="13">
        <f>IF('Données projet'!$A$166&gt;35,DO16+DN17-DW16,IF(A17&lt;'Données projet'!$A$166,$DL$205^A17,IF(A17='Données projet'!$A$166,'Données projet'!$B$166,DO16+DN17-DW16)))</f>
        <v>60.503122225319416</v>
      </c>
      <c r="DP17" s="18">
        <f>DO17*VLOOKUP('Données projet'!$B$14,Paramètres!$A$1:$I$89,3,0)*VLOOKUP('Données projet'!$B$14,Paramètres!$A$1:$I$89,5,0)</f>
        <v>48.136284042464133</v>
      </c>
      <c r="DQ17" s="14">
        <f t="shared" si="43"/>
        <v>14.131387971137062</v>
      </c>
      <c r="DR17" s="22">
        <f t="shared" si="16"/>
        <v>108.44952875702209</v>
      </c>
      <c r="DS17" s="62">
        <f t="shared" si="17"/>
        <v>401.78286209035542</v>
      </c>
      <c r="DT17" s="62">
        <f ca="1">AVERAGE(OFFSET($DS$3,0,0,'Données projet'!$E$14+1,1))-AVERAGE(OFFSET($H$3,0,0,'Données projet'!$E$14+1,1))</f>
        <v>248.15263300983543</v>
      </c>
      <c r="DU17" s="62">
        <f t="shared" si="44"/>
        <v>266.46511459244618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5.4069999999999991</v>
      </c>
      <c r="EJ17" s="13">
        <f>IF('Données projet'!$A$192&gt;35,EJ16+EI17-ER16,IF(A17&lt;'Données projet'!$A$192,$EG$205^A17,IF(A17='Données projet'!$A$192,'Données projet'!$B$192,EJ16+EI17-ER16)))</f>
        <v>60.503122225319416</v>
      </c>
      <c r="EK17" s="18">
        <f>EJ17*VLOOKUP('Données projet'!$B$15,Paramètres!$A$1:$I$89,3,0)*VLOOKUP('Données projet'!$B$15,Paramètres!$A$1:$I$89,5,0)</f>
        <v>40.585494388744266</v>
      </c>
      <c r="EL17" s="14">
        <f t="shared" si="45"/>
        <v>12.153700771995563</v>
      </c>
      <c r="EM17" s="22">
        <f t="shared" si="19"/>
        <v>91.854098238288529</v>
      </c>
      <c r="EN17" s="62">
        <f t="shared" si="20"/>
        <v>385.18743157162186</v>
      </c>
      <c r="EO17" s="62">
        <f ca="1">AVERAGE(OFFSET($EN$3,0,0,'Données projet'!$E$15+1,1))-AVERAGE(OFFSET($H$3,0,0,'Données projet'!$E$15+1,1))</f>
        <v>205.35893113421139</v>
      </c>
      <c r="EP17" s="62">
        <f t="shared" si="46"/>
        <v>220.4399811285175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8.526315789473685</v>
      </c>
      <c r="N18" s="14">
        <f>IF('Données projet'!$A$36&gt;35,N17+M18-V17,IF(A18&lt;'Données projet'!$A$36,$K$205^A18,IF(A18='Données projet'!$A$36,'Données projet'!$B$36,N17+M18-V17)))</f>
        <v>55.507792846923991</v>
      </c>
      <c r="O18" s="14">
        <f>N18*VLOOKUP('Données projet'!$B$9,Paramètres!$A$1:$I$89,3,0)*VLOOKUP('Données projet'!$B$9,Paramètres!$A$1:$I$89,5,0)</f>
        <v>31.028856201430514</v>
      </c>
      <c r="P18" s="14">
        <f t="shared" si="33"/>
        <v>9.5868580371693835</v>
      </c>
      <c r="Q18" s="22">
        <f t="shared" si="2"/>
        <v>70.739035632228152</v>
      </c>
      <c r="R18" s="62">
        <f t="shared" si="0"/>
        <v>364.07236896556145</v>
      </c>
      <c r="S18" s="62">
        <f ca="1">AVERAGE(OFFSET($R$3,0,0,'Données projet'!$E$9+1,1))-AVERAGE(OFFSET($H$3,0,0,'Données projet'!$E$9+1,1))</f>
        <v>382.55387448074327</v>
      </c>
      <c r="T18" s="62">
        <f t="shared" si="34"/>
        <v>476.29465646955543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23.320000000000004</v>
      </c>
      <c r="AI18" s="14">
        <f>IF('Données projet'!$A$62&gt;35,AI17+AH18-AQ17,IF(A18&lt;'Données projet'!$A$62,$AF$205^A18,IF(A18='Données projet'!$A$62,'Données projet'!$B$62,AI17+AH18-AQ17)))</f>
        <v>160.6</v>
      </c>
      <c r="AJ18" s="14">
        <f>AI18*VLOOKUP('Données projet'!$B$10,Paramètres!$A$1:$I$89,3,0)*VLOOKUP('Données projet'!$B$10,Paramètres!$A$1:$I$89,5,0)</f>
        <v>100.2144</v>
      </c>
      <c r="AK18" s="14">
        <f t="shared" si="35"/>
        <v>27.013069023392511</v>
      </c>
      <c r="AL18" s="22">
        <f t="shared" si="4"/>
        <v>221.58784188240861</v>
      </c>
      <c r="AM18" s="62">
        <f t="shared" si="5"/>
        <v>514.92117521574187</v>
      </c>
      <c r="AN18" s="62">
        <f ca="1">AVERAGE(OFFSET($AM$3,0,0,'Données projet'!$E$10+1,1))-AVERAGE(OFFSET($H$3,0,0,'Données projet'!$E$10+1,1))</f>
        <v>420.68062999212015</v>
      </c>
      <c r="AO18" s="62">
        <f t="shared" si="36"/>
        <v>655.24090633185676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</v>
      </c>
      <c r="BD18" s="13">
        <f>IF('Données projet'!$A$88&gt;35,BD17+BC18-BL17,IF(A18&lt;'Données projet'!$A$88,$BA$205^A18,IF(A18='Données projet'!$A$88,'Données projet'!$B$88,BD17+BC18-BL17)))</f>
        <v>30</v>
      </c>
      <c r="BE18" s="14">
        <f>BD18*VLOOKUP('Données projet'!$B$11,Paramètres!$A$1:$I$89,3,0)*VLOOKUP('Données projet'!$B$11,Paramètres!$A$1:$I$89,5,0)</f>
        <v>27.143999999999998</v>
      </c>
      <c r="BF18" s="14">
        <f t="shared" si="37"/>
        <v>8.5181694620316346</v>
      </c>
      <c r="BG18" s="22">
        <f t="shared" si="7"/>
        <v>62.111611813038422</v>
      </c>
      <c r="BH18" s="62">
        <f t="shared" si="8"/>
        <v>355.44494514637177</v>
      </c>
      <c r="BI18" s="62">
        <f ca="1">AVERAGE(OFFSET($BH$3,0,0,'Données projet'!$E$11+1,1))-AVERAGE(OFFSET($H$3,0,0,'Données projet'!$E$11+1,1))</f>
        <v>138.3429338270858</v>
      </c>
      <c r="BJ18" s="62">
        <f t="shared" si="38"/>
        <v>88.30225651635925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</v>
      </c>
      <c r="BY18" s="13">
        <f>IF('Données projet'!$A$114&gt;35,BY17+BX18-CG17,IF(A18&lt;'Données projet'!$A$114,$BV$205^A18,IF(A18='Données projet'!$A$114,'Données projet'!$B$114,BY17+BX18-CG17)))</f>
        <v>30</v>
      </c>
      <c r="BZ18" s="14">
        <f>BY18*VLOOKUP('Données projet'!$B$12,Paramètres!$A$1:$I$89,3,0)*VLOOKUP('Données projet'!$B$12,Paramètres!$A$1:$I$89,5,0)</f>
        <v>25.272000000000006</v>
      </c>
      <c r="CA18" s="14">
        <f t="shared" si="39"/>
        <v>7.9969508502584166</v>
      </c>
      <c r="CB18" s="22">
        <f t="shared" si="10"/>
        <v>57.94342273086675</v>
      </c>
      <c r="CC18" s="62">
        <f t="shared" si="11"/>
        <v>351.27675606420007</v>
      </c>
      <c r="CD18" s="62">
        <f ca="1">AVERAGE(OFFSET($CC$3,0,0,'Données projet'!$E$12+1,1))-AVERAGE(OFFSET($H$3,0,0,'Données projet'!$E$12+1,1))</f>
        <v>122.57815304102127</v>
      </c>
      <c r="CE18" s="62">
        <f t="shared" si="40"/>
        <v>80.106609825870578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81.10499999999999</v>
      </c>
      <c r="CR18" s="13">
        <f>VLOOKUP(A18,'Données projet'!$A$139:$I$159,9,0)</f>
        <v>5.4069999999999991</v>
      </c>
      <c r="CS18" s="13">
        <f t="array" ref="CS18">INDEX(CR:CR,MIN(IF(ISNUMBER(CR18:CR214),ROW(CR18:CR214),"")))</f>
        <v>5.4069999999999991</v>
      </c>
      <c r="CT18" s="13">
        <f>IF('Données projet'!$A$140&gt;35,CT17+CS18-DB17,IF(A18&lt;'Données projet'!$A$140,$CQ$205^A18,IF(A18='Données projet'!$A$140,'Données projet'!$B$140,CT17+CS18-DB17)))</f>
        <v>81.10499999999999</v>
      </c>
      <c r="CU18" s="18">
        <f>CT18*VLOOKUP('Données projet'!$B$13,Paramètres!$A$1:$I$89,3,0)*VLOOKUP('Données projet'!$B$13,Paramètres!$A$1:$I$89,5,0)</f>
        <v>53.139995999999996</v>
      </c>
      <c r="CV18" s="14">
        <f t="shared" si="41"/>
        <v>15.421780505713691</v>
      </c>
      <c r="CW18" s="22">
        <f t="shared" si="13"/>
        <v>119.41176074745134</v>
      </c>
      <c r="CX18" s="62">
        <f t="shared" si="14"/>
        <v>412.74509408078467</v>
      </c>
      <c r="CY18" s="62">
        <f ca="1">AVERAGE(OFFSET($CX$3,0,0,'Données projet'!$E$13+1,1))-AVERAGE(OFFSET($H$3,0,0,'Données projet'!$E$13+1,1))</f>
        <v>199.99826357281154</v>
      </c>
      <c r="CZ18" s="62">
        <f t="shared" si="42"/>
        <v>214.67424457475136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13.517499999999998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>
        <f>VLOOKUP(A18,'Données projet'!$A$165:$I$185,2,0)</f>
        <v>81.10499999999999</v>
      </c>
      <c r="DM18" s="13">
        <f>VLOOKUP(A18,'Données projet'!$A$165:$I$185,9,0)</f>
        <v>5.4069999999999991</v>
      </c>
      <c r="DN18" s="13">
        <f t="array" ref="DN18">INDEX(DM:DM,MIN(IF(ISNUMBER(DM18:DM214),ROW(DM18:DM214),"")))</f>
        <v>5.4069999999999991</v>
      </c>
      <c r="DO18" s="13">
        <f>IF('Données projet'!$A$166&gt;35,DO17+DN18-DW17,IF(A18&lt;'Données projet'!$A$166,$DL$205^A18,IF(A18='Données projet'!$A$166,'Données projet'!$B$166,DO17+DN18-DW17)))</f>
        <v>81.10499999999999</v>
      </c>
      <c r="DP18" s="18">
        <f>DO18*VLOOKUP('Données projet'!$B$14,Paramètres!$A$1:$I$89,3,0)*VLOOKUP('Données projet'!$B$14,Paramètres!$A$1:$I$89,5,0)</f>
        <v>64.527137999999994</v>
      </c>
      <c r="DQ18" s="14">
        <f t="shared" si="43"/>
        <v>18.30798096581557</v>
      </c>
      <c r="DR18" s="22">
        <f t="shared" si="16"/>
        <v>144.27116553212878</v>
      </c>
      <c r="DS18" s="62">
        <f t="shared" si="17"/>
        <v>437.60449886546212</v>
      </c>
      <c r="DT18" s="62">
        <f ca="1">AVERAGE(OFFSET($DS$3,0,0,'Données projet'!$E$14+1,1))-AVERAGE(OFFSET($H$3,0,0,'Données projet'!$E$14+1,1))</f>
        <v>248.15263300983543</v>
      </c>
      <c r="DU18" s="62">
        <f t="shared" si="44"/>
        <v>266.46511459244618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13.517499999999998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>
        <f>VLOOKUP(A18,'Données projet'!$A$191:$I$211,2,0)</f>
        <v>81.10499999999999</v>
      </c>
      <c r="EH18" s="13">
        <f>VLOOKUP(A18,'Données projet'!$A$191:$I$211,9,0)</f>
        <v>5.4069999999999991</v>
      </c>
      <c r="EI18" s="13">
        <f t="array" ref="EI18">INDEX(EH:EH,MIN(IF(ISNUMBER(EH18:EH214),ROW(EH18:EH214),"")))</f>
        <v>5.4069999999999991</v>
      </c>
      <c r="EJ18" s="13">
        <f>IF('Données projet'!$A$192&gt;35,EJ17+EI18-ER17,IF(A18&lt;'Données projet'!$A$192,$EG$205^A18,IF(A18='Données projet'!$A$192,'Données projet'!$B$192,EJ17+EI18-ER17)))</f>
        <v>81.10499999999999</v>
      </c>
      <c r="EK18" s="18">
        <f>EJ18*VLOOKUP('Données projet'!$B$15,Paramètres!$A$1:$I$89,3,0)*VLOOKUP('Données projet'!$B$15,Paramètres!$A$1:$I$89,5,0)</f>
        <v>54.405234</v>
      </c>
      <c r="EL18" s="14">
        <f t="shared" si="45"/>
        <v>15.745779738860927</v>
      </c>
      <c r="EM18" s="22">
        <f t="shared" si="19"/>
        <v>122.17968226184944</v>
      </c>
      <c r="EN18" s="62">
        <f t="shared" si="20"/>
        <v>415.51301559518276</v>
      </c>
      <c r="EO18" s="62">
        <f ca="1">AVERAGE(OFFSET($EN$3,0,0,'Données projet'!$E$15+1,1))-AVERAGE(OFFSET($H$3,0,0,'Données projet'!$E$15+1,1))</f>
        <v>205.35893113421139</v>
      </c>
      <c r="EP18" s="62">
        <f t="shared" si="46"/>
        <v>220.4399811285175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13.517499999999998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8.526315789473685</v>
      </c>
      <c r="N19" s="14">
        <f>IF('Données projet'!$A$36&gt;35,N18+M19-V18,IF(A19&lt;'Données projet'!$A$36,$K$205^A19,IF(A19='Données projet'!$A$36,'Données projet'!$B$36,N18+M19-V18)))</f>
        <v>72.551136968384853</v>
      </c>
      <c r="O19" s="14">
        <f>N19*VLOOKUP('Données projet'!$B$9,Paramètres!$A$1:$I$89,3,0)*VLOOKUP('Données projet'!$B$9,Paramètres!$A$1:$I$89,5,0)</f>
        <v>40.55608556532713</v>
      </c>
      <c r="P19" s="14">
        <f t="shared" si="33"/>
        <v>12.145918805157919</v>
      </c>
      <c r="Q19" s="22">
        <f t="shared" si="2"/>
        <v>91.78932427859479</v>
      </c>
      <c r="R19" s="62">
        <f t="shared" si="0"/>
        <v>385.1226576119281</v>
      </c>
      <c r="S19" s="62">
        <f ca="1">AVERAGE(OFFSET($R$3,0,0,'Données projet'!$E$9+1,1))-AVERAGE(OFFSET($H$3,0,0,'Données projet'!$E$9+1,1))</f>
        <v>382.55387448074327</v>
      </c>
      <c r="T19" s="62">
        <f t="shared" si="34"/>
        <v>476.29465646955543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23.320000000000004</v>
      </c>
      <c r="AI19" s="14">
        <f>IF('Données projet'!$A$62&gt;35,AI18+AH19-AQ18,IF(A19&lt;'Données projet'!$A$62,$AF$205^A19,IF(A19='Données projet'!$A$62,'Données projet'!$B$62,AI18+AH19-AQ18)))</f>
        <v>183.92</v>
      </c>
      <c r="AJ19" s="14">
        <f>AI19*VLOOKUP('Données projet'!$B$10,Paramètres!$A$1:$I$89,3,0)*VLOOKUP('Données projet'!$B$10,Paramètres!$A$1:$I$89,5,0)</f>
        <v>114.76608</v>
      </c>
      <c r="AK19" s="14">
        <f t="shared" si="35"/>
        <v>30.451123162772511</v>
      </c>
      <c r="AL19" s="22">
        <f t="shared" si="4"/>
        <v>252.91996217516211</v>
      </c>
      <c r="AM19" s="62">
        <f t="shared" si="5"/>
        <v>546.2532955084954</v>
      </c>
      <c r="AN19" s="62">
        <f ca="1">AVERAGE(OFFSET($AM$3,0,0,'Données projet'!$E$10+1,1))-AVERAGE(OFFSET($H$3,0,0,'Données projet'!$E$10+1,1))</f>
        <v>420.68062999212015</v>
      </c>
      <c r="AO19" s="62">
        <f t="shared" si="36"/>
        <v>655.24090633185676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</v>
      </c>
      <c r="BD19" s="13">
        <f>IF('Données projet'!$A$88&gt;35,BD18+BC19-BL18,IF(A19&lt;'Données projet'!$A$88,$BA$205^A19,IF(A19='Données projet'!$A$88,'Données projet'!$B$88,BD18+BC19-BL18)))</f>
        <v>32</v>
      </c>
      <c r="BE19" s="14">
        <f>BD19*VLOOKUP('Données projet'!$B$11,Paramètres!$A$1:$I$89,3,0)*VLOOKUP('Données projet'!$B$11,Paramètres!$A$1:$I$89,5,0)</f>
        <v>28.953599999999998</v>
      </c>
      <c r="BF19" s="14">
        <f t="shared" si="37"/>
        <v>9.0180462007869302</v>
      </c>
      <c r="BG19" s="22">
        <f t="shared" si="7"/>
        <v>66.133950466370564</v>
      </c>
      <c r="BH19" s="62">
        <f t="shared" si="8"/>
        <v>359.46728379970386</v>
      </c>
      <c r="BI19" s="62">
        <f ca="1">AVERAGE(OFFSET($BH$3,0,0,'Données projet'!$E$11+1,1))-AVERAGE(OFFSET($H$3,0,0,'Données projet'!$E$11+1,1))</f>
        <v>138.3429338270858</v>
      </c>
      <c r="BJ19" s="62">
        <f t="shared" si="38"/>
        <v>88.30225651635925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</v>
      </c>
      <c r="BY19" s="13">
        <f>IF('Données projet'!$A$114&gt;35,BY18+BX19-CG18,IF(A19&lt;'Données projet'!$A$114,$BV$205^A19,IF(A19='Données projet'!$A$114,'Données projet'!$B$114,BY18+BX19-CG18)))</f>
        <v>32</v>
      </c>
      <c r="BZ19" s="14">
        <f>BY19*VLOOKUP('Données projet'!$B$12,Paramètres!$A$1:$I$89,3,0)*VLOOKUP('Données projet'!$B$12,Paramètres!$A$1:$I$89,5,0)</f>
        <v>26.956800000000001</v>
      </c>
      <c r="CA19" s="14">
        <f t="shared" si="39"/>
        <v>8.466240611260675</v>
      </c>
      <c r="CB19" s="22">
        <f t="shared" si="10"/>
        <v>61.695129064612331</v>
      </c>
      <c r="CC19" s="62">
        <f t="shared" si="11"/>
        <v>355.02846239794565</v>
      </c>
      <c r="CD19" s="62">
        <f ca="1">AVERAGE(OFFSET($CC$3,0,0,'Données projet'!$E$12+1,1))-AVERAGE(OFFSET($H$3,0,0,'Données projet'!$E$12+1,1))</f>
        <v>122.57815304102127</v>
      </c>
      <c r="CE19" s="62">
        <f t="shared" si="40"/>
        <v>80.106609825870578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7.9145000000000021</v>
      </c>
      <c r="CT19" s="13">
        <f>IF('Données projet'!$A$140&gt;35,CT18+CS19-DB18,IF(A19&lt;'Données projet'!$A$140,$CQ$205^A19,IF(A19='Données projet'!$A$140,'Données projet'!$B$140,CT18+CS19-DB18)))</f>
        <v>75.501999999999995</v>
      </c>
      <c r="CU19" s="18">
        <f>CT19*VLOOKUP('Données projet'!$B$13,Paramètres!$A$1:$I$89,3,0)*VLOOKUP('Données projet'!$B$13,Paramètres!$A$1:$I$89,5,0)</f>
        <v>49.468910399999999</v>
      </c>
      <c r="CV19" s="14">
        <f t="shared" si="41"/>
        <v>14.47651833289134</v>
      </c>
      <c r="CW19" s="22">
        <f t="shared" si="13"/>
        <v>111.37162170978574</v>
      </c>
      <c r="CX19" s="62">
        <f t="shared" si="14"/>
        <v>404.70495504311907</v>
      </c>
      <c r="CY19" s="62">
        <f ca="1">AVERAGE(OFFSET($CX$3,0,0,'Données projet'!$E$13+1,1))-AVERAGE(OFFSET($H$3,0,0,'Données projet'!$E$13+1,1))</f>
        <v>199.99826357281154</v>
      </c>
      <c r="CZ19" s="62">
        <f t="shared" si="42"/>
        <v>214.67424457475136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7.9145000000000021</v>
      </c>
      <c r="DO19" s="13">
        <f>IF('Données projet'!$A$166&gt;35,DO18+DN19-DW18,IF(A19&lt;'Données projet'!$A$166,$DL$205^A19,IF(A19='Données projet'!$A$166,'Données projet'!$B$166,DO18+DN19-DW18)))</f>
        <v>75.501999999999995</v>
      </c>
      <c r="DP19" s="18">
        <f>DO19*VLOOKUP('Données projet'!$B$14,Paramètres!$A$1:$I$89,3,0)*VLOOKUP('Données projet'!$B$14,Paramètres!$A$1:$I$89,5,0)</f>
        <v>60.069391199999998</v>
      </c>
      <c r="DQ19" s="14">
        <f t="shared" si="43"/>
        <v>17.185812104617906</v>
      </c>
      <c r="DR19" s="22">
        <f t="shared" si="16"/>
        <v>134.55281242220951</v>
      </c>
      <c r="DS19" s="62">
        <f t="shared" si="17"/>
        <v>427.88614575554283</v>
      </c>
      <c r="DT19" s="62">
        <f ca="1">AVERAGE(OFFSET($DS$3,0,0,'Données projet'!$E$14+1,1))-AVERAGE(OFFSET($H$3,0,0,'Données projet'!$E$14+1,1))</f>
        <v>248.15263300983543</v>
      </c>
      <c r="DU19" s="62">
        <f t="shared" si="44"/>
        <v>266.46511459244618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7.9145000000000021</v>
      </c>
      <c r="EJ19" s="13">
        <f>IF('Données projet'!$A$192&gt;35,EJ18+EI19-ER18,IF(A19&lt;'Données projet'!$A$192,$EG$205^A19,IF(A19='Données projet'!$A$192,'Données projet'!$B$192,EJ18+EI19-ER18)))</f>
        <v>75.501999999999995</v>
      </c>
      <c r="EK19" s="18">
        <f>EJ19*VLOOKUP('Données projet'!$B$15,Paramètres!$A$1:$I$89,3,0)*VLOOKUP('Données projet'!$B$15,Paramètres!$A$1:$I$89,5,0)</f>
        <v>50.646741599999999</v>
      </c>
      <c r="EL19" s="14">
        <f t="shared" si="45"/>
        <v>14.780658366317496</v>
      </c>
      <c r="EM19" s="22">
        <f t="shared" si="19"/>
        <v>113.95272160800296</v>
      </c>
      <c r="EN19" s="62">
        <f t="shared" si="20"/>
        <v>407.28605494133626</v>
      </c>
      <c r="EO19" s="62">
        <f ca="1">AVERAGE(OFFSET($EN$3,0,0,'Données projet'!$E$15+1,1))-AVERAGE(OFFSET($H$3,0,0,'Données projet'!$E$15+1,1))</f>
        <v>205.35893113421139</v>
      </c>
      <c r="EP19" s="62">
        <f t="shared" si="46"/>
        <v>220.4399811285175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8.526315789473685</v>
      </c>
      <c r="N20" s="14">
        <f>IF('Données projet'!$A$36&gt;35,N19+M20-V19,IF(A20&lt;'Données projet'!$A$36,$K$205^A20,IF(A20='Données projet'!$A$36,'Données projet'!$B$36,N19+M20-V19)))</f>
        <v>94.827540520682575</v>
      </c>
      <c r="O20" s="14">
        <f>N20*VLOOKUP('Données projet'!$B$9,Paramètres!$A$1:$I$89,3,0)*VLOOKUP('Données projet'!$B$9,Paramètres!$A$1:$I$89,5,0)</f>
        <v>53.008595151061563</v>
      </c>
      <c r="P20" s="14">
        <f t="shared" si="33"/>
        <v>15.388080542084102</v>
      </c>
      <c r="Q20" s="22">
        <f t="shared" si="2"/>
        <v>119.12421016556203</v>
      </c>
      <c r="R20" s="62">
        <f t="shared" si="0"/>
        <v>412.45754349889535</v>
      </c>
      <c r="S20" s="62">
        <f ca="1">AVERAGE(OFFSET($R$3,0,0,'Données projet'!$E$9+1,1))-AVERAGE(OFFSET($H$3,0,0,'Données projet'!$E$9+1,1))</f>
        <v>382.55387448074327</v>
      </c>
      <c r="T20" s="62">
        <f t="shared" si="34"/>
        <v>476.29465646955543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23.320000000000004</v>
      </c>
      <c r="AI20" s="14">
        <f>IF('Données projet'!$A$62&gt;35,AI19+AH20-AQ19,IF(A20&lt;'Données projet'!$A$62,$AF$205^A20,IF(A20='Données projet'!$A$62,'Données projet'!$B$62,AI19+AH20-AQ19)))</f>
        <v>207.23999999999998</v>
      </c>
      <c r="AJ20" s="14">
        <f>AI20*VLOOKUP('Données projet'!$B$10,Paramètres!$A$1:$I$89,3,0)*VLOOKUP('Données projet'!$B$10,Paramètres!$A$1:$I$89,5,0)</f>
        <v>129.31775999999999</v>
      </c>
      <c r="AK20" s="14">
        <f t="shared" si="35"/>
        <v>33.83866545483864</v>
      </c>
      <c r="AL20" s="22">
        <f t="shared" si="4"/>
        <v>284.16410766717729</v>
      </c>
      <c r="AM20" s="62">
        <f t="shared" si="5"/>
        <v>577.49744100051066</v>
      </c>
      <c r="AN20" s="62">
        <f ca="1">AVERAGE(OFFSET($AM$3,0,0,'Données projet'!$E$10+1,1))-AVERAGE(OFFSET($H$3,0,0,'Données projet'!$E$10+1,1))</f>
        <v>420.68062999212015</v>
      </c>
      <c r="AO20" s="62">
        <f t="shared" si="36"/>
        <v>655.24090633185676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</v>
      </c>
      <c r="BD20" s="13">
        <f>IF('Données projet'!$A$88&gt;35,BD19+BC20-BL19,IF(A20&lt;'Données projet'!$A$88,$BA$205^A20,IF(A20='Données projet'!$A$88,'Données projet'!$B$88,BD19+BC20-BL19)))</f>
        <v>34</v>
      </c>
      <c r="BE20" s="14">
        <f>BD20*VLOOKUP('Données projet'!$B$11,Paramètres!$A$1:$I$89,3,0)*VLOOKUP('Données projet'!$B$11,Paramètres!$A$1:$I$89,5,0)</f>
        <v>30.763199999999998</v>
      </c>
      <c r="BF20" s="14">
        <f t="shared" si="37"/>
        <v>9.5142970411082253</v>
      </c>
      <c r="BG20" s="22">
        <f t="shared" si="7"/>
        <v>70.149974013263474</v>
      </c>
      <c r="BH20" s="62">
        <f t="shared" si="8"/>
        <v>363.4833073465968</v>
      </c>
      <c r="BI20" s="62">
        <f ca="1">AVERAGE(OFFSET($BH$3,0,0,'Données projet'!$E$11+1,1))-AVERAGE(OFFSET($H$3,0,0,'Données projet'!$E$11+1,1))</f>
        <v>138.3429338270858</v>
      </c>
      <c r="BJ20" s="62">
        <f t="shared" si="38"/>
        <v>88.30225651635925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</v>
      </c>
      <c r="BY20" s="13">
        <f>IF('Données projet'!$A$114&gt;35,BY19+BX20-CG19,IF(A20&lt;'Données projet'!$A$114,$BV$205^A20,IF(A20='Données projet'!$A$114,'Données projet'!$B$114,BY19+BX20-CG19)))</f>
        <v>34</v>
      </c>
      <c r="BZ20" s="14">
        <f>BY20*VLOOKUP('Données projet'!$B$12,Paramètres!$A$1:$I$89,3,0)*VLOOKUP('Données projet'!$B$12,Paramètres!$A$1:$I$89,5,0)</f>
        <v>28.6416</v>
      </c>
      <c r="CA20" s="14">
        <f t="shared" si="39"/>
        <v>8.9321263390731733</v>
      </c>
      <c r="CB20" s="22">
        <f t="shared" si="10"/>
        <v>65.440906707219099</v>
      </c>
      <c r="CC20" s="62">
        <f t="shared" si="11"/>
        <v>358.7742400405524</v>
      </c>
      <c r="CD20" s="62">
        <f ca="1">AVERAGE(OFFSET($CC$3,0,0,'Données projet'!$E$12+1,1))-AVERAGE(OFFSET($H$3,0,0,'Données projet'!$E$12+1,1))</f>
        <v>122.57815304102127</v>
      </c>
      <c r="CE20" s="62">
        <f t="shared" si="40"/>
        <v>80.106609825870578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7.9145000000000021</v>
      </c>
      <c r="CT20" s="13">
        <f>IF('Données projet'!$A$140&gt;35,CT19+CS20-DB19,IF(A20&lt;'Données projet'!$A$140,$CQ$205^A20,IF(A20='Données projet'!$A$140,'Données projet'!$B$140,CT19+CS20-DB19)))</f>
        <v>83.416499999999999</v>
      </c>
      <c r="CU20" s="18">
        <f>CT20*VLOOKUP('Données projet'!$B$13,Paramètres!$A$1:$I$89,3,0)*VLOOKUP('Données projet'!$B$13,Paramètres!$A$1:$I$89,5,0)</f>
        <v>54.654490799999998</v>
      </c>
      <c r="CV20" s="14">
        <f t="shared" si="41"/>
        <v>15.809504848597445</v>
      </c>
      <c r="CW20" s="22">
        <f t="shared" si="13"/>
        <v>122.72479242130721</v>
      </c>
      <c r="CX20" s="62">
        <f t="shared" si="14"/>
        <v>416.05812575464051</v>
      </c>
      <c r="CY20" s="62">
        <f ca="1">AVERAGE(OFFSET($CX$3,0,0,'Données projet'!$E$13+1,1))-AVERAGE(OFFSET($H$3,0,0,'Données projet'!$E$13+1,1))</f>
        <v>199.99826357281154</v>
      </c>
      <c r="CZ20" s="62">
        <f t="shared" si="42"/>
        <v>214.67424457475136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7.9145000000000021</v>
      </c>
      <c r="DO20" s="13">
        <f>IF('Données projet'!$A$166&gt;35,DO19+DN20-DW19,IF(A20&lt;'Données projet'!$A$166,$DL$205^A20,IF(A20='Données projet'!$A$166,'Données projet'!$B$166,DO19+DN20-DW19)))</f>
        <v>83.416499999999999</v>
      </c>
      <c r="DP20" s="18">
        <f>DO20*VLOOKUP('Données projet'!$B$14,Paramètres!$A$1:$I$89,3,0)*VLOOKUP('Données projet'!$B$14,Paramètres!$A$1:$I$89,5,0)</f>
        <v>66.366167399999995</v>
      </c>
      <c r="DQ20" s="14">
        <f t="shared" si="43"/>
        <v>18.768268277444037</v>
      </c>
      <c r="DR20" s="22">
        <f t="shared" si="16"/>
        <v>148.27580880488168</v>
      </c>
      <c r="DS20" s="62">
        <f t="shared" si="17"/>
        <v>441.60914213821502</v>
      </c>
      <c r="DT20" s="62">
        <f ca="1">AVERAGE(OFFSET($DS$3,0,0,'Données projet'!$E$14+1,1))-AVERAGE(OFFSET($H$3,0,0,'Données projet'!$E$14+1,1))</f>
        <v>248.15263300983543</v>
      </c>
      <c r="DU20" s="62">
        <f t="shared" si="44"/>
        <v>266.46511459244618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7.9145000000000021</v>
      </c>
      <c r="EJ20" s="13">
        <f>IF('Données projet'!$A$192&gt;35,EJ19+EI20-ER19,IF(A20&lt;'Données projet'!$A$192,$EG$205^A20,IF(A20='Données projet'!$A$192,'Données projet'!$B$192,EJ19+EI20-ER19)))</f>
        <v>83.416499999999999</v>
      </c>
      <c r="EK20" s="18">
        <f>EJ20*VLOOKUP('Données projet'!$B$15,Paramètres!$A$1:$I$89,3,0)*VLOOKUP('Données projet'!$B$15,Paramètres!$A$1:$I$89,5,0)</f>
        <v>55.955788200000008</v>
      </c>
      <c r="EL20" s="14">
        <f t="shared" si="45"/>
        <v>16.141649859057516</v>
      </c>
      <c r="EM20" s="22">
        <f t="shared" si="19"/>
        <v>125.56970461952518</v>
      </c>
      <c r="EN20" s="62">
        <f t="shared" si="20"/>
        <v>418.90303795285848</v>
      </c>
      <c r="EO20" s="62">
        <f ca="1">AVERAGE(OFFSET($EN$3,0,0,'Données projet'!$E$15+1,1))-AVERAGE(OFFSET($H$3,0,0,'Données projet'!$E$15+1,1))</f>
        <v>205.35893113421139</v>
      </c>
      <c r="EP20" s="62">
        <f t="shared" si="46"/>
        <v>220.4399811285175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8.526315789473685</v>
      </c>
      <c r="N21" s="14">
        <f>IF('Données projet'!$A$36&gt;35,N20+M21-V20,IF(A21&lt;'Données projet'!$A$36,$K$205^A21,IF(A21='Données projet'!$A$36,'Données projet'!$B$36,N20+M21-V20)))</f>
        <v>123.94378388749713</v>
      </c>
      <c r="O21" s="14">
        <f>N21*VLOOKUP('Données projet'!$B$9,Paramètres!$A$1:$I$89,3,0)*VLOOKUP('Données projet'!$B$9,Paramètres!$A$1:$I$89,5,0)</f>
        <v>69.284575193110896</v>
      </c>
      <c r="P21" s="14">
        <f t="shared" si="33"/>
        <v>19.495686293334202</v>
      </c>
      <c r="Q21" s="22">
        <f t="shared" si="2"/>
        <v>154.62562208889187</v>
      </c>
      <c r="R21" s="62">
        <f t="shared" si="0"/>
        <v>447.95895542222519</v>
      </c>
      <c r="S21" s="62">
        <f ca="1">AVERAGE(OFFSET($R$3,0,0,'Données projet'!$E$9+1,1))-AVERAGE(OFFSET($H$3,0,0,'Données projet'!$E$9+1,1))</f>
        <v>382.55387448074327</v>
      </c>
      <c r="T21" s="62">
        <f t="shared" si="34"/>
        <v>476.29465646955543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230.56</v>
      </c>
      <c r="AG21" s="13">
        <f>VLOOKUP(A21,'Données projet'!$A$61:$I$81,9,0)</f>
        <v>23.320000000000004</v>
      </c>
      <c r="AH21" s="13">
        <f t="array" ref="AH21">INDEX(AG:AG,MIN(IF(ISNUMBER(AG21:AG217),ROW(AG21:AG217),"")))</f>
        <v>23.320000000000004</v>
      </c>
      <c r="AI21" s="14">
        <f>IF('Données projet'!$A$62&gt;35,AI20+AH21-AQ20,IF(A21&lt;'Données projet'!$A$62,$AF$205^A21,IF(A21='Données projet'!$A$62,'Données projet'!$B$62,AI20+AH21-AQ20)))</f>
        <v>230.55999999999997</v>
      </c>
      <c r="AJ21" s="14">
        <f>AI21*VLOOKUP('Données projet'!$B$10,Paramètres!$A$1:$I$89,3,0)*VLOOKUP('Données projet'!$B$10,Paramètres!$A$1:$I$89,5,0)</f>
        <v>143.86944</v>
      </c>
      <c r="AK21" s="14">
        <f t="shared" si="35"/>
        <v>37.182028415675987</v>
      </c>
      <c r="AL21" s="22">
        <f t="shared" si="4"/>
        <v>315.33130749063565</v>
      </c>
      <c r="AM21" s="62">
        <f t="shared" si="5"/>
        <v>608.66464082396897</v>
      </c>
      <c r="AN21" s="62">
        <f ca="1">AVERAGE(OFFSET($AM$3,0,0,'Données projet'!$E$10+1,1))-AVERAGE(OFFSET($H$3,0,0,'Données projet'!$E$10+1,1))</f>
        <v>420.68062999212015</v>
      </c>
      <c r="AO21" s="62">
        <f t="shared" si="36"/>
        <v>655.24090633185676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0.33600000000000002</v>
      </c>
      <c r="AT21" s="17">
        <f>IF(ISNA(VLOOKUP(A21,'Données projet'!$A$61:$I$81,7,0)),0%,VLOOKUP(A21,'Données projet'!$A$61:$I$81,7,0))</f>
        <v>0.44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</v>
      </c>
      <c r="BD21" s="13">
        <f>IF('Données projet'!$A$88&gt;35,BD20+BC21-BL20,IF(A21&lt;'Données projet'!$A$88,$BA$205^A21,IF(A21='Données projet'!$A$88,'Données projet'!$B$88,BD20+BC21-BL20)))</f>
        <v>36</v>
      </c>
      <c r="BE21" s="14">
        <f>BD21*VLOOKUP('Données projet'!$B$11,Paramètres!$A$1:$I$89,3,0)*VLOOKUP('Données projet'!$B$11,Paramètres!$A$1:$I$89,5,0)</f>
        <v>32.572800000000001</v>
      </c>
      <c r="BF21" s="14">
        <f t="shared" si="37"/>
        <v>10.007159566468195</v>
      </c>
      <c r="BG21" s="22">
        <f t="shared" si="7"/>
        <v>74.160096244932106</v>
      </c>
      <c r="BH21" s="62">
        <f t="shared" si="8"/>
        <v>367.49342957826542</v>
      </c>
      <c r="BI21" s="62">
        <f ca="1">AVERAGE(OFFSET($BH$3,0,0,'Données projet'!$E$11+1,1))-AVERAGE(OFFSET($H$3,0,0,'Données projet'!$E$11+1,1))</f>
        <v>138.3429338270858</v>
      </c>
      <c r="BJ21" s="62">
        <f t="shared" si="38"/>
        <v>88.30225651635925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</v>
      </c>
      <c r="BY21" s="13">
        <f>IF('Données projet'!$A$114&gt;35,BY20+BX21-CG20,IF(A21&lt;'Données projet'!$A$114,$BV$205^A21,IF(A21='Données projet'!$A$114,'Données projet'!$B$114,BY20+BX21-CG20)))</f>
        <v>36</v>
      </c>
      <c r="BZ21" s="14">
        <f>BY21*VLOOKUP('Données projet'!$B$12,Paramètres!$A$1:$I$89,3,0)*VLOOKUP('Données projet'!$B$12,Paramètres!$A$1:$I$89,5,0)</f>
        <v>30.326400000000003</v>
      </c>
      <c r="CA21" s="14">
        <f t="shared" si="39"/>
        <v>9.3948310796639856</v>
      </c>
      <c r="CB21" s="22">
        <f t="shared" si="10"/>
        <v>69.181144130414779</v>
      </c>
      <c r="CC21" s="62">
        <f t="shared" si="11"/>
        <v>362.51447746374811</v>
      </c>
      <c r="CD21" s="62">
        <f ca="1">AVERAGE(OFFSET($CC$3,0,0,'Données projet'!$E$12+1,1))-AVERAGE(OFFSET($H$3,0,0,'Données projet'!$E$12+1,1))</f>
        <v>122.57815304102127</v>
      </c>
      <c r="CE21" s="62">
        <f t="shared" si="40"/>
        <v>80.106609825870578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7.9145000000000021</v>
      </c>
      <c r="CT21" s="13">
        <f>IF('Données projet'!$A$140&gt;35,CT20+CS21-DB20,IF(A21&lt;'Données projet'!$A$140,$CQ$205^A21,IF(A21='Données projet'!$A$140,'Données projet'!$B$140,CT20+CS21-DB20)))</f>
        <v>91.331000000000003</v>
      </c>
      <c r="CU21" s="18">
        <f>CT21*VLOOKUP('Données projet'!$B$13,Paramètres!$A$1:$I$89,3,0)*VLOOKUP('Données projet'!$B$13,Paramètres!$A$1:$I$89,5,0)</f>
        <v>59.840071200000004</v>
      </c>
      <c r="CV21" s="14">
        <f t="shared" si="41"/>
        <v>17.127827715139652</v>
      </c>
      <c r="CW21" s="22">
        <f t="shared" si="13"/>
        <v>134.05242394386823</v>
      </c>
      <c r="CX21" s="62">
        <f t="shared" si="14"/>
        <v>427.38575727720155</v>
      </c>
      <c r="CY21" s="62">
        <f ca="1">AVERAGE(OFFSET($CX$3,0,0,'Données projet'!$E$13+1,1))-AVERAGE(OFFSET($H$3,0,0,'Données projet'!$E$13+1,1))</f>
        <v>199.99826357281154</v>
      </c>
      <c r="CZ21" s="62">
        <f t="shared" si="42"/>
        <v>214.67424457475136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7.9145000000000021</v>
      </c>
      <c r="DO21" s="13">
        <f>IF('Données projet'!$A$166&gt;35,DO20+DN21-DW20,IF(A21&lt;'Données projet'!$A$166,$DL$205^A21,IF(A21='Données projet'!$A$166,'Données projet'!$B$166,DO20+DN21-DW20)))</f>
        <v>91.331000000000003</v>
      </c>
      <c r="DP21" s="18">
        <f>DO21*VLOOKUP('Données projet'!$B$14,Paramètres!$A$1:$I$89,3,0)*VLOOKUP('Données projet'!$B$14,Paramètres!$A$1:$I$89,5,0)</f>
        <v>72.662943600000006</v>
      </c>
      <c r="DQ21" s="14">
        <f t="shared" si="43"/>
        <v>20.333316485626749</v>
      </c>
      <c r="DR21" s="22">
        <f t="shared" si="16"/>
        <v>161.96848631579994</v>
      </c>
      <c r="DS21" s="62">
        <f t="shared" si="17"/>
        <v>455.30181964913322</v>
      </c>
      <c r="DT21" s="62">
        <f ca="1">AVERAGE(OFFSET($DS$3,0,0,'Données projet'!$E$14+1,1))-AVERAGE(OFFSET($H$3,0,0,'Données projet'!$E$14+1,1))</f>
        <v>248.15263300983543</v>
      </c>
      <c r="DU21" s="62">
        <f t="shared" si="44"/>
        <v>266.46511459244618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7.9145000000000021</v>
      </c>
      <c r="EJ21" s="13">
        <f>IF('Données projet'!$A$192&gt;35,EJ20+EI21-ER20,IF(A21&lt;'Données projet'!$A$192,$EG$205^A21,IF(A21='Données projet'!$A$192,'Données projet'!$B$192,EJ20+EI21-ER20)))</f>
        <v>91.331000000000003</v>
      </c>
      <c r="EK21" s="18">
        <f>EJ21*VLOOKUP('Données projet'!$B$15,Paramètres!$A$1:$I$89,3,0)*VLOOKUP('Données projet'!$B$15,Paramètres!$A$1:$I$89,5,0)</f>
        <v>61.26483480000001</v>
      </c>
      <c r="EL21" s="14">
        <f t="shared" si="45"/>
        <v>17.487669631131599</v>
      </c>
      <c r="EM21" s="22">
        <f t="shared" si="19"/>
        <v>137.16061188422088</v>
      </c>
      <c r="EN21" s="62">
        <f t="shared" si="20"/>
        <v>430.4939452175542</v>
      </c>
      <c r="EO21" s="62">
        <f ca="1">AVERAGE(OFFSET($EN$3,0,0,'Données projet'!$E$15+1,1))-AVERAGE(OFFSET($H$3,0,0,'Données projet'!$E$15+1,1))</f>
        <v>205.35893113421139</v>
      </c>
      <c r="EP21" s="62">
        <f t="shared" si="46"/>
        <v>220.4399811285175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162</v>
      </c>
      <c r="L22" s="13">
        <f>VLOOKUP(A22,'Données projet'!$A$35:$I$55,9,0)</f>
        <v>8.526315789473685</v>
      </c>
      <c r="M22" s="13">
        <f t="array" ref="M22">INDEX(L:L,MIN(IF(ISNUMBER(L22:L218),ROW(L22:L218),"")))</f>
        <v>8.526315789473685</v>
      </c>
      <c r="N22" s="14">
        <f>IF('Données projet'!$A$36&gt;35,N21+M22-V21,IF(A22&lt;'Données projet'!$A$36,$K$205^A22,IF(A22='Données projet'!$A$36,'Données projet'!$B$36,N21+M22-V21)))</f>
        <v>162</v>
      </c>
      <c r="O22" s="14">
        <f>N22*VLOOKUP('Données projet'!$B$9,Paramètres!$A$1:$I$89,3,0)*VLOOKUP('Données projet'!$B$9,Paramètres!$A$1:$I$89,5,0)</f>
        <v>90.557999999999993</v>
      </c>
      <c r="P22" s="14">
        <f t="shared" si="33"/>
        <v>24.699752708509138</v>
      </c>
      <c r="Q22" s="22">
        <f t="shared" si="2"/>
        <v>200.74058596732007</v>
      </c>
      <c r="R22" s="62">
        <f t="shared" si="0"/>
        <v>494.07391930065342</v>
      </c>
      <c r="S22" s="62">
        <f ca="1">AVERAGE(OFFSET($R$3,0,0,'Données projet'!$E$9+1,1))-AVERAGE(OFFSET($H$3,0,0,'Données projet'!$E$9+1,1))</f>
        <v>382.55387448074327</v>
      </c>
      <c r="T22" s="62">
        <f t="shared" si="34"/>
        <v>476.29465646955543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0.30800000000000005</v>
      </c>
      <c r="Y22" s="17">
        <f>IF(ISNA(VLOOKUP(A22,'Données projet'!$A$35:$I$55,7,0)),0%,VLOOKUP(A22,'Données projet'!$A$35:$I$55,7,0))</f>
        <v>0.44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23.613333333333333</v>
      </c>
      <c r="AI22" s="14">
        <f>IF('Données projet'!$A$62&gt;35,AI21+AH22-AQ21,IF(A22&lt;'Données projet'!$A$62,$AF$205^A22,IF(A22='Données projet'!$A$62,'Données projet'!$B$62,AI21+AH22-AQ21)))</f>
        <v>254.17333333333332</v>
      </c>
      <c r="AJ22" s="14">
        <f>AI22*VLOOKUP('Données projet'!$B$10,Paramètres!$A$1:$I$89,3,0)*VLOOKUP('Données projet'!$B$10,Paramètres!$A$1:$I$89,5,0)</f>
        <v>158.60416000000001</v>
      </c>
      <c r="AK22" s="14">
        <f t="shared" si="35"/>
        <v>40.527519423444694</v>
      </c>
      <c r="AL22" s="22">
        <f t="shared" si="4"/>
        <v>346.8210083291662</v>
      </c>
      <c r="AM22" s="62">
        <f t="shared" si="5"/>
        <v>640.15434166249952</v>
      </c>
      <c r="AN22" s="62">
        <f ca="1">AVERAGE(OFFSET($AM$3,0,0,'Données projet'!$E$10+1,1))-AVERAGE(OFFSET($H$3,0,0,'Données projet'!$E$10+1,1))</f>
        <v>420.68062999212015</v>
      </c>
      <c r="AO22" s="62">
        <f t="shared" si="36"/>
        <v>655.24090633185676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</v>
      </c>
      <c r="BD22" s="13">
        <f>IF('Données projet'!$A$88&gt;35,BD21+BC22-BL21,IF(A22&lt;'Données projet'!$A$88,$BA$205^A22,IF(A22='Données projet'!$A$88,'Données projet'!$B$88,BD21+BC22-BL21)))</f>
        <v>38</v>
      </c>
      <c r="BE22" s="14">
        <f>BD22*VLOOKUP('Données projet'!$B$11,Paramètres!$A$1:$I$89,3,0)*VLOOKUP('Données projet'!$B$11,Paramètres!$A$1:$I$89,5,0)</f>
        <v>34.382399999999997</v>
      </c>
      <c r="BF22" s="14">
        <f t="shared" si="37"/>
        <v>10.49684347123541</v>
      </c>
      <c r="BG22" s="22">
        <f t="shared" si="7"/>
        <v>78.164682379068338</v>
      </c>
      <c r="BH22" s="62">
        <f t="shared" si="8"/>
        <v>371.49801571240164</v>
      </c>
      <c r="BI22" s="62">
        <f ca="1">AVERAGE(OFFSET($BH$3,0,0,'Données projet'!$E$11+1,1))-AVERAGE(OFFSET($H$3,0,0,'Données projet'!$E$11+1,1))</f>
        <v>138.3429338270858</v>
      </c>
      <c r="BJ22" s="62">
        <f t="shared" si="38"/>
        <v>88.30225651635925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</v>
      </c>
      <c r="BY22" s="13">
        <f>IF('Données projet'!$A$114&gt;35,BY21+BX22-CG21,IF(A22&lt;'Données projet'!$A$114,$BV$205^A22,IF(A22='Données projet'!$A$114,'Données projet'!$B$114,BY21+BX22-CG21)))</f>
        <v>38</v>
      </c>
      <c r="BZ22" s="14">
        <f>BY22*VLOOKUP('Données projet'!$B$12,Paramètres!$A$1:$I$89,3,0)*VLOOKUP('Données projet'!$B$12,Paramètres!$A$1:$I$89,5,0)</f>
        <v>32.011200000000009</v>
      </c>
      <c r="CA22" s="14">
        <f t="shared" si="39"/>
        <v>9.8545516964045792</v>
      </c>
      <c r="CB22" s="22">
        <f t="shared" si="10"/>
        <v>72.916184204571323</v>
      </c>
      <c r="CC22" s="62">
        <f t="shared" si="11"/>
        <v>366.24951753790464</v>
      </c>
      <c r="CD22" s="62">
        <f ca="1">AVERAGE(OFFSET($CC$3,0,0,'Données projet'!$E$12+1,1))-AVERAGE(OFFSET($H$3,0,0,'Données projet'!$E$12+1,1))</f>
        <v>122.57815304102127</v>
      </c>
      <c r="CE22" s="62">
        <f t="shared" si="40"/>
        <v>80.106609825870578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7.9145000000000021</v>
      </c>
      <c r="CT22" s="13">
        <f>IF('Données projet'!$A$140&gt;35,CT21+CS22-DB21,IF(A22&lt;'Données projet'!$A$140,$CQ$205^A22,IF(A22='Données projet'!$A$140,'Données projet'!$B$140,CT21+CS22-DB21)))</f>
        <v>99.245500000000007</v>
      </c>
      <c r="CU22" s="18">
        <f>CT22*VLOOKUP('Données projet'!$B$13,Paramètres!$A$1:$I$89,3,0)*VLOOKUP('Données projet'!$B$13,Paramètres!$A$1:$I$89,5,0)</f>
        <v>65.025651600000003</v>
      </c>
      <c r="CV22" s="14">
        <f t="shared" si="41"/>
        <v>18.432902126220412</v>
      </c>
      <c r="CW22" s="22">
        <f t="shared" si="13"/>
        <v>145.35698107316722</v>
      </c>
      <c r="CX22" s="62">
        <f t="shared" si="14"/>
        <v>438.69031440650053</v>
      </c>
      <c r="CY22" s="62">
        <f ca="1">AVERAGE(OFFSET($CX$3,0,0,'Données projet'!$E$13+1,1))-AVERAGE(OFFSET($H$3,0,0,'Données projet'!$E$13+1,1))</f>
        <v>199.99826357281154</v>
      </c>
      <c r="CZ22" s="62">
        <f t="shared" si="42"/>
        <v>214.67424457475136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7.9145000000000021</v>
      </c>
      <c r="DO22" s="13">
        <f>IF('Données projet'!$A$166&gt;35,DO21+DN22-DW21,IF(A22&lt;'Données projet'!$A$166,$DL$205^A22,IF(A22='Données projet'!$A$166,'Données projet'!$B$166,DO21+DN22-DW21)))</f>
        <v>99.245500000000007</v>
      </c>
      <c r="DP22" s="18">
        <f>DO22*VLOOKUP('Données projet'!$B$14,Paramètres!$A$1:$I$89,3,0)*VLOOKUP('Données projet'!$B$14,Paramètres!$A$1:$I$89,5,0)</f>
        <v>78.959719800000002</v>
      </c>
      <c r="DQ22" s="14">
        <f t="shared" si="43"/>
        <v>21.882636777676485</v>
      </c>
      <c r="DR22" s="22">
        <f t="shared" si="16"/>
        <v>175.63377103945319</v>
      </c>
      <c r="DS22" s="62">
        <f t="shared" si="17"/>
        <v>468.96710437278648</v>
      </c>
      <c r="DT22" s="62">
        <f ca="1">AVERAGE(OFFSET($DS$3,0,0,'Données projet'!$E$14+1,1))-AVERAGE(OFFSET($H$3,0,0,'Données projet'!$E$14+1,1))</f>
        <v>248.15263300983543</v>
      </c>
      <c r="DU22" s="62">
        <f t="shared" si="44"/>
        <v>266.46511459244618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7.9145000000000021</v>
      </c>
      <c r="EJ22" s="13">
        <f>IF('Données projet'!$A$192&gt;35,EJ21+EI22-ER21,IF(A22&lt;'Données projet'!$A$192,$EG$205^A22,IF(A22='Données projet'!$A$192,'Données projet'!$B$192,EJ21+EI22-ER21)))</f>
        <v>99.245500000000007</v>
      </c>
      <c r="EK22" s="18">
        <f>EJ22*VLOOKUP('Données projet'!$B$15,Paramètres!$A$1:$I$89,3,0)*VLOOKUP('Données projet'!$B$15,Paramètres!$A$1:$I$89,5,0)</f>
        <v>66.573881400000005</v>
      </c>
      <c r="EL22" s="14">
        <f t="shared" si="45"/>
        <v>18.820162608326267</v>
      </c>
      <c r="EM22" s="22">
        <f t="shared" si="19"/>
        <v>148.72795998116825</v>
      </c>
      <c r="EN22" s="62">
        <f t="shared" si="20"/>
        <v>442.06129331450154</v>
      </c>
      <c r="EO22" s="62">
        <f ca="1">AVERAGE(OFFSET($EN$3,0,0,'Données projet'!$E$15+1,1))-AVERAGE(OFFSET($H$3,0,0,'Données projet'!$E$15+1,1))</f>
        <v>205.35893113421139</v>
      </c>
      <c r="EP22" s="62">
        <f t="shared" si="46"/>
        <v>220.4399811285175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28.833333333333332</v>
      </c>
      <c r="N23" s="14">
        <f>IF('Données projet'!$A$36&gt;35,N22+M23-V22,IF(A23&lt;'Données projet'!$A$36,$K$205^A23,IF(A23='Données projet'!$A$36,'Données projet'!$B$36,N22+M23-V22)))</f>
        <v>190.83333333333334</v>
      </c>
      <c r="O23" s="14">
        <f>N23*VLOOKUP('Données projet'!$B$9,Paramètres!$A$1:$I$89,3,0)*VLOOKUP('Données projet'!$B$9,Paramètres!$A$1:$I$89,5,0)</f>
        <v>106.67583333333334</v>
      </c>
      <c r="P23" s="14">
        <f t="shared" si="33"/>
        <v>28.546391754319739</v>
      </c>
      <c r="Q23" s="22">
        <f t="shared" si="2"/>
        <v>235.51204202766243</v>
      </c>
      <c r="R23" s="62">
        <f t="shared" si="0"/>
        <v>528.84537536099572</v>
      </c>
      <c r="S23" s="62">
        <f ca="1">AVERAGE(OFFSET($R$3,0,0,'Données projet'!$E$9+1,1))-AVERAGE(OFFSET($H$3,0,0,'Données projet'!$E$9+1,1))</f>
        <v>382.55387448074327</v>
      </c>
      <c r="T23" s="62">
        <f t="shared" si="34"/>
        <v>476.29465646955543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23.613333333333333</v>
      </c>
      <c r="AI23" s="14">
        <f>IF('Données projet'!$A$62&gt;35,AI22+AH23-AQ22,IF(A23&lt;'Données projet'!$A$62,$AF$205^A23,IF(A23='Données projet'!$A$62,'Données projet'!$B$62,AI22+AH23-AQ22)))</f>
        <v>277.78666666666663</v>
      </c>
      <c r="AJ23" s="14">
        <f>AI23*VLOOKUP('Données projet'!$B$10,Paramètres!$A$1:$I$89,3,0)*VLOOKUP('Données projet'!$B$10,Paramètres!$A$1:$I$89,5,0)</f>
        <v>173.33887999999999</v>
      </c>
      <c r="AK23" s="14">
        <f t="shared" si="35"/>
        <v>43.836973029171801</v>
      </c>
      <c r="AL23" s="22">
        <f t="shared" si="4"/>
        <v>378.2479440258075</v>
      </c>
      <c r="AM23" s="62">
        <f t="shared" si="5"/>
        <v>671.58127735914081</v>
      </c>
      <c r="AN23" s="62">
        <f ca="1">AVERAGE(OFFSET($AM$3,0,0,'Données projet'!$E$10+1,1))-AVERAGE(OFFSET($H$3,0,0,'Données projet'!$E$10+1,1))</f>
        <v>420.68062999212015</v>
      </c>
      <c r="AO23" s="62">
        <f t="shared" si="36"/>
        <v>655.24090633185676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</v>
      </c>
      <c r="BD23" s="13">
        <f>IF('Données projet'!$A$88&gt;35,BD22+BC23-BL22,IF(A23&lt;'Données projet'!$A$88,$BA$205^A23,IF(A23='Données projet'!$A$88,'Données projet'!$B$88,BD22+BC23-BL22)))</f>
        <v>40</v>
      </c>
      <c r="BE23" s="14">
        <f>BD23*VLOOKUP('Données projet'!$B$11,Paramètres!$A$1:$I$89,3,0)*VLOOKUP('Données projet'!$B$11,Paramètres!$A$1:$I$89,5,0)</f>
        <v>36.192</v>
      </c>
      <c r="BF23" s="14">
        <f t="shared" si="37"/>
        <v>10.98353513000465</v>
      </c>
      <c r="BG23" s="22">
        <f t="shared" si="7"/>
        <v>82.164057018091427</v>
      </c>
      <c r="BH23" s="62">
        <f t="shared" si="8"/>
        <v>375.49739035142477</v>
      </c>
      <c r="BI23" s="62">
        <f ca="1">AVERAGE(OFFSET($BH$3,0,0,'Données projet'!$E$11+1,1))-AVERAGE(OFFSET($H$3,0,0,'Données projet'!$E$11+1,1))</f>
        <v>138.3429338270858</v>
      </c>
      <c r="BJ23" s="62">
        <f t="shared" si="38"/>
        <v>88.30225651635925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</v>
      </c>
      <c r="BY23" s="13">
        <f>IF('Données projet'!$A$114&gt;35,BY22+BX23-CG22,IF(A23&lt;'Données projet'!$A$114,$BV$205^A23,IF(A23='Données projet'!$A$114,'Données projet'!$B$114,BY22+BX23-CG22)))</f>
        <v>40</v>
      </c>
      <c r="BZ23" s="14">
        <f>BY23*VLOOKUP('Données projet'!$B$12,Paramètres!$A$1:$I$89,3,0)*VLOOKUP('Données projet'!$B$12,Paramètres!$A$1:$I$89,5,0)</f>
        <v>33.696000000000005</v>
      </c>
      <c r="CA23" s="14">
        <f t="shared" si="39"/>
        <v>10.311463159807191</v>
      </c>
      <c r="CB23" s="22">
        <f t="shared" si="10"/>
        <v>76.646331669997522</v>
      </c>
      <c r="CC23" s="62">
        <f t="shared" si="11"/>
        <v>369.97966500333087</v>
      </c>
      <c r="CD23" s="62">
        <f ca="1">AVERAGE(OFFSET($CC$3,0,0,'Données projet'!$E$12+1,1))-AVERAGE(OFFSET($H$3,0,0,'Données projet'!$E$12+1,1))</f>
        <v>122.57815304102127</v>
      </c>
      <c r="CE23" s="62">
        <f t="shared" si="40"/>
        <v>80.106609825870578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7.9145000000000021</v>
      </c>
      <c r="CT23" s="13">
        <f>IF('Données projet'!$A$140&gt;35,CT22+CS23-DB22,IF(A23&lt;'Données projet'!$A$140,$CQ$205^A23,IF(A23='Données projet'!$A$140,'Données projet'!$B$140,CT22+CS23-DB22)))</f>
        <v>107.16000000000001</v>
      </c>
      <c r="CU23" s="18">
        <f>CT23*VLOOKUP('Données projet'!$B$13,Paramètres!$A$1:$I$89,3,0)*VLOOKUP('Données projet'!$B$13,Paramètres!$A$1:$I$89,5,0)</f>
        <v>70.21123200000001</v>
      </c>
      <c r="CV23" s="14">
        <f t="shared" si="41"/>
        <v>19.72590471944833</v>
      </c>
      <c r="CW23" s="22">
        <f t="shared" si="13"/>
        <v>156.64051311970584</v>
      </c>
      <c r="CX23" s="62">
        <f t="shared" si="14"/>
        <v>449.97384645303919</v>
      </c>
      <c r="CY23" s="62">
        <f ca="1">AVERAGE(OFFSET($CX$3,0,0,'Données projet'!$E$13+1,1))-AVERAGE(OFFSET($H$3,0,0,'Données projet'!$E$13+1,1))</f>
        <v>199.99826357281154</v>
      </c>
      <c r="CZ23" s="62">
        <f t="shared" si="42"/>
        <v>214.67424457475136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7.9145000000000021</v>
      </c>
      <c r="DO23" s="13">
        <f>IF('Données projet'!$A$166&gt;35,DO22+DN23-DW22,IF(A23&lt;'Données projet'!$A$166,$DL$205^A23,IF(A23='Données projet'!$A$166,'Données projet'!$B$166,DO22+DN23-DW22)))</f>
        <v>107.16000000000001</v>
      </c>
      <c r="DP23" s="18">
        <f>DO23*VLOOKUP('Données projet'!$B$14,Paramètres!$A$1:$I$89,3,0)*VLOOKUP('Données projet'!$B$14,Paramètres!$A$1:$I$89,5,0)</f>
        <v>85.256496000000013</v>
      </c>
      <c r="DQ23" s="14">
        <f t="shared" si="43"/>
        <v>23.417626000016696</v>
      </c>
      <c r="DR23" s="22">
        <f t="shared" si="16"/>
        <v>189.27409581669576</v>
      </c>
      <c r="DS23" s="62">
        <f t="shared" si="17"/>
        <v>482.60742915002908</v>
      </c>
      <c r="DT23" s="62">
        <f ca="1">AVERAGE(OFFSET($DS$3,0,0,'Données projet'!$E$14+1,1))-AVERAGE(OFFSET($H$3,0,0,'Données projet'!$E$14+1,1))</f>
        <v>248.15263300983543</v>
      </c>
      <c r="DU23" s="62">
        <f t="shared" si="44"/>
        <v>266.46511459244618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7.9145000000000021</v>
      </c>
      <c r="EJ23" s="13">
        <f>IF('Données projet'!$A$192&gt;35,EJ22+EI23-ER22,IF(A23&lt;'Données projet'!$A$192,$EG$205^A23,IF(A23='Données projet'!$A$192,'Données projet'!$B$192,EJ22+EI23-ER22)))</f>
        <v>107.16000000000001</v>
      </c>
      <c r="EK23" s="18">
        <f>EJ23*VLOOKUP('Données projet'!$B$15,Paramètres!$A$1:$I$89,3,0)*VLOOKUP('Données projet'!$B$15,Paramètres!$A$1:$I$89,5,0)</f>
        <v>71.882928000000007</v>
      </c>
      <c r="EL23" s="14">
        <f t="shared" si="45"/>
        <v>20.140330148462098</v>
      </c>
      <c r="EM23" s="22">
        <f t="shared" si="19"/>
        <v>160.27384127523817</v>
      </c>
      <c r="EN23" s="62">
        <f t="shared" si="20"/>
        <v>453.60717460857148</v>
      </c>
      <c r="EO23" s="62">
        <f ca="1">AVERAGE(OFFSET($EN$3,0,0,'Données projet'!$E$15+1,1))-AVERAGE(OFFSET($H$3,0,0,'Données projet'!$E$15+1,1))</f>
        <v>205.35893113421139</v>
      </c>
      <c r="EP23" s="62">
        <f t="shared" si="46"/>
        <v>220.4399811285175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28.833333333333332</v>
      </c>
      <c r="N24" s="14">
        <f>IF('Données projet'!$A$36&gt;35,N23+M24-V23,IF(A24&lt;'Données projet'!$A$36,$K$205^A24,IF(A24='Données projet'!$A$36,'Données projet'!$B$36,N23+M24-V23)))</f>
        <v>219.66666666666669</v>
      </c>
      <c r="O24" s="14">
        <f>N24*VLOOKUP('Données projet'!$B$9,Paramètres!$A$1:$I$89,3,0)*VLOOKUP('Données projet'!$B$9,Paramètres!$A$1:$I$89,5,0)</f>
        <v>122.79366666666668</v>
      </c>
      <c r="P24" s="14">
        <f t="shared" si="33"/>
        <v>32.32570088253398</v>
      </c>
      <c r="Q24" s="22">
        <f t="shared" si="2"/>
        <v>270.16623181485778</v>
      </c>
      <c r="R24" s="62">
        <f t="shared" si="0"/>
        <v>563.4995651481911</v>
      </c>
      <c r="S24" s="62">
        <f ca="1">AVERAGE(OFFSET($R$3,0,0,'Données projet'!$E$9+1,1))-AVERAGE(OFFSET($H$3,0,0,'Données projet'!$E$9+1,1))</f>
        <v>382.55387448074327</v>
      </c>
      <c r="T24" s="62">
        <f t="shared" si="34"/>
        <v>476.29465646955543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23.613333333333333</v>
      </c>
      <c r="AI24" s="14">
        <f>IF('Données projet'!$A$62&gt;35,AI23+AH24-AQ23,IF(A24&lt;'Données projet'!$A$62,$AF$205^A24,IF(A24='Données projet'!$A$62,'Données projet'!$B$62,AI23+AH24-AQ23)))</f>
        <v>301.39999999999998</v>
      </c>
      <c r="AJ24" s="14">
        <f>AI24*VLOOKUP('Données projet'!$B$10,Paramètres!$A$1:$I$89,3,0)*VLOOKUP('Données projet'!$B$10,Paramètres!$A$1:$I$89,5,0)</f>
        <v>188.0736</v>
      </c>
      <c r="AK24" s="14">
        <f t="shared" si="35"/>
        <v>47.113800891558789</v>
      </c>
      <c r="AL24" s="22">
        <f t="shared" si="4"/>
        <v>409.61805655279818</v>
      </c>
      <c r="AM24" s="62">
        <f t="shared" si="5"/>
        <v>702.95138988613144</v>
      </c>
      <c r="AN24" s="62">
        <f ca="1">AVERAGE(OFFSET($AM$3,0,0,'Données projet'!$E$10+1,1))-AVERAGE(OFFSET($H$3,0,0,'Données projet'!$E$10+1,1))</f>
        <v>420.68062999212015</v>
      </c>
      <c r="AO24" s="62">
        <f t="shared" si="36"/>
        <v>655.24090633185676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</v>
      </c>
      <c r="BD24" s="13">
        <f>IF('Données projet'!$A$88&gt;35,BD23+BC24-BL23,IF(A24&lt;'Données projet'!$A$88,$BA$205^A24,IF(A24='Données projet'!$A$88,'Données projet'!$B$88,BD23+BC24-BL23)))</f>
        <v>42</v>
      </c>
      <c r="BE24" s="14">
        <f>BD24*VLOOKUP('Données projet'!$B$11,Paramètres!$A$1:$I$89,3,0)*VLOOKUP('Données projet'!$B$11,Paramètres!$A$1:$I$89,5,0)</f>
        <v>38.001600000000003</v>
      </c>
      <c r="BF24" s="14">
        <f t="shared" si="37"/>
        <v>11.467401227090512</v>
      </c>
      <c r="BG24" s="22">
        <f t="shared" si="7"/>
        <v>86.158510470515978</v>
      </c>
      <c r="BH24" s="62">
        <f t="shared" si="8"/>
        <v>379.49184380384929</v>
      </c>
      <c r="BI24" s="62">
        <f ca="1">AVERAGE(OFFSET($BH$3,0,0,'Données projet'!$E$11+1,1))-AVERAGE(OFFSET($H$3,0,0,'Données projet'!$E$11+1,1))</f>
        <v>138.3429338270858</v>
      </c>
      <c r="BJ24" s="62">
        <f t="shared" si="38"/>
        <v>88.30225651635925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</v>
      </c>
      <c r="BY24" s="13">
        <f>IF('Données projet'!$A$114&gt;35,BY23+BX24-CG23,IF(A24&lt;'Données projet'!$A$114,$BV$205^A24,IF(A24='Données projet'!$A$114,'Données projet'!$B$114,BY23+BX24-CG23)))</f>
        <v>42</v>
      </c>
      <c r="BZ24" s="14">
        <f>BY24*VLOOKUP('Données projet'!$B$12,Paramètres!$A$1:$I$89,3,0)*VLOOKUP('Données projet'!$B$12,Paramètres!$A$1:$I$89,5,0)</f>
        <v>35.380800000000001</v>
      </c>
      <c r="CA24" s="14">
        <f t="shared" si="39"/>
        <v>10.765721954933243</v>
      </c>
      <c r="CB24" s="22">
        <f t="shared" si="10"/>
        <v>80.371859071508723</v>
      </c>
      <c r="CC24" s="62">
        <f t="shared" si="11"/>
        <v>373.70519240484202</v>
      </c>
      <c r="CD24" s="62">
        <f ca="1">AVERAGE(OFFSET($CC$3,0,0,'Données projet'!$E$12+1,1))-AVERAGE(OFFSET($H$3,0,0,'Données projet'!$E$12+1,1))</f>
        <v>122.57815304102127</v>
      </c>
      <c r="CE24" s="62">
        <f t="shared" si="40"/>
        <v>80.106609825870578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7.9145000000000021</v>
      </c>
      <c r="CT24" s="13">
        <f>IF('Données projet'!$A$140&gt;35,CT23+CS24-DB23,IF(A24&lt;'Données projet'!$A$140,$CQ$205^A24,IF(A24='Données projet'!$A$140,'Données projet'!$B$140,CT23+CS24-DB23)))</f>
        <v>115.07450000000001</v>
      </c>
      <c r="CU24" s="18">
        <f>CT24*VLOOKUP('Données projet'!$B$13,Paramètres!$A$1:$I$89,3,0)*VLOOKUP('Données projet'!$B$13,Paramètres!$A$1:$I$89,5,0)</f>
        <v>75.396812400000002</v>
      </c>
      <c r="CV24" s="14">
        <f t="shared" si="41"/>
        <v>21.007828468289951</v>
      </c>
      <c r="CW24" s="22">
        <f t="shared" si="13"/>
        <v>167.90474951227165</v>
      </c>
      <c r="CX24" s="62">
        <f t="shared" si="14"/>
        <v>461.23808284560494</v>
      </c>
      <c r="CY24" s="62">
        <f ca="1">AVERAGE(OFFSET($CX$3,0,0,'Données projet'!$E$13+1,1))-AVERAGE(OFFSET($H$3,0,0,'Données projet'!$E$13+1,1))</f>
        <v>199.99826357281154</v>
      </c>
      <c r="CZ24" s="62">
        <f t="shared" si="42"/>
        <v>214.67424457475136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7.9145000000000021</v>
      </c>
      <c r="DO24" s="13">
        <f>IF('Données projet'!$A$166&gt;35,DO23+DN24-DW23,IF(A24&lt;'Données projet'!$A$166,$DL$205^A24,IF(A24='Données projet'!$A$166,'Données projet'!$B$166,DO23+DN24-DW23)))</f>
        <v>115.07450000000001</v>
      </c>
      <c r="DP24" s="18">
        <f>DO24*VLOOKUP('Données projet'!$B$14,Paramètres!$A$1:$I$89,3,0)*VLOOKUP('Données projet'!$B$14,Paramètres!$A$1:$I$89,5,0)</f>
        <v>91.553272200000009</v>
      </c>
      <c r="DQ24" s="14">
        <f t="shared" si="43"/>
        <v>24.939462962014957</v>
      </c>
      <c r="DR24" s="22">
        <f t="shared" si="16"/>
        <v>202.8915137405094</v>
      </c>
      <c r="DS24" s="62">
        <f t="shared" si="17"/>
        <v>496.22484707384274</v>
      </c>
      <c r="DT24" s="62">
        <f ca="1">AVERAGE(OFFSET($DS$3,0,0,'Données projet'!$E$14+1,1))-AVERAGE(OFFSET($H$3,0,0,'Données projet'!$E$14+1,1))</f>
        <v>248.15263300983543</v>
      </c>
      <c r="DU24" s="62">
        <f t="shared" si="44"/>
        <v>266.46511459244618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7.9145000000000021</v>
      </c>
      <c r="EJ24" s="13">
        <f>IF('Données projet'!$A$192&gt;35,EJ23+EI24-ER23,IF(A24&lt;'Données projet'!$A$192,$EG$205^A24,IF(A24='Données projet'!$A$192,'Données projet'!$B$192,EJ23+EI24-ER23)))</f>
        <v>115.07450000000001</v>
      </c>
      <c r="EK24" s="18">
        <f>EJ24*VLOOKUP('Données projet'!$B$15,Paramètres!$A$1:$I$89,3,0)*VLOOKUP('Données projet'!$B$15,Paramètres!$A$1:$I$89,5,0)</f>
        <v>77.191974600000009</v>
      </c>
      <c r="EL24" s="14">
        <f t="shared" si="45"/>
        <v>21.449186086581346</v>
      </c>
      <c r="EM24" s="22">
        <f t="shared" si="19"/>
        <v>171.80002152912917</v>
      </c>
      <c r="EN24" s="62">
        <f t="shared" si="20"/>
        <v>465.13335486246251</v>
      </c>
      <c r="EO24" s="62">
        <f ca="1">AVERAGE(OFFSET($EN$3,0,0,'Données projet'!$E$15+1,1))-AVERAGE(OFFSET($H$3,0,0,'Données projet'!$E$15+1,1))</f>
        <v>205.35893113421139</v>
      </c>
      <c r="EP24" s="62">
        <f t="shared" si="46"/>
        <v>220.4399811285175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28.833333333333332</v>
      </c>
      <c r="N25" s="14">
        <f>IF('Données projet'!$A$36&gt;35,N24+M25-V24,IF(A25&lt;'Données projet'!$A$36,$K$205^A25,IF(A25='Données projet'!$A$36,'Données projet'!$B$36,N24+M25-V24)))</f>
        <v>248.50000000000003</v>
      </c>
      <c r="O25" s="14">
        <f>N25*VLOOKUP('Données projet'!$B$9,Paramètres!$A$1:$I$89,3,0)*VLOOKUP('Données projet'!$B$9,Paramètres!$A$1:$I$89,5,0)</f>
        <v>138.91150000000002</v>
      </c>
      <c r="P25" s="14">
        <f t="shared" si="33"/>
        <v>36.047532265727178</v>
      </c>
      <c r="Q25" s="22">
        <f t="shared" si="2"/>
        <v>304.72031452947482</v>
      </c>
      <c r="R25" s="62">
        <f t="shared" si="0"/>
        <v>598.05364786280813</v>
      </c>
      <c r="S25" s="62">
        <f ca="1">AVERAGE(OFFSET($R$3,0,0,'Données projet'!$E$9+1,1))-AVERAGE(OFFSET($H$3,0,0,'Données projet'!$E$9+1,1))</f>
        <v>382.55387448074327</v>
      </c>
      <c r="T25" s="62">
        <f t="shared" si="34"/>
        <v>476.29465646955543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23.613333333333333</v>
      </c>
      <c r="AI25" s="14">
        <f>IF('Données projet'!$A$62&gt;35,AI24+AH25-AQ24,IF(A25&lt;'Données projet'!$A$62,$AF$205^A25,IF(A25='Données projet'!$A$62,'Données projet'!$B$62,AI24+AH25-AQ24)))</f>
        <v>325.01333333333332</v>
      </c>
      <c r="AJ25" s="14">
        <f>AI25*VLOOKUP('Données projet'!$B$10,Paramètres!$A$1:$I$89,3,0)*VLOOKUP('Données projet'!$B$10,Paramètres!$A$1:$I$89,5,0)</f>
        <v>202.80831999999998</v>
      </c>
      <c r="AK25" s="14">
        <f t="shared" si="35"/>
        <v>50.360849702534331</v>
      </c>
      <c r="AL25" s="22">
        <f t="shared" si="4"/>
        <v>440.93630389858055</v>
      </c>
      <c r="AM25" s="62">
        <f t="shared" si="5"/>
        <v>734.26963723191386</v>
      </c>
      <c r="AN25" s="62">
        <f ca="1">AVERAGE(OFFSET($AM$3,0,0,'Données projet'!$E$10+1,1))-AVERAGE(OFFSET($H$3,0,0,'Données projet'!$E$10+1,1))</f>
        <v>420.68062999212015</v>
      </c>
      <c r="AO25" s="62">
        <f t="shared" si="36"/>
        <v>655.24090633185676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</v>
      </c>
      <c r="BD25" s="13">
        <f>IF('Données projet'!$A$88&gt;35,BD24+BC25-BL24,IF(A25&lt;'Données projet'!$A$88,$BA$205^A25,IF(A25='Données projet'!$A$88,'Données projet'!$B$88,BD24+BC25-BL24)))</f>
        <v>44</v>
      </c>
      <c r="BE25" s="14">
        <f>BD25*VLOOKUP('Données projet'!$B$11,Paramètres!$A$1:$I$89,3,0)*VLOOKUP('Données projet'!$B$11,Paramètres!$A$1:$I$89,5,0)</f>
        <v>39.811199999999999</v>
      </c>
      <c r="BF25" s="14">
        <f t="shared" si="37"/>
        <v>11.948591675101238</v>
      </c>
      <c r="BG25" s="22">
        <f t="shared" si="7"/>
        <v>90.148303834134651</v>
      </c>
      <c r="BH25" s="62">
        <f t="shared" si="8"/>
        <v>383.48163716746797</v>
      </c>
      <c r="BI25" s="62">
        <f ca="1">AVERAGE(OFFSET($BH$3,0,0,'Données projet'!$E$11+1,1))-AVERAGE(OFFSET($H$3,0,0,'Données projet'!$E$11+1,1))</f>
        <v>138.3429338270858</v>
      </c>
      <c r="BJ25" s="62">
        <f t="shared" si="38"/>
        <v>88.30225651635925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</v>
      </c>
      <c r="BY25" s="13">
        <f>IF('Données projet'!$A$114&gt;35,BY24+BX25-CG24,IF(A25&lt;'Données projet'!$A$114,$BV$205^A25,IF(A25='Données projet'!$A$114,'Données projet'!$B$114,BY24+BX25-CG24)))</f>
        <v>44</v>
      </c>
      <c r="BZ25" s="14">
        <f>BY25*VLOOKUP('Données projet'!$B$12,Paramètres!$A$1:$I$89,3,0)*VLOOKUP('Données projet'!$B$12,Paramètres!$A$1:$I$89,5,0)</f>
        <v>37.065600000000003</v>
      </c>
      <c r="CA25" s="14">
        <f t="shared" si="39"/>
        <v>11.217468821382386</v>
      </c>
      <c r="CB25" s="22">
        <f t="shared" si="10"/>
        <v>84.093011530574316</v>
      </c>
      <c r="CC25" s="62">
        <f t="shared" si="11"/>
        <v>377.42634486390762</v>
      </c>
      <c r="CD25" s="62">
        <f ca="1">AVERAGE(OFFSET($CC$3,0,0,'Données projet'!$E$12+1,1))-AVERAGE(OFFSET($H$3,0,0,'Données projet'!$E$12+1,1))</f>
        <v>122.57815304102127</v>
      </c>
      <c r="CE25" s="62">
        <f t="shared" si="40"/>
        <v>80.106609825870578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7.9145000000000021</v>
      </c>
      <c r="CT25" s="13">
        <f>IF('Données projet'!$A$140&gt;35,CT24+CS25-DB24,IF(A25&lt;'Données projet'!$A$140,$CQ$205^A25,IF(A25='Données projet'!$A$140,'Données projet'!$B$140,CT24+CS25-DB24)))</f>
        <v>122.98900000000002</v>
      </c>
      <c r="CU25" s="18">
        <f>CT25*VLOOKUP('Données projet'!$B$13,Paramètres!$A$1:$I$89,3,0)*VLOOKUP('Données projet'!$B$13,Paramètres!$A$1:$I$89,5,0)</f>
        <v>80.582392800000022</v>
      </c>
      <c r="CV25" s="14">
        <f t="shared" si="41"/>
        <v>22.279522026022324</v>
      </c>
      <c r="CW25" s="22">
        <f t="shared" si="13"/>
        <v>179.15116832198888</v>
      </c>
      <c r="CX25" s="62">
        <f t="shared" si="14"/>
        <v>472.48450165532222</v>
      </c>
      <c r="CY25" s="62">
        <f ca="1">AVERAGE(OFFSET($CX$3,0,0,'Données projet'!$E$13+1,1))-AVERAGE(OFFSET($H$3,0,0,'Données projet'!$E$13+1,1))</f>
        <v>199.99826357281154</v>
      </c>
      <c r="CZ25" s="62">
        <f t="shared" si="42"/>
        <v>214.67424457475136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7.9145000000000021</v>
      </c>
      <c r="DO25" s="13">
        <f>IF('Données projet'!$A$166&gt;35,DO24+DN25-DW24,IF(A25&lt;'Données projet'!$A$166,$DL$205^A25,IF(A25='Données projet'!$A$166,'Données projet'!$B$166,DO24+DN25-DW24)))</f>
        <v>122.98900000000002</v>
      </c>
      <c r="DP25" s="18">
        <f>DO25*VLOOKUP('Données projet'!$B$14,Paramètres!$A$1:$I$89,3,0)*VLOOKUP('Données projet'!$B$14,Paramètres!$A$1:$I$89,5,0)</f>
        <v>97.85004840000002</v>
      </c>
      <c r="DQ25" s="14">
        <f t="shared" si="43"/>
        <v>26.449155143192673</v>
      </c>
      <c r="DR25" s="22">
        <f t="shared" si="16"/>
        <v>216.4877795043939</v>
      </c>
      <c r="DS25" s="62">
        <f t="shared" si="17"/>
        <v>509.82111283772724</v>
      </c>
      <c r="DT25" s="62">
        <f ca="1">AVERAGE(OFFSET($DS$3,0,0,'Données projet'!$E$14+1,1))-AVERAGE(OFFSET($H$3,0,0,'Données projet'!$E$14+1,1))</f>
        <v>248.15263300983543</v>
      </c>
      <c r="DU25" s="62">
        <f t="shared" si="44"/>
        <v>266.46511459244618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7.9145000000000021</v>
      </c>
      <c r="EJ25" s="13">
        <f>IF('Données projet'!$A$192&gt;35,EJ24+EI25-ER24,IF(A25&lt;'Données projet'!$A$192,$EG$205^A25,IF(A25='Données projet'!$A$192,'Données projet'!$B$192,EJ24+EI25-ER24)))</f>
        <v>122.98900000000002</v>
      </c>
      <c r="EK25" s="18">
        <f>EJ25*VLOOKUP('Données projet'!$B$15,Paramètres!$A$1:$I$89,3,0)*VLOOKUP('Données projet'!$B$15,Paramètres!$A$1:$I$89,5,0)</f>
        <v>82.501021200000011</v>
      </c>
      <c r="EL25" s="14">
        <f t="shared" si="45"/>
        <v>22.747596905485395</v>
      </c>
      <c r="EM25" s="22">
        <f t="shared" si="19"/>
        <v>183.30800986705376</v>
      </c>
      <c r="EN25" s="62">
        <f t="shared" si="20"/>
        <v>476.64134320038704</v>
      </c>
      <c r="EO25" s="62">
        <f ca="1">AVERAGE(OFFSET($EN$3,0,0,'Données projet'!$E$15+1,1))-AVERAGE(OFFSET($H$3,0,0,'Données projet'!$E$15+1,1))</f>
        <v>205.35893113421139</v>
      </c>
      <c r="EP25" s="62">
        <f t="shared" si="46"/>
        <v>220.4399811285175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28.833333333333332</v>
      </c>
      <c r="N26" s="14">
        <f>IF('Données projet'!$A$36&gt;35,N25+M26-V25,IF(A26&lt;'Données projet'!$A$36,$K$205^A26,IF(A26='Données projet'!$A$36,'Données projet'!$B$36,N25+M26-V25)))</f>
        <v>277.33333333333337</v>
      </c>
      <c r="O26" s="14">
        <f>N26*VLOOKUP('Données projet'!$B$9,Paramètres!$A$1:$I$89,3,0)*VLOOKUP('Données projet'!$B$9,Paramètres!$A$1:$I$89,5,0)</f>
        <v>155.02933333333334</v>
      </c>
      <c r="P26" s="14">
        <f t="shared" si="33"/>
        <v>39.719316712120367</v>
      </c>
      <c r="Q26" s="22">
        <f t="shared" si="2"/>
        <v>339.1872321624985</v>
      </c>
      <c r="R26" s="62">
        <f t="shared" si="0"/>
        <v>632.52056549583176</v>
      </c>
      <c r="S26" s="62">
        <f ca="1">AVERAGE(OFFSET($R$3,0,0,'Données projet'!$E$9+1,1))-AVERAGE(OFFSET($H$3,0,0,'Données projet'!$E$9+1,1))</f>
        <v>382.55387448074327</v>
      </c>
      <c r="T26" s="62">
        <f t="shared" si="34"/>
        <v>476.29465646955543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23.613333333333333</v>
      </c>
      <c r="AI26" s="14">
        <f>IF('Données projet'!$A$62&gt;35,AI25+AH26-AQ25,IF(A26&lt;'Données projet'!$A$62,$AF$205^A26,IF(A26='Données projet'!$A$62,'Données projet'!$B$62,AI25+AH26-AQ25)))</f>
        <v>348.62666666666667</v>
      </c>
      <c r="AJ26" s="14">
        <f>AI26*VLOOKUP('Données projet'!$B$10,Paramètres!$A$1:$I$89,3,0)*VLOOKUP('Données projet'!$B$10,Paramètres!$A$1:$I$89,5,0)</f>
        <v>217.54304000000002</v>
      </c>
      <c r="AK26" s="14">
        <f t="shared" si="35"/>
        <v>53.580529059546038</v>
      </c>
      <c r="AL26" s="22">
        <f t="shared" si="4"/>
        <v>472.20688277870948</v>
      </c>
      <c r="AM26" s="62">
        <f t="shared" si="5"/>
        <v>765.5402161120428</v>
      </c>
      <c r="AN26" s="62">
        <f ca="1">AVERAGE(OFFSET($AM$3,0,0,'Données projet'!$E$10+1,1))-AVERAGE(OFFSET($H$3,0,0,'Données projet'!$E$10+1,1))</f>
        <v>420.68062999212015</v>
      </c>
      <c r="AO26" s="62">
        <f t="shared" si="36"/>
        <v>655.24090633185676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</v>
      </c>
      <c r="BD26" s="13">
        <f>IF('Données projet'!$A$88&gt;35,BD25+BC26-BL25,IF(A26&lt;'Données projet'!$A$88,$BA$205^A26,IF(A26='Données projet'!$A$88,'Données projet'!$B$88,BD25+BC26-BL25)))</f>
        <v>46</v>
      </c>
      <c r="BE26" s="14">
        <f>BD26*VLOOKUP('Données projet'!$B$11,Paramètres!$A$1:$I$89,3,0)*VLOOKUP('Données projet'!$B$11,Paramètres!$A$1:$I$89,5,0)</f>
        <v>41.620800000000003</v>
      </c>
      <c r="BF26" s="14">
        <f t="shared" si="37"/>
        <v>12.427241987862391</v>
      </c>
      <c r="BG26" s="22">
        <f t="shared" si="7"/>
        <v>94.133673128860323</v>
      </c>
      <c r="BH26" s="62">
        <f t="shared" si="8"/>
        <v>387.46700646219364</v>
      </c>
      <c r="BI26" s="62">
        <f ca="1">AVERAGE(OFFSET($BH$3,0,0,'Données projet'!$E$11+1,1))-AVERAGE(OFFSET($H$3,0,0,'Données projet'!$E$11+1,1))</f>
        <v>138.3429338270858</v>
      </c>
      <c r="BJ26" s="62">
        <f t="shared" si="38"/>
        <v>88.30225651635925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</v>
      </c>
      <c r="BY26" s="13">
        <f>IF('Données projet'!$A$114&gt;35,BY25+BX26-CG25,IF(A26&lt;'Données projet'!$A$114,$BV$205^A26,IF(A26='Données projet'!$A$114,'Données projet'!$B$114,BY25+BX26-CG25)))</f>
        <v>46</v>
      </c>
      <c r="BZ26" s="14">
        <f>BY26*VLOOKUP('Données projet'!$B$12,Paramètres!$A$1:$I$89,3,0)*VLOOKUP('Données projet'!$B$12,Paramètres!$A$1:$I$89,5,0)</f>
        <v>38.750400000000006</v>
      </c>
      <c r="CA26" s="14">
        <f t="shared" si="39"/>
        <v>11.666830981019308</v>
      </c>
      <c r="CB26" s="22">
        <f t="shared" si="10"/>
        <v>87.810010625275297</v>
      </c>
      <c r="CC26" s="62">
        <f t="shared" si="11"/>
        <v>381.14334395860863</v>
      </c>
      <c r="CD26" s="62">
        <f ca="1">AVERAGE(OFFSET($CC$3,0,0,'Données projet'!$E$12+1,1))-AVERAGE(OFFSET($H$3,0,0,'Données projet'!$E$12+1,1))</f>
        <v>122.57815304102127</v>
      </c>
      <c r="CE26" s="62">
        <f t="shared" si="40"/>
        <v>80.106609825870578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7.9145000000000021</v>
      </c>
      <c r="CT26" s="13">
        <f>IF('Données projet'!$A$140&gt;35,CT25+CS26-DB25,IF(A26&lt;'Données projet'!$A$140,$CQ$205^A26,IF(A26='Données projet'!$A$140,'Données projet'!$B$140,CT25+CS26-DB25)))</f>
        <v>130.90350000000001</v>
      </c>
      <c r="CU26" s="18">
        <f>CT26*VLOOKUP('Données projet'!$B$13,Paramètres!$A$1:$I$89,3,0)*VLOOKUP('Données projet'!$B$13,Paramètres!$A$1:$I$89,5,0)</f>
        <v>85.7679732</v>
      </c>
      <c r="CV26" s="14">
        <f t="shared" si="41"/>
        <v>23.541718646377461</v>
      </c>
      <c r="CW26" s="22">
        <f t="shared" si="13"/>
        <v>190.38104663244076</v>
      </c>
      <c r="CX26" s="62">
        <f t="shared" si="14"/>
        <v>483.71437996577407</v>
      </c>
      <c r="CY26" s="62">
        <f ca="1">AVERAGE(OFFSET($CX$3,0,0,'Données projet'!$E$13+1,1))-AVERAGE(OFFSET($H$3,0,0,'Données projet'!$E$13+1,1))</f>
        <v>199.99826357281154</v>
      </c>
      <c r="CZ26" s="62">
        <f t="shared" si="42"/>
        <v>214.67424457475136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7.9145000000000021</v>
      </c>
      <c r="DO26" s="13">
        <f>IF('Données projet'!$A$166&gt;35,DO25+DN26-DW25,IF(A26&lt;'Données projet'!$A$166,$DL$205^A26,IF(A26='Données projet'!$A$166,'Données projet'!$B$166,DO25+DN26-DW25)))</f>
        <v>130.90350000000001</v>
      </c>
      <c r="DP26" s="18">
        <f>DO26*VLOOKUP('Données projet'!$B$14,Paramètres!$A$1:$I$89,3,0)*VLOOKUP('Données projet'!$B$14,Paramètres!$A$1:$I$89,5,0)</f>
        <v>104.1468246</v>
      </c>
      <c r="DQ26" s="14">
        <f t="shared" si="43"/>
        <v>27.947573026394743</v>
      </c>
      <c r="DR26" s="22">
        <f t="shared" si="16"/>
        <v>230.06440919930415</v>
      </c>
      <c r="DS26" s="62">
        <f t="shared" si="17"/>
        <v>523.39774253263749</v>
      </c>
      <c r="DT26" s="62">
        <f ca="1">AVERAGE(OFFSET($DS$3,0,0,'Données projet'!$E$14+1,1))-AVERAGE(OFFSET($H$3,0,0,'Données projet'!$E$14+1,1))</f>
        <v>248.15263300983543</v>
      </c>
      <c r="DU26" s="62">
        <f t="shared" si="44"/>
        <v>266.46511459244618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7.9145000000000021</v>
      </c>
      <c r="EJ26" s="13">
        <f>IF('Données projet'!$A$192&gt;35,EJ25+EI26-ER25,IF(A26&lt;'Données projet'!$A$192,$EG$205^A26,IF(A26='Données projet'!$A$192,'Données projet'!$B$192,EJ25+EI26-ER25)))</f>
        <v>130.90350000000001</v>
      </c>
      <c r="EK26" s="18">
        <f>EJ26*VLOOKUP('Données projet'!$B$15,Paramètres!$A$1:$I$89,3,0)*VLOOKUP('Données projet'!$B$15,Paramètres!$A$1:$I$89,5,0)</f>
        <v>87.810067799999999</v>
      </c>
      <c r="EL26" s="14">
        <f t="shared" si="45"/>
        <v>24.036311263978781</v>
      </c>
      <c r="EM26" s="22">
        <f t="shared" si="19"/>
        <v>194.79911020309638</v>
      </c>
      <c r="EN26" s="62">
        <f t="shared" si="20"/>
        <v>488.13244353642972</v>
      </c>
      <c r="EO26" s="62">
        <f ca="1">AVERAGE(OFFSET($EN$3,0,0,'Données projet'!$E$15+1,1))-AVERAGE(OFFSET($H$3,0,0,'Données projet'!$E$15+1,1))</f>
        <v>205.35893113421139</v>
      </c>
      <c r="EP26" s="62">
        <f t="shared" si="46"/>
        <v>220.4399811285175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28.833333333333332</v>
      </c>
      <c r="N27" s="14">
        <f>IF('Données projet'!$A$36&gt;35,N26+M27-V26,IF(A27&lt;'Données projet'!$A$36,$K$205^A27,IF(A27='Données projet'!$A$36,'Données projet'!$B$36,N26+M27-V26)))</f>
        <v>306.16666666666669</v>
      </c>
      <c r="O27" s="14">
        <f>N27*VLOOKUP('Données projet'!$B$9,Paramètres!$A$1:$I$89,3,0)*VLOOKUP('Données projet'!$B$9,Paramètres!$A$1:$I$89,5,0)</f>
        <v>171.14716666666669</v>
      </c>
      <c r="P27" s="14">
        <f t="shared" si="33"/>
        <v>43.346850105371793</v>
      </c>
      <c r="Q27" s="22">
        <f t="shared" si="2"/>
        <v>373.57707921130037</v>
      </c>
      <c r="R27" s="62">
        <f t="shared" si="0"/>
        <v>666.91041254463369</v>
      </c>
      <c r="S27" s="62">
        <f ca="1">AVERAGE(OFFSET($R$3,0,0,'Données projet'!$E$9+1,1))-AVERAGE(OFFSET($H$3,0,0,'Données projet'!$E$9+1,1))</f>
        <v>382.55387448074327</v>
      </c>
      <c r="T27" s="62">
        <f t="shared" si="34"/>
        <v>476.29465646955543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>
        <f>VLOOKUP(A27,'Données projet'!$A$61:$I$81,2,0)</f>
        <v>372.24</v>
      </c>
      <c r="AG27" s="13">
        <f>VLOOKUP(A27,'Données projet'!$A$61:$I$81,9,0)</f>
        <v>23.613333333333333</v>
      </c>
      <c r="AH27" s="13">
        <f t="array" ref="AH27">INDEX(AG:AG,MIN(IF(ISNUMBER(AG27:AG223),ROW(AG27:AG223),"")))</f>
        <v>23.613333333333333</v>
      </c>
      <c r="AI27" s="14">
        <f>IF('Données projet'!$A$62&gt;35,AI26+AH27-AQ26,IF(A27&lt;'Données projet'!$A$62,$AF$205^A27,IF(A27='Données projet'!$A$62,'Données projet'!$B$62,AI26+AH27-AQ26)))</f>
        <v>372.24</v>
      </c>
      <c r="AJ27" s="14">
        <f>AI27*VLOOKUP('Données projet'!$B$10,Paramètres!$A$1:$I$89,3,0)*VLOOKUP('Données projet'!$B$10,Paramètres!$A$1:$I$89,5,0)</f>
        <v>232.27776</v>
      </c>
      <c r="AK27" s="14">
        <f t="shared" si="35"/>
        <v>56.774903671650712</v>
      </c>
      <c r="AL27" s="22">
        <f t="shared" si="4"/>
        <v>503.43338922812495</v>
      </c>
      <c r="AM27" s="62">
        <f t="shared" si="5"/>
        <v>796.76672256145821</v>
      </c>
      <c r="AN27" s="62">
        <f ca="1">AVERAGE(OFFSET($AM$3,0,0,'Données projet'!$E$10+1,1))-AVERAGE(OFFSET($H$3,0,0,'Données projet'!$E$10+1,1))</f>
        <v>420.68062999212015</v>
      </c>
      <c r="AO27" s="62">
        <f t="shared" si="36"/>
        <v>655.24090633185676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0.42</v>
      </c>
      <c r="AS27" s="17">
        <f>IF(ISNA(VLOOKUP(A27,'Données projet'!$A$61:$I$81,6,0)),0%,VLOOKUP(A27,'Données projet'!$A$61:$I$81,6,0)*VLOOKUP('Données projet'!$B$10,Paramètres!$A$1:$I$89,7,0))</f>
        <v>0.1008</v>
      </c>
      <c r="AT27" s="17">
        <f>IF(ISNA(VLOOKUP(A27,'Données projet'!$A$61:$I$81,7,0)),0%,VLOOKUP(A27,'Données projet'!$A$61:$I$81,7,0))</f>
        <v>0.13200000000000001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</v>
      </c>
      <c r="BD27" s="13">
        <f>IF('Données projet'!$A$88&gt;35,BD26+BC27-BL26,IF(A27&lt;'Données projet'!$A$88,$BA$205^A27,IF(A27='Données projet'!$A$88,'Données projet'!$B$88,BD26+BC27-BL26)))</f>
        <v>48</v>
      </c>
      <c r="BE27" s="14">
        <f>BD27*VLOOKUP('Données projet'!$B$11,Paramètres!$A$1:$I$89,3,0)*VLOOKUP('Données projet'!$B$11,Paramètres!$A$1:$I$89,5,0)</f>
        <v>43.430399999999999</v>
      </c>
      <c r="BF27" s="14">
        <f t="shared" si="37"/>
        <v>12.903475229013621</v>
      </c>
      <c r="BG27" s="22">
        <f t="shared" si="7"/>
        <v>98.114832690532054</v>
      </c>
      <c r="BH27" s="62">
        <f t="shared" si="8"/>
        <v>391.44816602386538</v>
      </c>
      <c r="BI27" s="62">
        <f ca="1">AVERAGE(OFFSET($BH$3,0,0,'Données projet'!$E$11+1,1))-AVERAGE(OFFSET($H$3,0,0,'Données projet'!$E$11+1,1))</f>
        <v>138.3429338270858</v>
      </c>
      <c r="BJ27" s="62">
        <f t="shared" si="38"/>
        <v>88.30225651635925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</v>
      </c>
      <c r="BY27" s="13">
        <f>IF('Données projet'!$A$114&gt;35,BY26+BX27-CG26,IF(A27&lt;'Données projet'!$A$114,$BV$205^A27,IF(A27='Données projet'!$A$114,'Données projet'!$B$114,BY26+BX27-CG26)))</f>
        <v>48</v>
      </c>
      <c r="BZ27" s="14">
        <f>BY27*VLOOKUP('Données projet'!$B$12,Paramètres!$A$1:$I$89,3,0)*VLOOKUP('Données projet'!$B$12,Paramètres!$A$1:$I$89,5,0)</f>
        <v>40.435200000000002</v>
      </c>
      <c r="CA27" s="14">
        <f t="shared" si="39"/>
        <v>12.113923967337671</v>
      </c>
      <c r="CB27" s="22">
        <f t="shared" si="10"/>
        <v>91.523057576446433</v>
      </c>
      <c r="CC27" s="62">
        <f t="shared" si="11"/>
        <v>384.85639090977975</v>
      </c>
      <c r="CD27" s="62">
        <f ca="1">AVERAGE(OFFSET($CC$3,0,0,'Données projet'!$E$12+1,1))-AVERAGE(OFFSET($H$3,0,0,'Données projet'!$E$12+1,1))</f>
        <v>122.57815304102127</v>
      </c>
      <c r="CE27" s="62">
        <f t="shared" si="40"/>
        <v>80.106609825870578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7.9145000000000021</v>
      </c>
      <c r="CT27" s="13">
        <f>IF('Données projet'!$A$140&gt;35,CT26+CS27-DB26,IF(A27&lt;'Données projet'!$A$140,$CQ$205^A27,IF(A27='Données projet'!$A$140,'Données projet'!$B$140,CT26+CS27-DB26)))</f>
        <v>138.81800000000001</v>
      </c>
      <c r="CU27" s="18">
        <f>CT27*VLOOKUP('Données projet'!$B$13,Paramètres!$A$1:$I$89,3,0)*VLOOKUP('Données projet'!$B$13,Paramètres!$A$1:$I$89,5,0)</f>
        <v>90.953553600000006</v>
      </c>
      <c r="CV27" s="14">
        <f t="shared" si="41"/>
        <v>24.795057907439027</v>
      </c>
      <c r="CW27" s="22">
        <f t="shared" si="13"/>
        <v>201.59549837545629</v>
      </c>
      <c r="CX27" s="62">
        <f t="shared" si="14"/>
        <v>494.92883170878963</v>
      </c>
      <c r="CY27" s="62">
        <f ca="1">AVERAGE(OFFSET($CX$3,0,0,'Données projet'!$E$13+1,1))-AVERAGE(OFFSET($H$3,0,0,'Données projet'!$E$13+1,1))</f>
        <v>199.99826357281154</v>
      </c>
      <c r="CZ27" s="62">
        <f t="shared" si="42"/>
        <v>214.67424457475136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7.9145000000000021</v>
      </c>
      <c r="DO27" s="13">
        <f>IF('Données projet'!$A$166&gt;35,DO26+DN27-DW26,IF(A27&lt;'Données projet'!$A$166,$DL$205^A27,IF(A27='Données projet'!$A$166,'Données projet'!$B$166,DO26+DN27-DW26)))</f>
        <v>138.81800000000001</v>
      </c>
      <c r="DP27" s="18">
        <f>DO27*VLOOKUP('Données projet'!$B$14,Paramètres!$A$1:$I$89,3,0)*VLOOKUP('Données projet'!$B$14,Paramètres!$A$1:$I$89,5,0)</f>
        <v>110.44360080000003</v>
      </c>
      <c r="DQ27" s="14">
        <f t="shared" si="43"/>
        <v>29.435475887333745</v>
      </c>
      <c r="DR27" s="22">
        <f t="shared" si="16"/>
        <v>243.62272523043964</v>
      </c>
      <c r="DS27" s="62">
        <f t="shared" si="17"/>
        <v>536.95605856377301</v>
      </c>
      <c r="DT27" s="62">
        <f ca="1">AVERAGE(OFFSET($DS$3,0,0,'Données projet'!$E$14+1,1))-AVERAGE(OFFSET($H$3,0,0,'Données projet'!$E$14+1,1))</f>
        <v>248.15263300983543</v>
      </c>
      <c r="DU27" s="62">
        <f t="shared" si="44"/>
        <v>266.46511459244618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7.9145000000000021</v>
      </c>
      <c r="EJ27" s="13">
        <f>IF('Données projet'!$A$192&gt;35,EJ26+EI27-ER26,IF(A27&lt;'Données projet'!$A$192,$EG$205^A27,IF(A27='Données projet'!$A$192,'Données projet'!$B$192,EJ26+EI27-ER26)))</f>
        <v>138.81800000000001</v>
      </c>
      <c r="EK27" s="18">
        <f>EJ27*VLOOKUP('Données projet'!$B$15,Paramètres!$A$1:$I$89,3,0)*VLOOKUP('Données projet'!$B$15,Paramètres!$A$1:$I$89,5,0)</f>
        <v>93.119114400000001</v>
      </c>
      <c r="EL27" s="14">
        <f t="shared" si="45"/>
        <v>25.315982177167477</v>
      </c>
      <c r="EM27" s="22">
        <f t="shared" si="19"/>
        <v>206.27445987190004</v>
      </c>
      <c r="EN27" s="62">
        <f t="shared" si="20"/>
        <v>499.60779320523335</v>
      </c>
      <c r="EO27" s="62">
        <f ca="1">AVERAGE(OFFSET($EN$3,0,0,'Données projet'!$E$15+1,1))-AVERAGE(OFFSET($H$3,0,0,'Données projet'!$E$15+1,1))</f>
        <v>205.35893113421139</v>
      </c>
      <c r="EP27" s="62">
        <f t="shared" si="46"/>
        <v>220.4399811285175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335</v>
      </c>
      <c r="L28" s="13">
        <f>VLOOKUP(A28,'Données projet'!$A$35:$I$55,9,0)</f>
        <v>28.833333333333332</v>
      </c>
      <c r="M28" s="13">
        <f t="array" ref="M28">INDEX(L:L,MIN(IF(ISNUMBER(L28:L224),ROW(L28:L224),"")))</f>
        <v>28.833333333333332</v>
      </c>
      <c r="N28" s="14">
        <f>IF('Données projet'!$A$36&gt;35,N27+M28-V27,IF(A28&lt;'Données projet'!$A$36,$K$205^A28,IF(A28='Données projet'!$A$36,'Données projet'!$B$36,N27+M28-V27)))</f>
        <v>335</v>
      </c>
      <c r="O28" s="14">
        <f>N28*VLOOKUP('Données projet'!$B$9,Paramètres!$A$1:$I$89,3,0)*VLOOKUP('Données projet'!$B$9,Paramètres!$A$1:$I$89,5,0)</f>
        <v>187.26500000000001</v>
      </c>
      <c r="P28" s="14">
        <f t="shared" si="33"/>
        <v>46.934773872544483</v>
      </c>
      <c r="Q28" s="22">
        <f t="shared" si="2"/>
        <v>407.89793949468162</v>
      </c>
      <c r="R28" s="62">
        <f t="shared" si="0"/>
        <v>701.23127282801488</v>
      </c>
      <c r="S28" s="62">
        <f ca="1">AVERAGE(OFFSET($R$3,0,0,'Données projet'!$E$9+1,1))-AVERAGE(OFFSET($H$3,0,0,'Données projet'!$E$9+1,1))</f>
        <v>382.55387448074327</v>
      </c>
      <c r="T28" s="62">
        <f t="shared" si="34"/>
        <v>476.29465646955543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0.30800000000000005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12.284890293662819</v>
      </c>
      <c r="AB28" s="23">
        <f>EXP(-LN(2)/2)*AB27+(1-EXP(-LN(2)/2))/(LN(2)/2)*V28*Y28*VLOOKUP('Données projet'!$B$9,Paramètres!$A$1:$I$89,3,0)*0.475*44/12</f>
        <v>15.038128218578914</v>
      </c>
      <c r="AC28" s="24">
        <f t="shared" si="3"/>
        <v>27.323018512241731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23.466666666666658</v>
      </c>
      <c r="AI28" s="14">
        <f>IF('Données projet'!$A$62&gt;35,AI27+AH28-AQ27,IF(A28&lt;'Données projet'!$A$62,$AF$205^A28,IF(A28='Données projet'!$A$62,'Données projet'!$B$62,AI27+AH28-AQ27)))</f>
        <v>395.70666666666665</v>
      </c>
      <c r="AJ28" s="14">
        <f>AI28*VLOOKUP('Données projet'!$B$10,Paramètres!$A$1:$I$89,3,0)*VLOOKUP('Données projet'!$B$10,Paramètres!$A$1:$I$89,5,0)</f>
        <v>246.92095999999998</v>
      </c>
      <c r="AK28" s="14">
        <f t="shared" si="35"/>
        <v>59.926135989460228</v>
      </c>
      <c r="AL28" s="22">
        <f t="shared" si="4"/>
        <v>534.42535884830988</v>
      </c>
      <c r="AM28" s="62">
        <f t="shared" si="5"/>
        <v>827.75869218164326</v>
      </c>
      <c r="AN28" s="62">
        <f ca="1">AVERAGE(OFFSET($AM$3,0,0,'Données projet'!$E$10+1,1))-AVERAGE(OFFSET($H$3,0,0,'Données projet'!$E$10+1,1))</f>
        <v>420.68062999212015</v>
      </c>
      <c r="AO28" s="62">
        <f t="shared" si="36"/>
        <v>655.24090633185676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</v>
      </c>
      <c r="BD28" s="13">
        <f>IF('Données projet'!$A$88&gt;35,BD27+BC28-BL27,IF(A28&lt;'Données projet'!$A$88,$BA$205^A28,IF(A28='Données projet'!$A$88,'Données projet'!$B$88,BD27+BC28-BL27)))</f>
        <v>50</v>
      </c>
      <c r="BE28" s="14">
        <f>BD28*VLOOKUP('Données projet'!$B$11,Paramètres!$A$1:$I$89,3,0)*VLOOKUP('Données projet'!$B$11,Paramètres!$A$1:$I$89,5,0)</f>
        <v>45.239999999999995</v>
      </c>
      <c r="BF28" s="14">
        <f t="shared" si="37"/>
        <v>13.377403626687906</v>
      </c>
      <c r="BG28" s="22">
        <f t="shared" si="7"/>
        <v>102.09197798314808</v>
      </c>
      <c r="BH28" s="62">
        <f t="shared" si="8"/>
        <v>395.42531131648138</v>
      </c>
      <c r="BI28" s="62">
        <f ca="1">AVERAGE(OFFSET($BH$3,0,0,'Données projet'!$E$11+1,1))-AVERAGE(OFFSET($H$3,0,0,'Données projet'!$E$11+1,1))</f>
        <v>138.3429338270858</v>
      </c>
      <c r="BJ28" s="62">
        <f t="shared" si="38"/>
        <v>88.30225651635925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</v>
      </c>
      <c r="BY28" s="13">
        <f>IF('Données projet'!$A$114&gt;35,BY27+BX28-CG27,IF(A28&lt;'Données projet'!$A$114,$BV$205^A28,IF(A28='Données projet'!$A$114,'Données projet'!$B$114,BY27+BX28-CG27)))</f>
        <v>50</v>
      </c>
      <c r="BZ28" s="14">
        <f>BY28*VLOOKUP('Données projet'!$B$12,Paramètres!$A$1:$I$89,3,0)*VLOOKUP('Données projet'!$B$12,Paramètres!$A$1:$I$89,5,0)</f>
        <v>42.120000000000005</v>
      </c>
      <c r="CA28" s="14">
        <f t="shared" si="39"/>
        <v>12.558853141338753</v>
      </c>
      <c r="CB28" s="22">
        <f t="shared" si="10"/>
        <v>95.232335887831667</v>
      </c>
      <c r="CC28" s="62">
        <f t="shared" si="11"/>
        <v>388.56566922116497</v>
      </c>
      <c r="CD28" s="62">
        <f ca="1">AVERAGE(OFFSET($CC$3,0,0,'Données projet'!$E$12+1,1))-AVERAGE(OFFSET($H$3,0,0,'Données projet'!$E$12+1,1))</f>
        <v>122.57815304102127</v>
      </c>
      <c r="CE28" s="62">
        <f t="shared" si="40"/>
        <v>80.106609825870578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146.73250000000002</v>
      </c>
      <c r="CR28" s="13">
        <f>VLOOKUP(A28,'Données projet'!$A$139:$I$159,9,0)</f>
        <v>7.9145000000000021</v>
      </c>
      <c r="CS28" s="13">
        <f t="array" ref="CS28">INDEX(CR:CR,MIN(IF(ISNUMBER(CR28:CR224),ROW(CR28:CR224),"")))</f>
        <v>7.9145000000000021</v>
      </c>
      <c r="CT28" s="13">
        <f>IF('Données projet'!$A$140&gt;35,CT27+CS28-DB27,IF(A28&lt;'Données projet'!$A$140,$CQ$205^A28,IF(A28='Données projet'!$A$140,'Données projet'!$B$140,CT27+CS28-DB27)))</f>
        <v>146.73250000000002</v>
      </c>
      <c r="CU28" s="18">
        <f>CT28*VLOOKUP('Données projet'!$B$13,Paramètres!$A$1:$I$89,3,0)*VLOOKUP('Données projet'!$B$13,Paramètres!$A$1:$I$89,5,0)</f>
        <v>96.139134000000013</v>
      </c>
      <c r="CV28" s="14">
        <f t="shared" si="41"/>
        <v>26.040102338896133</v>
      </c>
      <c r="CW28" s="22">
        <f t="shared" si="13"/>
        <v>212.79550329024411</v>
      </c>
      <c r="CX28" s="62">
        <f t="shared" si="14"/>
        <v>506.1288366235774</v>
      </c>
      <c r="CY28" s="62">
        <f ca="1">AVERAGE(OFFSET($CX$3,0,0,'Données projet'!$E$13+1,1))-AVERAGE(OFFSET($H$3,0,0,'Données projet'!$E$13+1,1))</f>
        <v>199.99826357281154</v>
      </c>
      <c r="CZ28" s="62">
        <f t="shared" si="42"/>
        <v>214.67424457475136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24.455416666666672</v>
      </c>
      <c r="DC28" s="17">
        <f>IF(ISNA(VLOOKUP(A28,'Données projet'!$A$139:$I$159,5,0)),0%,VLOOKUP(A28,'Données projet'!$A$139:$I$159,5,0)*VLOOKUP('Données projet'!$B$13,Paramètres!$A$1:$I$89,7,0))</f>
        <v>0.30099999999999999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5.331661408372617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5.331661408372617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146.73250000000002</v>
      </c>
      <c r="DM28" s="13">
        <f>VLOOKUP(A28,'Données projet'!$A$165:$I$185,9,0)</f>
        <v>7.9145000000000021</v>
      </c>
      <c r="DN28" s="13">
        <f t="array" ref="DN28">INDEX(DM:DM,MIN(IF(ISNUMBER(DM28:DM224),ROW(DM28:DM224),"")))</f>
        <v>7.9145000000000021</v>
      </c>
      <c r="DO28" s="13">
        <f>IF('Données projet'!$A$166&gt;35,DO27+DN28-DW27,IF(A28&lt;'Données projet'!$A$166,$DL$205^A28,IF(A28='Données projet'!$A$166,'Données projet'!$B$166,DO27+DN28-DW27)))</f>
        <v>146.73250000000002</v>
      </c>
      <c r="DP28" s="18">
        <f>DO28*VLOOKUP('Données projet'!$B$14,Paramètres!$A$1:$I$89,3,0)*VLOOKUP('Données projet'!$B$14,Paramètres!$A$1:$I$89,5,0)</f>
        <v>116.74037700000002</v>
      </c>
      <c r="DQ28" s="14">
        <f t="shared" si="43"/>
        <v>30.913531533649412</v>
      </c>
      <c r="DR28" s="22">
        <f t="shared" si="16"/>
        <v>257.16389069610608</v>
      </c>
      <c r="DS28" s="62">
        <f t="shared" si="17"/>
        <v>550.49722402943939</v>
      </c>
      <c r="DT28" s="62">
        <f ca="1">AVERAGE(OFFSET($DS$3,0,0,'Données projet'!$E$14+1,1))-AVERAGE(OFFSET($H$3,0,0,'Données projet'!$E$14+1,1))</f>
        <v>248.15263300983543</v>
      </c>
      <c r="DU28" s="62">
        <f t="shared" si="44"/>
        <v>266.46511459244618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24.455416666666672</v>
      </c>
      <c r="DX28" s="17">
        <f>IF(ISNA(VLOOKUP(A28,'Données projet'!$A$165:$I$185,5,0)),0%,VLOOKUP(A28,'Données projet'!$A$165:$I$185,5,0)*VLOOKUP('Données projet'!$B$14,Paramètres!$A$1:$I$89,7,0))</f>
        <v>0.371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7.9797789517337661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7.9797789517337661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146.73250000000002</v>
      </c>
      <c r="EH28" s="13">
        <f>VLOOKUP(A28,'Données projet'!$A$191:$I$211,9,0)</f>
        <v>7.9145000000000021</v>
      </c>
      <c r="EI28" s="13">
        <f t="array" ref="EI28">INDEX(EH:EH,MIN(IF(ISNUMBER(EH28:EH224),ROW(EH28:EH224),"")))</f>
        <v>7.9145000000000021</v>
      </c>
      <c r="EJ28" s="13">
        <f>IF('Données projet'!$A$192&gt;35,EJ27+EI28-ER27,IF(A28&lt;'Données projet'!$A$192,$EG$205^A28,IF(A28='Données projet'!$A$192,'Données projet'!$B$192,EJ27+EI28-ER27)))</f>
        <v>146.73250000000002</v>
      </c>
      <c r="EK28" s="18">
        <f>EJ28*VLOOKUP('Données projet'!$B$15,Paramètres!$A$1:$I$89,3,0)*VLOOKUP('Données projet'!$B$15,Paramètres!$A$1:$I$89,5,0)</f>
        <v>98.428161000000017</v>
      </c>
      <c r="EL28" s="14">
        <f t="shared" si="45"/>
        <v>26.587183993037939</v>
      </c>
      <c r="EM28" s="22">
        <f t="shared" si="19"/>
        <v>217.73505919620777</v>
      </c>
      <c r="EN28" s="62">
        <f t="shared" si="20"/>
        <v>511.06839252954109</v>
      </c>
      <c r="EO28" s="62">
        <f ca="1">AVERAGE(OFFSET($EN$3,0,0,'Données projet'!$E$15+1,1))-AVERAGE(OFFSET($H$3,0,0,'Données projet'!$E$15+1,1))</f>
        <v>205.35893113421139</v>
      </c>
      <c r="EP28" s="62">
        <f t="shared" si="46"/>
        <v>220.4399811285175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24.455416666666672</v>
      </c>
      <c r="ES28" s="17">
        <f>IF(ISNA(VLOOKUP(A28,'Données projet'!$A$191:$I$211,5,0)),0%,VLOOKUP(A28,'Données projet'!$A$191:$I$211,5,0)*VLOOKUP('Données projet'!$B$15,Paramètres!$A$1:$I$89,7,0))</f>
        <v>0.371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6.7280489200892548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6.7280489200892548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28</v>
      </c>
      <c r="N29" s="14">
        <f>IF('Données projet'!$A$36&gt;35,N28+M29-V28,IF(A29&lt;'Données projet'!$A$36,$K$205^A29,IF(A29='Données projet'!$A$36,'Données projet'!$B$36,N28+M29-V28)))</f>
        <v>309</v>
      </c>
      <c r="O29" s="14">
        <f>N29*VLOOKUP('Données projet'!$B$9,Paramètres!$A$1:$I$89,3,0)*VLOOKUP('Données projet'!$B$9,Paramètres!$A$1:$I$89,5,0)</f>
        <v>172.73100000000002</v>
      </c>
      <c r="P29" s="14">
        <f t="shared" si="33"/>
        <v>43.701108252019125</v>
      </c>
      <c r="Q29" s="22">
        <f t="shared" si="2"/>
        <v>376.9525885389333</v>
      </c>
      <c r="R29" s="62">
        <f t="shared" si="0"/>
        <v>670.28592187226661</v>
      </c>
      <c r="S29" s="62">
        <f ca="1">AVERAGE(OFFSET($R$3,0,0,'Données projet'!$E$9+1,1))-AVERAGE(OFFSET($H$3,0,0,'Données projet'!$E$9+1,1))</f>
        <v>382.55387448074327</v>
      </c>
      <c r="T29" s="62">
        <f t="shared" si="34"/>
        <v>476.29465646955543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11.948959322548307</v>
      </c>
      <c r="AB29" s="23">
        <f>EXP(-LN(2)/2)*AB28+(1-EXP(-LN(2)/2))/(LN(2)/2)*V29*Y29*VLOOKUP('Données projet'!$B$9,Paramètres!$A$1:$I$89,3,0)*0.475*44/12</f>
        <v>10.633562439709927</v>
      </c>
      <c r="AC29" s="24">
        <f t="shared" si="3"/>
        <v>22.582521762258231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23.466666666666658</v>
      </c>
      <c r="AI29" s="14">
        <f>IF('Données projet'!$A$62&gt;35,AI28+AH29-AQ28,IF(A29&lt;'Données projet'!$A$62,$AF$205^A29,IF(A29='Données projet'!$A$62,'Données projet'!$B$62,AI28+AH29-AQ28)))</f>
        <v>419.17333333333329</v>
      </c>
      <c r="AJ29" s="14">
        <f>AI29*VLOOKUP('Données projet'!$B$10,Paramètres!$A$1:$I$89,3,0)*VLOOKUP('Données projet'!$B$10,Paramètres!$A$1:$I$89,5,0)</f>
        <v>261.56415999999996</v>
      </c>
      <c r="AK29" s="14">
        <f t="shared" si="35"/>
        <v>63.055677180307221</v>
      </c>
      <c r="AL29" s="22">
        <f t="shared" si="4"/>
        <v>565.37954975570165</v>
      </c>
      <c r="AM29" s="62">
        <f t="shared" si="5"/>
        <v>858.7128830890349</v>
      </c>
      <c r="AN29" s="62">
        <f ca="1">AVERAGE(OFFSET($AM$3,0,0,'Données projet'!$E$10+1,1))-AVERAGE(OFFSET($H$3,0,0,'Données projet'!$E$10+1,1))</f>
        <v>420.68062999212015</v>
      </c>
      <c r="AO29" s="62">
        <f t="shared" si="36"/>
        <v>655.24090633185676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</v>
      </c>
      <c r="BD29" s="13">
        <f>IF('Données projet'!$A$88&gt;35,BD28+BC29-BL28,IF(A29&lt;'Données projet'!$A$88,$BA$205^A29,IF(A29='Données projet'!$A$88,'Données projet'!$B$88,BD28+BC29-BL28)))</f>
        <v>52</v>
      </c>
      <c r="BE29" s="14">
        <f>BD29*VLOOKUP('Données projet'!$B$11,Paramètres!$A$1:$I$89,3,0)*VLOOKUP('Données projet'!$B$11,Paramètres!$A$1:$I$89,5,0)</f>
        <v>47.049599999999998</v>
      </c>
      <c r="BF29" s="14">
        <f t="shared" si="37"/>
        <v>13.849129922569936</v>
      </c>
      <c r="BG29" s="22">
        <f t="shared" si="7"/>
        <v>106.06528794847596</v>
      </c>
      <c r="BH29" s="62">
        <f t="shared" si="8"/>
        <v>399.39862128180926</v>
      </c>
      <c r="BI29" s="62">
        <f ca="1">AVERAGE(OFFSET($BH$3,0,0,'Données projet'!$E$11+1,1))-AVERAGE(OFFSET($H$3,0,0,'Données projet'!$E$11+1,1))</f>
        <v>138.3429338270858</v>
      </c>
      <c r="BJ29" s="62">
        <f t="shared" si="38"/>
        <v>88.30225651635925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</v>
      </c>
      <c r="BY29" s="13">
        <f>IF('Données projet'!$A$114&gt;35,BY28+BX29-CG28,IF(A29&lt;'Données projet'!$A$114,$BV$205^A29,IF(A29='Données projet'!$A$114,'Données projet'!$B$114,BY28+BX29-CG28)))</f>
        <v>52</v>
      </c>
      <c r="BZ29" s="14">
        <f>BY29*VLOOKUP('Données projet'!$B$12,Paramètres!$A$1:$I$89,3,0)*VLOOKUP('Données projet'!$B$12,Paramètres!$A$1:$I$89,5,0)</f>
        <v>43.804800000000007</v>
      </c>
      <c r="CA29" s="14">
        <f t="shared" si="39"/>
        <v>13.001714958042195</v>
      </c>
      <c r="CB29" s="22">
        <f t="shared" si="10"/>
        <v>98.938013551923504</v>
      </c>
      <c r="CC29" s="62">
        <f t="shared" si="11"/>
        <v>392.27134688525683</v>
      </c>
      <c r="CD29" s="62">
        <f ca="1">AVERAGE(OFFSET($CC$3,0,0,'Données projet'!$E$12+1,1))-AVERAGE(OFFSET($H$3,0,0,'Données projet'!$E$12+1,1))</f>
        <v>122.57815304102127</v>
      </c>
      <c r="CE29" s="62">
        <f t="shared" si="40"/>
        <v>80.106609825870578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9.9205000000000041</v>
      </c>
      <c r="CT29" s="13">
        <f>IF('Données projet'!$A$140&gt;35,CT28+CS29-DB28,IF(A29&lt;'Données projet'!$A$140,$CQ$205^A29,IF(A29='Données projet'!$A$140,'Données projet'!$B$140,CT28+CS29-DB28)))</f>
        <v>132.19758333333334</v>
      </c>
      <c r="CU29" s="18">
        <f>CT29*VLOOKUP('Données projet'!$B$13,Paramètres!$A$1:$I$89,3,0)*VLOOKUP('Données projet'!$B$13,Paramètres!$A$1:$I$89,5,0)</f>
        <v>86.615856600000001</v>
      </c>
      <c r="CV29" s="14">
        <f t="shared" si="41"/>
        <v>23.74723946837636</v>
      </c>
      <c r="CW29" s="22">
        <f t="shared" si="13"/>
        <v>192.21572565242215</v>
      </c>
      <c r="CX29" s="62">
        <f t="shared" si="14"/>
        <v>485.54905898575544</v>
      </c>
      <c r="CY29" s="62">
        <f ca="1">AVERAGE(OFFSET($CX$3,0,0,'Données projet'!$E$13+1,1))-AVERAGE(OFFSET($H$3,0,0,'Données projet'!$E$13+1,1))</f>
        <v>199.99826357281154</v>
      </c>
      <c r="CZ29" s="62">
        <f t="shared" si="42"/>
        <v>214.67424457475136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5.2271107801467815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5.2271107801467815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9.9205000000000041</v>
      </c>
      <c r="DO29" s="13">
        <f>IF('Données projet'!$A$166&gt;35,DO28+DN29-DW28,IF(A29&lt;'Données projet'!$A$166,$DL$205^A29,IF(A29='Données projet'!$A$166,'Données projet'!$B$166,DO28+DN29-DW28)))</f>
        <v>132.19758333333334</v>
      </c>
      <c r="DP29" s="18">
        <f>DO29*VLOOKUP('Données projet'!$B$14,Paramètres!$A$1:$I$89,3,0)*VLOOKUP('Données projet'!$B$14,Paramètres!$A$1:$I$89,5,0)</f>
        <v>105.17639730000002</v>
      </c>
      <c r="DQ29" s="14">
        <f t="shared" si="43"/>
        <v>28.191557259981842</v>
      </c>
      <c r="DR29" s="22">
        <f t="shared" si="16"/>
        <v>232.28252085863505</v>
      </c>
      <c r="DS29" s="62">
        <f t="shared" si="17"/>
        <v>525.61585419196831</v>
      </c>
      <c r="DT29" s="62">
        <f ca="1">AVERAGE(OFFSET($DS$3,0,0,'Données projet'!$E$14+1,1))-AVERAGE(OFFSET($H$3,0,0,'Données projet'!$E$14+1,1))</f>
        <v>248.15263300983543</v>
      </c>
      <c r="DU29" s="62">
        <f t="shared" si="44"/>
        <v>266.46511459244618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7.8233003536748331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7.8233003536748331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9.9205000000000041</v>
      </c>
      <c r="EJ29" s="13">
        <f>IF('Données projet'!$A$192&gt;35,EJ28+EI29-ER28,IF(A29&lt;'Données projet'!$A$192,$EG$205^A29,IF(A29='Données projet'!$A$192,'Données projet'!$B$192,EJ28+EI29-ER28)))</f>
        <v>132.19758333333334</v>
      </c>
      <c r="EK29" s="18">
        <f>EJ29*VLOOKUP('Données projet'!$B$15,Paramètres!$A$1:$I$89,3,0)*VLOOKUP('Données projet'!$B$15,Paramètres!$A$1:$I$89,5,0)</f>
        <v>88.678138900000008</v>
      </c>
      <c r="EL29" s="14">
        <f t="shared" si="45"/>
        <v>24.246149913526793</v>
      </c>
      <c r="EM29" s="22">
        <f t="shared" si="19"/>
        <v>196.67646968355916</v>
      </c>
      <c r="EN29" s="62">
        <f t="shared" si="20"/>
        <v>490.00980301689248</v>
      </c>
      <c r="EO29" s="62">
        <f ca="1">AVERAGE(OFFSET($EN$3,0,0,'Données projet'!$E$15+1,1))-AVERAGE(OFFSET($H$3,0,0,'Données projet'!$E$15+1,1))</f>
        <v>205.35893113421139</v>
      </c>
      <c r="EP29" s="62">
        <f t="shared" si="46"/>
        <v>220.4399811285175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6.5961159844709387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6.5961159844709387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</v>
      </c>
      <c r="N30" s="14">
        <f>IF('Données projet'!$A$36&gt;35,N29+M30-V29,IF(A30&lt;'Données projet'!$A$36,$K$205^A30,IF(A30='Données projet'!$A$36,'Données projet'!$B$36,N29+M30-V29)))</f>
        <v>337</v>
      </c>
      <c r="O30" s="14">
        <f>N30*VLOOKUP('Données projet'!$B$9,Paramètres!$A$1:$I$89,3,0)*VLOOKUP('Données projet'!$B$9,Paramètres!$A$1:$I$89,5,0)</f>
        <v>188.38300000000001</v>
      </c>
      <c r="P30" s="14">
        <f t="shared" si="33"/>
        <v>47.182279474248382</v>
      </c>
      <c r="Q30" s="22">
        <f t="shared" si="2"/>
        <v>410.27619508431599</v>
      </c>
      <c r="R30" s="62">
        <f t="shared" si="0"/>
        <v>703.60952841764924</v>
      </c>
      <c r="S30" s="62">
        <f ca="1">AVERAGE(OFFSET($R$3,0,0,'Données projet'!$E$9+1,1))-AVERAGE(OFFSET($H$3,0,0,'Données projet'!$E$9+1,1))</f>
        <v>382.55387448074327</v>
      </c>
      <c r="T30" s="62">
        <f t="shared" si="34"/>
        <v>476.29465646955543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11.622214401504761</v>
      </c>
      <c r="AB30" s="23">
        <f>EXP(-LN(2)/2)*AB29+(1-EXP(-LN(2)/2))/(LN(2)/2)*V30*Y30*VLOOKUP('Données projet'!$B$9,Paramètres!$A$1:$I$89,3,0)*0.475*44/12</f>
        <v>7.5190641092894577</v>
      </c>
      <c r="AC30" s="24">
        <f t="shared" si="3"/>
        <v>19.141278510794219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23.466666666666658</v>
      </c>
      <c r="AI30" s="14">
        <f>IF('Données projet'!$A$62&gt;35,AI29+AH30-AQ29,IF(A30&lt;'Données projet'!$A$62,$AF$205^A30,IF(A30='Données projet'!$A$62,'Données projet'!$B$62,AI29+AH30-AQ29)))</f>
        <v>442.63999999999993</v>
      </c>
      <c r="AJ30" s="14">
        <f>AI30*VLOOKUP('Données projet'!$B$10,Paramètres!$A$1:$I$89,3,0)*VLOOKUP('Données projet'!$B$10,Paramètres!$A$1:$I$89,5,0)</f>
        <v>276.20735999999994</v>
      </c>
      <c r="AK30" s="14">
        <f t="shared" si="35"/>
        <v>66.164879976242588</v>
      </c>
      <c r="AL30" s="22">
        <f t="shared" si="4"/>
        <v>596.29831795862242</v>
      </c>
      <c r="AM30" s="62">
        <f t="shared" si="5"/>
        <v>889.63165129195568</v>
      </c>
      <c r="AN30" s="62">
        <f ca="1">AVERAGE(OFFSET($AM$3,0,0,'Données projet'!$E$10+1,1))-AVERAGE(OFFSET($H$3,0,0,'Données projet'!$E$10+1,1))</f>
        <v>420.68062999212015</v>
      </c>
      <c r="AO30" s="62">
        <f t="shared" si="36"/>
        <v>655.24090633185676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</v>
      </c>
      <c r="BD30" s="13">
        <f>IF('Données projet'!$A$88&gt;35,BD29+BC30-BL29,IF(A30&lt;'Données projet'!$A$88,$BA$205^A30,IF(A30='Données projet'!$A$88,'Données projet'!$B$88,BD29+BC30-BL29)))</f>
        <v>54</v>
      </c>
      <c r="BE30" s="14">
        <f>BD30*VLOOKUP('Données projet'!$B$11,Paramètres!$A$1:$I$89,3,0)*VLOOKUP('Données projet'!$B$11,Paramètres!$A$1:$I$89,5,0)</f>
        <v>48.859199999999994</v>
      </c>
      <c r="BF30" s="14">
        <f t="shared" si="37"/>
        <v>14.318748507569314</v>
      </c>
      <c r="BG30" s="22">
        <f t="shared" si="7"/>
        <v>110.03492698401654</v>
      </c>
      <c r="BH30" s="62">
        <f t="shared" si="8"/>
        <v>403.36826031734984</v>
      </c>
      <c r="BI30" s="62">
        <f ca="1">AVERAGE(OFFSET($BH$3,0,0,'Données projet'!$E$11+1,1))-AVERAGE(OFFSET($H$3,0,0,'Données projet'!$E$11+1,1))</f>
        <v>138.3429338270858</v>
      </c>
      <c r="BJ30" s="62">
        <f t="shared" si="38"/>
        <v>88.30225651635925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</v>
      </c>
      <c r="BY30" s="13">
        <f>IF('Données projet'!$A$114&gt;35,BY29+BX30-CG29,IF(A30&lt;'Données projet'!$A$114,$BV$205^A30,IF(A30='Données projet'!$A$114,'Données projet'!$B$114,BY29+BX30-CG29)))</f>
        <v>54</v>
      </c>
      <c r="BZ30" s="14">
        <f>BY30*VLOOKUP('Données projet'!$B$12,Paramètres!$A$1:$I$89,3,0)*VLOOKUP('Données projet'!$B$12,Paramètres!$A$1:$I$89,5,0)</f>
        <v>45.48960000000001</v>
      </c>
      <c r="CA30" s="14">
        <f t="shared" si="39"/>
        <v>13.442598032668444</v>
      </c>
      <c r="CB30" s="22">
        <f t="shared" si="10"/>
        <v>102.64024490689756</v>
      </c>
      <c r="CC30" s="62">
        <f t="shared" si="11"/>
        <v>395.97357824023089</v>
      </c>
      <c r="CD30" s="62">
        <f ca="1">AVERAGE(OFFSET($CC$3,0,0,'Données projet'!$E$12+1,1))-AVERAGE(OFFSET($H$3,0,0,'Données projet'!$E$12+1,1))</f>
        <v>122.57815304102127</v>
      </c>
      <c r="CE30" s="62">
        <f t="shared" si="40"/>
        <v>80.106609825870578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9.9205000000000041</v>
      </c>
      <c r="CT30" s="13">
        <f>IF('Données projet'!$A$140&gt;35,CT29+CS30-DB29,IF(A30&lt;'Données projet'!$A$140,$CQ$205^A30,IF(A30='Données projet'!$A$140,'Données projet'!$B$140,CT29+CS30-DB29)))</f>
        <v>142.11808333333335</v>
      </c>
      <c r="CU30" s="18">
        <f>CT30*VLOOKUP('Données projet'!$B$13,Paramètres!$A$1:$I$89,3,0)*VLOOKUP('Données projet'!$B$13,Paramètres!$A$1:$I$89,5,0)</f>
        <v>93.115768200000005</v>
      </c>
      <c r="CV30" s="14">
        <f t="shared" si="41"/>
        <v>25.315178346715836</v>
      </c>
      <c r="CW30" s="22">
        <f t="shared" si="13"/>
        <v>206.26723190219673</v>
      </c>
      <c r="CX30" s="62">
        <f t="shared" si="14"/>
        <v>499.60056523553004</v>
      </c>
      <c r="CY30" s="62">
        <f ca="1">AVERAGE(OFFSET($CX$3,0,0,'Données projet'!$E$13+1,1))-AVERAGE(OFFSET($H$3,0,0,'Données projet'!$E$13+1,1))</f>
        <v>199.99826357281154</v>
      </c>
      <c r="CZ30" s="62">
        <f t="shared" si="42"/>
        <v>214.67424457475136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5.1246103259708686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5.1246103259708686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9.9205000000000041</v>
      </c>
      <c r="DO30" s="13">
        <f>IF('Données projet'!$A$166&gt;35,DO29+DN30-DW29,IF(A30&lt;'Données projet'!$A$166,$DL$205^A30,IF(A30='Données projet'!$A$166,'Données projet'!$B$166,DO29+DN30-DW29)))</f>
        <v>142.11808333333335</v>
      </c>
      <c r="DP30" s="18">
        <f>DO30*VLOOKUP('Données projet'!$B$14,Paramètres!$A$1:$I$89,3,0)*VLOOKUP('Données projet'!$B$14,Paramètres!$A$1:$I$89,5,0)</f>
        <v>113.06914710000002</v>
      </c>
      <c r="DQ30" s="14">
        <f t="shared" si="43"/>
        <v>30.052937347032479</v>
      </c>
      <c r="DR30" s="22">
        <f t="shared" si="16"/>
        <v>249.27096374524822</v>
      </c>
      <c r="DS30" s="62">
        <f t="shared" si="17"/>
        <v>542.60429707858157</v>
      </c>
      <c r="DT30" s="62">
        <f ca="1">AVERAGE(OFFSET($DS$3,0,0,'Données projet'!$E$14+1,1))-AVERAGE(OFFSET($H$3,0,0,'Données projet'!$E$14+1,1))</f>
        <v>248.15263300983543</v>
      </c>
      <c r="DU30" s="62">
        <f t="shared" si="44"/>
        <v>266.46511459244618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7.6698902054813152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7.6698902054813152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9.9205000000000041</v>
      </c>
      <c r="EJ30" s="13">
        <f>IF('Données projet'!$A$192&gt;35,EJ29+EI30-ER29,IF(A30&lt;'Données projet'!$A$192,$EG$205^A30,IF(A30='Données projet'!$A$192,'Données projet'!$B$192,EJ29+EI30-ER29)))</f>
        <v>142.11808333333335</v>
      </c>
      <c r="EK30" s="18">
        <f>EJ30*VLOOKUP('Données projet'!$B$15,Paramètres!$A$1:$I$89,3,0)*VLOOKUP('Données projet'!$B$15,Paramètres!$A$1:$I$89,5,0)</f>
        <v>95.332810300000006</v>
      </c>
      <c r="EL30" s="14">
        <f t="shared" si="45"/>
        <v>25.847029929500508</v>
      </c>
      <c r="EM30" s="22">
        <f t="shared" si="19"/>
        <v>211.05488839971338</v>
      </c>
      <c r="EN30" s="62">
        <f t="shared" si="20"/>
        <v>504.38822173304669</v>
      </c>
      <c r="EO30" s="62">
        <f ca="1">AVERAGE(OFFSET($EN$3,0,0,'Données projet'!$E$15+1,1))-AVERAGE(OFFSET($H$3,0,0,'Données projet'!$E$15+1,1))</f>
        <v>205.35893113421139</v>
      </c>
      <c r="EP30" s="62">
        <f t="shared" si="46"/>
        <v>220.4399811285175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6.4667701732489524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6.4667701732489524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28</v>
      </c>
      <c r="N31" s="14">
        <f>IF('Données projet'!$A$36&gt;35,N30+M31-V30,IF(A31&lt;'Données projet'!$A$36,$K$205^A31,IF(A31='Données projet'!$A$36,'Données projet'!$B$36,N30+M31-V30)))</f>
        <v>365</v>
      </c>
      <c r="O31" s="14">
        <f>N31*VLOOKUP('Données projet'!$B$9,Paramètres!$A$1:$I$89,3,0)*VLOOKUP('Données projet'!$B$9,Paramètres!$A$1:$I$89,5,0)</f>
        <v>204.035</v>
      </c>
      <c r="P31" s="14">
        <f t="shared" si="33"/>
        <v>50.629905099971396</v>
      </c>
      <c r="Q31" s="22">
        <f t="shared" si="2"/>
        <v>443.54137638245015</v>
      </c>
      <c r="R31" s="62">
        <f t="shared" si="0"/>
        <v>736.87470971578341</v>
      </c>
      <c r="S31" s="62">
        <f ca="1">AVERAGE(OFFSET($R$3,0,0,'Données projet'!$E$9+1,1))-AVERAGE(OFFSET($H$3,0,0,'Données projet'!$E$9+1,1))</f>
        <v>382.55387448074327</v>
      </c>
      <c r="T31" s="62">
        <f t="shared" si="34"/>
        <v>476.29465646955543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11.304404337509922</v>
      </c>
      <c r="AB31" s="23">
        <f>EXP(-LN(2)/2)*AB30+(1-EXP(-LN(2)/2))/(LN(2)/2)*V31*Y31*VLOOKUP('Données projet'!$B$9,Paramètres!$A$1:$I$89,3,0)*0.475*44/12</f>
        <v>5.3167812198549642</v>
      </c>
      <c r="AC31" s="24">
        <f t="shared" si="3"/>
        <v>16.621185557364885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23.466666666666658</v>
      </c>
      <c r="AI31" s="14">
        <f>IF('Données projet'!$A$62&gt;35,AI30+AH31-AQ30,IF(A31&lt;'Données projet'!$A$62,$AF$205^A31,IF(A31='Données projet'!$A$62,'Données projet'!$B$62,AI30+AH31-AQ30)))</f>
        <v>466.10666666666657</v>
      </c>
      <c r="AJ31" s="14">
        <f>AI31*VLOOKUP('Données projet'!$B$10,Paramètres!$A$1:$I$89,3,0)*VLOOKUP('Données projet'!$B$10,Paramètres!$A$1:$I$89,5,0)</f>
        <v>290.85055999999992</v>
      </c>
      <c r="AK31" s="14">
        <f t="shared" si="35"/>
        <v>69.254945577649664</v>
      </c>
      <c r="AL31" s="22">
        <f t="shared" si="4"/>
        <v>627.18375554773968</v>
      </c>
      <c r="AM31" s="62">
        <f t="shared" si="5"/>
        <v>920.51708888107305</v>
      </c>
      <c r="AN31" s="62">
        <f ca="1">AVERAGE(OFFSET($AM$3,0,0,'Données projet'!$E$10+1,1))-AVERAGE(OFFSET($H$3,0,0,'Données projet'!$E$10+1,1))</f>
        <v>420.68062999212015</v>
      </c>
      <c r="AO31" s="62">
        <f t="shared" si="36"/>
        <v>655.24090633185676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</v>
      </c>
      <c r="BD31" s="13">
        <f>IF('Données projet'!$A$88&gt;35,BD30+BC31-BL30,IF(A31&lt;'Données projet'!$A$88,$BA$205^A31,IF(A31='Données projet'!$A$88,'Données projet'!$B$88,BD30+BC31-BL30)))</f>
        <v>56</v>
      </c>
      <c r="BE31" s="14">
        <f>BD31*VLOOKUP('Données projet'!$B$11,Paramètres!$A$1:$I$89,3,0)*VLOOKUP('Données projet'!$B$11,Paramètres!$A$1:$I$89,5,0)</f>
        <v>50.668799999999997</v>
      </c>
      <c r="BF31" s="14">
        <f t="shared" si="37"/>
        <v>14.786346384516113</v>
      </c>
      <c r="BG31" s="22">
        <f t="shared" si="7"/>
        <v>114.0010466196989</v>
      </c>
      <c r="BH31" s="62">
        <f t="shared" si="8"/>
        <v>407.33437995303223</v>
      </c>
      <c r="BI31" s="62">
        <f ca="1">AVERAGE(OFFSET($BH$3,0,0,'Données projet'!$E$11+1,1))-AVERAGE(OFFSET($H$3,0,0,'Données projet'!$E$11+1,1))</f>
        <v>138.3429338270858</v>
      </c>
      <c r="BJ31" s="62">
        <f t="shared" si="38"/>
        <v>88.30225651635925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2</v>
      </c>
      <c r="BY31" s="13">
        <f>IF('Données projet'!$A$114&gt;35,BY30+BX31-CG30,IF(A31&lt;'Données projet'!$A$114,$BV$205^A31,IF(A31='Données projet'!$A$114,'Données projet'!$B$114,BY30+BX31-CG30)))</f>
        <v>56</v>
      </c>
      <c r="BZ31" s="14">
        <f>BY31*VLOOKUP('Données projet'!$B$12,Paramètres!$A$1:$I$89,3,0)*VLOOKUP('Données projet'!$B$12,Paramètres!$A$1:$I$89,5,0)</f>
        <v>47.174400000000006</v>
      </c>
      <c r="CA31" s="14">
        <f t="shared" si="39"/>
        <v>13.881584044427933</v>
      </c>
      <c r="CB31" s="22">
        <f t="shared" si="10"/>
        <v>106.33917221071198</v>
      </c>
      <c r="CC31" s="62">
        <f t="shared" si="11"/>
        <v>399.67250554404529</v>
      </c>
      <c r="CD31" s="62">
        <f ca="1">AVERAGE(OFFSET($CC$3,0,0,'Données projet'!$E$12+1,1))-AVERAGE(OFFSET($H$3,0,0,'Données projet'!$E$12+1,1))</f>
        <v>122.57815304102127</v>
      </c>
      <c r="CE31" s="62">
        <f t="shared" si="40"/>
        <v>80.106609825870578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9.9205000000000041</v>
      </c>
      <c r="CT31" s="13">
        <f>IF('Données projet'!$A$140&gt;35,CT30+CS31-DB30,IF(A31&lt;'Données projet'!$A$140,$CQ$205^A31,IF(A31='Données projet'!$A$140,'Données projet'!$B$140,CT30+CS31-DB30)))</f>
        <v>152.03858333333335</v>
      </c>
      <c r="CU31" s="18">
        <f>CT31*VLOOKUP('Données projet'!$B$13,Paramètres!$A$1:$I$89,3,0)*VLOOKUP('Données projet'!$B$13,Paramètres!$A$1:$I$89,5,0)</f>
        <v>99.615679800000009</v>
      </c>
      <c r="CV31" s="14">
        <f t="shared" si="41"/>
        <v>26.870418051600232</v>
      </c>
      <c r="CW31" s="22">
        <f t="shared" si="13"/>
        <v>220.29662042487041</v>
      </c>
      <c r="CX31" s="62">
        <f t="shared" si="14"/>
        <v>513.62995375820378</v>
      </c>
      <c r="CY31" s="62">
        <f ca="1">AVERAGE(OFFSET($CX$3,0,0,'Données projet'!$E$13+1,1))-AVERAGE(OFFSET($H$3,0,0,'Données projet'!$E$13+1,1))</f>
        <v>199.99826357281154</v>
      </c>
      <c r="CZ31" s="62">
        <f t="shared" si="42"/>
        <v>214.67424457475136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5.0241198431822411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5.0241198431822411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9.9205000000000041</v>
      </c>
      <c r="DO31" s="13">
        <f>IF('Données projet'!$A$166&gt;35,DO30+DN31-DW30,IF(A31&lt;'Données projet'!$A$166,$DL$205^A31,IF(A31='Données projet'!$A$166,'Données projet'!$B$166,DO30+DN31-DW30)))</f>
        <v>152.03858333333335</v>
      </c>
      <c r="DP31" s="18">
        <f>DO31*VLOOKUP('Données projet'!$B$14,Paramètres!$A$1:$I$89,3,0)*VLOOKUP('Données projet'!$B$14,Paramètres!$A$1:$I$89,5,0)</f>
        <v>120.96189690000001</v>
      </c>
      <c r="DQ31" s="14">
        <f t="shared" si="43"/>
        <v>31.899241598591143</v>
      </c>
      <c r="DR31" s="22">
        <f t="shared" si="16"/>
        <v>266.23314955171287</v>
      </c>
      <c r="DS31" s="62">
        <f t="shared" si="17"/>
        <v>559.56648288504618</v>
      </c>
      <c r="DT31" s="62">
        <f ca="1">AVERAGE(OFFSET($DS$3,0,0,'Données projet'!$E$14+1,1))-AVERAGE(OFFSET($H$3,0,0,'Données projet'!$E$14+1,1))</f>
        <v>248.15263300983543</v>
      </c>
      <c r="DU31" s="62">
        <f t="shared" si="44"/>
        <v>266.46511459244618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7.5194883367229206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7.5194883367229206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9.9205000000000041</v>
      </c>
      <c r="EJ31" s="13">
        <f>IF('Données projet'!$A$192&gt;35,EJ30+EI31-ER30,IF(A31&lt;'Données projet'!$A$192,$EG$205^A31,IF(A31='Données projet'!$A$192,'Données projet'!$B$192,EJ30+EI31-ER30)))</f>
        <v>152.03858333333335</v>
      </c>
      <c r="EK31" s="18">
        <f>EJ31*VLOOKUP('Données projet'!$B$15,Paramètres!$A$1:$I$89,3,0)*VLOOKUP('Données projet'!$B$15,Paramètres!$A$1:$I$89,5,0)</f>
        <v>101.98748170000002</v>
      </c>
      <c r="EL31" s="14">
        <f t="shared" si="45"/>
        <v>27.434943972575336</v>
      </c>
      <c r="EM31" s="22">
        <f t="shared" si="19"/>
        <v>225.4107247130687</v>
      </c>
      <c r="EN31" s="62">
        <f t="shared" si="20"/>
        <v>518.74405804640196</v>
      </c>
      <c r="EO31" s="62">
        <f ca="1">AVERAGE(OFFSET($EN$3,0,0,'Données projet'!$E$15+1,1))-AVERAGE(OFFSET($H$3,0,0,'Données projet'!$E$15+1,1))</f>
        <v>205.35893113421139</v>
      </c>
      <c r="EP31" s="62">
        <f t="shared" si="46"/>
        <v>220.4399811285175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6.3399607544918748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6.3399607544918748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28</v>
      </c>
      <c r="N32" s="14">
        <f>IF('Données projet'!$A$36&gt;35,N31+M32-V31,IF(A32&lt;'Données projet'!$A$36,$K$205^A32,IF(A32='Données projet'!$A$36,'Données projet'!$B$36,N31+M32-V31)))</f>
        <v>393</v>
      </c>
      <c r="O32" s="14">
        <f>N32*VLOOKUP('Données projet'!$B$9,Paramètres!$A$1:$I$89,3,0)*VLOOKUP('Données projet'!$B$9,Paramètres!$A$1:$I$89,5,0)</f>
        <v>219.68700000000001</v>
      </c>
      <c r="P32" s="14">
        <f t="shared" si="33"/>
        <v>54.046851081096591</v>
      </c>
      <c r="Q32" s="22">
        <f t="shared" si="2"/>
        <v>476.75312396624321</v>
      </c>
      <c r="R32" s="62">
        <f t="shared" si="0"/>
        <v>770.08645729957652</v>
      </c>
      <c r="S32" s="62">
        <f ca="1">AVERAGE(OFFSET($R$3,0,0,'Données projet'!$E$9+1,1))-AVERAGE(OFFSET($H$3,0,0,'Données projet'!$E$9+1,1))</f>
        <v>382.55387448074327</v>
      </c>
      <c r="T32" s="62">
        <f t="shared" si="34"/>
        <v>476.29465646955543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10.995284806427925</v>
      </c>
      <c r="AB32" s="23">
        <f>EXP(-LN(2)/2)*AB31+(1-EXP(-LN(2)/2))/(LN(2)/2)*V32*Y32*VLOOKUP('Données projet'!$B$9,Paramètres!$A$1:$I$89,3,0)*0.475*44/12</f>
        <v>3.7595320546447297</v>
      </c>
      <c r="AC32" s="24">
        <f t="shared" si="3"/>
        <v>14.754816861072655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23.466666666666658</v>
      </c>
      <c r="AI32" s="14">
        <f>IF('Données projet'!$A$62&gt;35,AI31+AH32-AQ31,IF(A32&lt;'Données projet'!$A$62,$AF$205^A32,IF(A32='Données projet'!$A$62,'Données projet'!$B$62,AI31+AH32-AQ31)))</f>
        <v>489.57333333333321</v>
      </c>
      <c r="AJ32" s="14">
        <f>AI32*VLOOKUP('Données projet'!$B$10,Paramètres!$A$1:$I$89,3,0)*VLOOKUP('Données projet'!$B$10,Paramètres!$A$1:$I$89,5,0)</f>
        <v>305.4937599999999</v>
      </c>
      <c r="AK32" s="14">
        <f t="shared" si="35"/>
        <v>72.326947401051612</v>
      </c>
      <c r="AL32" s="22">
        <f t="shared" si="4"/>
        <v>658.03773205683137</v>
      </c>
      <c r="AM32" s="62">
        <f t="shared" si="5"/>
        <v>951.37106539016463</v>
      </c>
      <c r="AN32" s="62">
        <f ca="1">AVERAGE(OFFSET($AM$3,0,0,'Données projet'!$E$10+1,1))-AVERAGE(OFFSET($H$3,0,0,'Données projet'!$E$10+1,1))</f>
        <v>420.68062999212015</v>
      </c>
      <c r="AO32" s="62">
        <f t="shared" si="36"/>
        <v>655.24090633185676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</v>
      </c>
      <c r="BD32" s="13">
        <f>IF('Données projet'!$A$88&gt;35,BD31+BC32-BL31,IF(A32&lt;'Données projet'!$A$88,$BA$205^A32,IF(A32='Données projet'!$A$88,'Données projet'!$B$88,BD31+BC32-BL31)))</f>
        <v>58</v>
      </c>
      <c r="BE32" s="14">
        <f>BD32*VLOOKUP('Données projet'!$B$11,Paramètres!$A$1:$I$89,3,0)*VLOOKUP('Données projet'!$B$11,Paramètres!$A$1:$I$89,5,0)</f>
        <v>52.478400000000001</v>
      </c>
      <c r="BF32" s="14">
        <f t="shared" si="37"/>
        <v>15.252003989463883</v>
      </c>
      <c r="BG32" s="22">
        <f t="shared" si="7"/>
        <v>117.96378694831624</v>
      </c>
      <c r="BH32" s="62">
        <f t="shared" si="8"/>
        <v>411.29712028164954</v>
      </c>
      <c r="BI32" s="62">
        <f ca="1">AVERAGE(OFFSET($BH$3,0,0,'Données projet'!$E$11+1,1))-AVERAGE(OFFSET($H$3,0,0,'Données projet'!$E$11+1,1))</f>
        <v>138.3429338270858</v>
      </c>
      <c r="BJ32" s="62">
        <f t="shared" si="38"/>
        <v>88.30225651635925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</v>
      </c>
      <c r="BY32" s="13">
        <f>IF('Données projet'!$A$114&gt;35,BY31+BX32-CG31,IF(A32&lt;'Données projet'!$A$114,$BV$205^A32,IF(A32='Données projet'!$A$114,'Données projet'!$B$114,BY31+BX32-CG31)))</f>
        <v>58</v>
      </c>
      <c r="BZ32" s="14">
        <f>BY32*VLOOKUP('Données projet'!$B$12,Paramètres!$A$1:$I$89,3,0)*VLOOKUP('Données projet'!$B$12,Paramètres!$A$1:$I$89,5,0)</f>
        <v>48.859200000000001</v>
      </c>
      <c r="CA32" s="14">
        <f t="shared" si="39"/>
        <v>14.318748507569314</v>
      </c>
      <c r="CB32" s="22">
        <f t="shared" si="10"/>
        <v>110.03492698401654</v>
      </c>
      <c r="CC32" s="62">
        <f t="shared" si="11"/>
        <v>403.36826031734984</v>
      </c>
      <c r="CD32" s="62">
        <f ca="1">AVERAGE(OFFSET($CC$3,0,0,'Données projet'!$E$12+1,1))-AVERAGE(OFFSET($H$3,0,0,'Données projet'!$E$12+1,1))</f>
        <v>122.57815304102127</v>
      </c>
      <c r="CE32" s="62">
        <f t="shared" si="40"/>
        <v>80.106609825870578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9.9205000000000041</v>
      </c>
      <c r="CT32" s="13">
        <f>IF('Données projet'!$A$140&gt;35,CT31+CS32-DB31,IF(A32&lt;'Données projet'!$A$140,$CQ$205^A32,IF(A32='Données projet'!$A$140,'Données projet'!$B$140,CT31+CS32-DB31)))</f>
        <v>161.95908333333335</v>
      </c>
      <c r="CU32" s="18">
        <f>CT32*VLOOKUP('Données projet'!$B$13,Paramètres!$A$1:$I$89,3,0)*VLOOKUP('Données projet'!$B$13,Paramètres!$A$1:$I$89,5,0)</f>
        <v>106.11559140000001</v>
      </c>
      <c r="CV32" s="14">
        <f t="shared" si="41"/>
        <v>28.41388150199279</v>
      </c>
      <c r="CW32" s="22">
        <f t="shared" si="13"/>
        <v>234.30549863763744</v>
      </c>
      <c r="CX32" s="62">
        <f t="shared" si="14"/>
        <v>527.63883197097073</v>
      </c>
      <c r="CY32" s="62">
        <f ca="1">AVERAGE(OFFSET($CX$3,0,0,'Données projet'!$E$13+1,1))-AVERAGE(OFFSET($H$3,0,0,'Données projet'!$E$13+1,1))</f>
        <v>199.99826357281154</v>
      </c>
      <c r="CZ32" s="62">
        <f t="shared" si="42"/>
        <v>214.67424457475136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4.9255999174679559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4.9255999174679559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9.9205000000000041</v>
      </c>
      <c r="DO32" s="13">
        <f>IF('Données projet'!$A$166&gt;35,DO31+DN32-DW31,IF(A32&lt;'Données projet'!$A$166,$DL$205^A32,IF(A32='Données projet'!$A$166,'Données projet'!$B$166,DO31+DN32-DW31)))</f>
        <v>161.95908333333335</v>
      </c>
      <c r="DP32" s="18">
        <f>DO32*VLOOKUP('Données projet'!$B$14,Paramètres!$A$1:$I$89,3,0)*VLOOKUP('Données projet'!$B$14,Paramètres!$A$1:$I$89,5,0)</f>
        <v>128.85464670000002</v>
      </c>
      <c r="DQ32" s="14">
        <f t="shared" si="43"/>
        <v>33.731565658757198</v>
      </c>
      <c r="DR32" s="22">
        <f t="shared" si="16"/>
        <v>283.17098652483548</v>
      </c>
      <c r="DS32" s="62">
        <f t="shared" si="17"/>
        <v>576.50431985816886</v>
      </c>
      <c r="DT32" s="62">
        <f ca="1">AVERAGE(OFFSET($DS$3,0,0,'Données projet'!$E$14+1,1))-AVERAGE(OFFSET($H$3,0,0,'Données projet'!$E$14+1,1))</f>
        <v>248.15263300983543</v>
      </c>
      <c r="DU32" s="62">
        <f t="shared" si="44"/>
        <v>266.46511459244618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7.372035756874797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7.372035756874797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9.9205000000000041</v>
      </c>
      <c r="EJ32" s="13">
        <f>IF('Données projet'!$A$192&gt;35,EJ31+EI32-ER31,IF(A32&lt;'Données projet'!$A$192,$EG$205^A32,IF(A32='Données projet'!$A$192,'Données projet'!$B$192,EJ31+EI32-ER31)))</f>
        <v>161.95908333333335</v>
      </c>
      <c r="EK32" s="18">
        <f>EJ32*VLOOKUP('Données projet'!$B$15,Paramètres!$A$1:$I$89,3,0)*VLOOKUP('Données projet'!$B$15,Paramètres!$A$1:$I$89,5,0)</f>
        <v>108.64215310000002</v>
      </c>
      <c r="EL32" s="14">
        <f t="shared" si="45"/>
        <v>29.010834351501387</v>
      </c>
      <c r="EM32" s="22">
        <f t="shared" si="19"/>
        <v>239.74561981136495</v>
      </c>
      <c r="EN32" s="62">
        <f t="shared" si="20"/>
        <v>533.07895314469829</v>
      </c>
      <c r="EO32" s="62">
        <f ca="1">AVERAGE(OFFSET($EN$3,0,0,'Données projet'!$E$15+1,1))-AVERAGE(OFFSET($H$3,0,0,'Données projet'!$E$15+1,1))</f>
        <v>205.35893113421139</v>
      </c>
      <c r="EP32" s="62">
        <f t="shared" si="46"/>
        <v>220.4399811285175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6.2156379910905155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6.2156379910905155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421</v>
      </c>
      <c r="L33" s="13">
        <f>VLOOKUP(A33,'Données projet'!$A$35:$I$55,9,0)</f>
        <v>28</v>
      </c>
      <c r="M33" s="13">
        <f t="array" ref="M33">INDEX(L:L,MIN(IF(ISNUMBER(L33:L229),ROW(L33:L229),"")))</f>
        <v>28</v>
      </c>
      <c r="N33" s="14">
        <f>IF('Données projet'!$A$36&gt;35,N32+M33-V32,IF(A33&lt;'Données projet'!$A$36,$K$205^A33,IF(A33='Données projet'!$A$36,'Données projet'!$B$36,N32+M33-V32)))</f>
        <v>421</v>
      </c>
      <c r="O33" s="14">
        <f>N33*VLOOKUP('Données projet'!$B$9,Paramètres!$A$1:$I$89,3,0)*VLOOKUP('Données projet'!$B$9,Paramètres!$A$1:$I$89,5,0)</f>
        <v>235.339</v>
      </c>
      <c r="P33" s="14">
        <f t="shared" si="33"/>
        <v>57.43555185051494</v>
      </c>
      <c r="Q33" s="22">
        <f t="shared" si="2"/>
        <v>509.91567780631357</v>
      </c>
      <c r="R33" s="62">
        <f t="shared" si="0"/>
        <v>803.24901113964688</v>
      </c>
      <c r="S33" s="62">
        <f ca="1">AVERAGE(OFFSET($R$3,0,0,'Données projet'!$E$9+1,1))-AVERAGE(OFFSET($H$3,0,0,'Données projet'!$E$9+1,1))</f>
        <v>382.55387448074327</v>
      </c>
      <c r="T33" s="62">
        <f t="shared" si="34"/>
        <v>476.29465646955543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9.240000000000001E-2</v>
      </c>
      <c r="Y33" s="17">
        <f>IF(ISNA(VLOOKUP(A33,'Données projet'!$A$35:$I$55,7,0)),0%,VLOOKUP(A33,'Données projet'!$A$35:$I$55,7,0))</f>
        <v>0.13200000000000001</v>
      </c>
      <c r="Z33" s="23">
        <f>EXP(-LN(2)/35)*Z32+(1-EXP(-LN(2)/35))/(LN(2)/35)*V33*W33*VLOOKUP('Données projet'!$B$9,Paramètres!$A$1:$I$89,3,0)*0.475*44/12</f>
        <v>15.416814740980714</v>
      </c>
      <c r="AA33" s="23">
        <f>EXP(-LN(2)/25)*AA32+(1-EXP(-LN(2)/25))/(LN(2)/25)*Calculateur!V33*Calculateur!X33*VLOOKUP('Données projet'!$B$9,Paramètres!$A$1:$I$89,3,0)*0.475*44/12</f>
        <v>14.380085253278102</v>
      </c>
      <c r="AB33" s="23">
        <f>EXP(-LN(2)/2)*AB32+(1-EXP(-LN(2)/2))/(LN(2)/2)*V33*Y33*VLOOKUP('Données projet'!$B$9,Paramètres!$A$1:$I$89,3,0)*0.475*44/12</f>
        <v>7.1698290755011582</v>
      </c>
      <c r="AC33" s="24">
        <f t="shared" si="3"/>
        <v>36.966729069759971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513.04</v>
      </c>
      <c r="AG33" s="13">
        <f>VLOOKUP(A33,'Données projet'!$A$61:$I$81,9,0)</f>
        <v>23.466666666666658</v>
      </c>
      <c r="AH33" s="13">
        <f t="array" ref="AH33">INDEX(AG:AG,MIN(IF(ISNUMBER(AG33:AG229),ROW(AG33:AG229),"")))</f>
        <v>23.466666666666658</v>
      </c>
      <c r="AI33" s="14">
        <f>IF('Données projet'!$A$62&gt;35,AI32+AH33-AQ32,IF(A33&lt;'Données projet'!$A$62,$AF$205^A33,IF(A33='Données projet'!$A$62,'Données projet'!$B$62,AI32+AH33-AQ32)))</f>
        <v>513.03999999999985</v>
      </c>
      <c r="AJ33" s="14">
        <f>AI33*VLOOKUP('Données projet'!$B$10,Paramètres!$A$1:$I$89,3,0)*VLOOKUP('Données projet'!$B$10,Paramètres!$A$1:$I$89,5,0)</f>
        <v>320.13695999999987</v>
      </c>
      <c r="AK33" s="14">
        <f t="shared" si="35"/>
        <v>75.381850144659367</v>
      </c>
      <c r="AL33" s="22">
        <f t="shared" si="4"/>
        <v>688.86192766861484</v>
      </c>
      <c r="AM33" s="62">
        <f t="shared" si="5"/>
        <v>982.19526100194821</v>
      </c>
      <c r="AN33" s="62">
        <f ca="1">AVERAGE(OFFSET($AM$3,0,0,'Données projet'!$E$10+1,1))-AVERAGE(OFFSET($H$3,0,0,'Données projet'!$E$10+1,1))</f>
        <v>420.68062999212015</v>
      </c>
      <c r="AO33" s="62">
        <f t="shared" si="36"/>
        <v>655.24090633185676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94.16</v>
      </c>
      <c r="AR33" s="17">
        <f>IF(ISNA(VLOOKUP(A33,'Données projet'!$A$61:$I$81,5,0)),0%,VLOOKUP(A33,'Données projet'!$A$61:$I$81,5,0)*VLOOKUP('Données projet'!$B$10,Paramètres!$A$1:$I$89,7,0))</f>
        <v>0.42</v>
      </c>
      <c r="AS33" s="17">
        <f>IF(ISNA(VLOOKUP(A33,'Données projet'!$A$61:$I$81,6,0)),0%,VLOOKUP(A33,'Données projet'!$A$61:$I$81,6,0)*VLOOKUP('Données projet'!$B$10,Paramètres!$A$1:$I$89,7,0))</f>
        <v>0.1008</v>
      </c>
      <c r="AT33" s="17">
        <f>IF(ISNA(VLOOKUP(A33,'Données projet'!$A$61:$I$81,7,0)),0%,VLOOKUP(A33,'Données projet'!$A$61:$I$81,7,0))</f>
        <v>0.13200000000000001</v>
      </c>
      <c r="AU33" s="23">
        <f>EXP(-LN(2)/35)*AU32+(1-EXP(-LN(2)/35))/(LN(2)/35)*AQ33*AR33*VLOOKUP('Données projet'!$B$10,Paramètres!$A$1:$I$89,3,0)*0.475*44/12</f>
        <v>32.736231735266948</v>
      </c>
      <c r="AV33" s="23">
        <f>EXP(-LN(2)/25)*AV32+(1-EXP(-LN(2)/25))/(LN(2)/25)*Calculateur!AQ33*Calculateur!AS33*VLOOKUP('Données projet'!$B$10,Paramètres!$A$1:$I$89,3,0)*0.475*44/12</f>
        <v>7.8257608121863242</v>
      </c>
      <c r="AW33" s="23">
        <f>EXP(-LN(2)/2)*AW32+(1-EXP(-LN(2)/2))/(LN(2)/2)*AQ33*AT33*VLOOKUP('Données projet'!$B$10,Paramètres!$A$1:$I$89,3,0)*0.475*44/12</f>
        <v>8.7813342825512599</v>
      </c>
      <c r="AX33" s="23">
        <f t="shared" si="6"/>
        <v>49.343326830004528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</v>
      </c>
      <c r="BD33" s="13">
        <f>IF('Données projet'!$A$88&gt;35,BD32+BC33-BL32,IF(A33&lt;'Données projet'!$A$88,$BA$205^A33,IF(A33='Données projet'!$A$88,'Données projet'!$B$88,BD32+BC33-BL32)))</f>
        <v>60</v>
      </c>
      <c r="BE33" s="14">
        <f>BD33*VLOOKUP('Données projet'!$B$11,Paramètres!$A$1:$I$89,3,0)*VLOOKUP('Données projet'!$B$11,Paramètres!$A$1:$I$89,5,0)</f>
        <v>54.287999999999997</v>
      </c>
      <c r="BF33" s="14">
        <f t="shared" si="37"/>
        <v>15.715795896526746</v>
      </c>
      <c r="BG33" s="22">
        <f t="shared" si="7"/>
        <v>121.9232778531174</v>
      </c>
      <c r="BH33" s="62">
        <f t="shared" si="8"/>
        <v>415.2566111864507</v>
      </c>
      <c r="BI33" s="62">
        <f ca="1">AVERAGE(OFFSET($BH$3,0,0,'Données projet'!$E$11+1,1))-AVERAGE(OFFSET($H$3,0,0,'Données projet'!$E$11+1,1))</f>
        <v>138.3429338270858</v>
      </c>
      <c r="BJ33" s="62">
        <f t="shared" si="38"/>
        <v>88.30225651635925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2</v>
      </c>
      <c r="BY33" s="13">
        <f>IF('Données projet'!$A$114&gt;35,BY32+BX33-CG32,IF(A33&lt;'Données projet'!$A$114,$BV$205^A33,IF(A33='Données projet'!$A$114,'Données projet'!$B$114,BY32+BX33-CG32)))</f>
        <v>60</v>
      </c>
      <c r="BZ33" s="14">
        <f>BY33*VLOOKUP('Données projet'!$B$12,Paramètres!$A$1:$I$89,3,0)*VLOOKUP('Données projet'!$B$12,Paramètres!$A$1:$I$89,5,0)</f>
        <v>50.544000000000011</v>
      </c>
      <c r="CA33" s="14">
        <f t="shared" si="39"/>
        <v>14.754161433088258</v>
      </c>
      <c r="CB33" s="22">
        <f t="shared" si="10"/>
        <v>113.72763116262873</v>
      </c>
      <c r="CC33" s="62">
        <f t="shared" si="11"/>
        <v>407.06096449596203</v>
      </c>
      <c r="CD33" s="62">
        <f ca="1">AVERAGE(OFFSET($CC$3,0,0,'Données projet'!$E$12+1,1))-AVERAGE(OFFSET($H$3,0,0,'Données projet'!$E$12+1,1))</f>
        <v>122.57815304102127</v>
      </c>
      <c r="CE33" s="62">
        <f t="shared" si="40"/>
        <v>80.106609825870578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9.9205000000000041</v>
      </c>
      <c r="CT33" s="13">
        <f>IF('Données projet'!$A$140&gt;35,CT32+CS33-DB32,IF(A33&lt;'Données projet'!$A$140,$CQ$205^A33,IF(A33='Données projet'!$A$140,'Données projet'!$B$140,CT32+CS33-DB32)))</f>
        <v>171.87958333333336</v>
      </c>
      <c r="CU33" s="18">
        <f>CT33*VLOOKUP('Données projet'!$B$13,Paramètres!$A$1:$I$89,3,0)*VLOOKUP('Données projet'!$B$13,Paramètres!$A$1:$I$89,5,0)</f>
        <v>112.61550300000003</v>
      </c>
      <c r="CV33" s="14">
        <f t="shared" si="41"/>
        <v>29.94637216450306</v>
      </c>
      <c r="CW33" s="22">
        <f t="shared" si="13"/>
        <v>248.29526591150952</v>
      </c>
      <c r="CX33" s="62">
        <f t="shared" si="14"/>
        <v>541.6285992448428</v>
      </c>
      <c r="CY33" s="62">
        <f ca="1">AVERAGE(OFFSET($CX$3,0,0,'Données projet'!$E$13+1,1))-AVERAGE(OFFSET($H$3,0,0,'Données projet'!$E$13+1,1))</f>
        <v>199.99826357281154</v>
      </c>
      <c r="CZ33" s="62">
        <f t="shared" si="42"/>
        <v>214.67424457475136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4.8290119074057074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4.8290119074057074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9.9205000000000041</v>
      </c>
      <c r="DO33" s="13">
        <f>IF('Données projet'!$A$166&gt;35,DO32+DN33-DW32,IF(A33&lt;'Données projet'!$A$166,$DL$205^A33,IF(A33='Données projet'!$A$166,'Données projet'!$B$166,DO32+DN33-DW32)))</f>
        <v>171.87958333333336</v>
      </c>
      <c r="DP33" s="18">
        <f>DO33*VLOOKUP('Données projet'!$B$14,Paramètres!$A$1:$I$89,3,0)*VLOOKUP('Données projet'!$B$14,Paramètres!$A$1:$I$89,5,0)</f>
        <v>136.74739650000001</v>
      </c>
      <c r="DQ33" s="14">
        <f t="shared" si="43"/>
        <v>35.550863363657946</v>
      </c>
      <c r="DR33" s="22">
        <f t="shared" si="16"/>
        <v>300.08613592920426</v>
      </c>
      <c r="DS33" s="62">
        <f t="shared" si="17"/>
        <v>593.41946926253763</v>
      </c>
      <c r="DT33" s="62">
        <f ca="1">AVERAGE(OFFSET($DS$3,0,0,'Données projet'!$E$14+1,1))-AVERAGE(OFFSET($H$3,0,0,'Données projet'!$E$14+1,1))</f>
        <v>248.15263300983543</v>
      </c>
      <c r="DU33" s="62">
        <f t="shared" si="44"/>
        <v>266.46511459244618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7.2274746321803018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7.2274746321803018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9.9205000000000041</v>
      </c>
      <c r="EJ33" s="13">
        <f>IF('Données projet'!$A$192&gt;35,EJ32+EI33-ER32,IF(A33&lt;'Données projet'!$A$192,$EG$205^A33,IF(A33='Données projet'!$A$192,'Données projet'!$B$192,EJ32+EI33-ER32)))</f>
        <v>171.87958333333336</v>
      </c>
      <c r="EK33" s="18">
        <f>EJ33*VLOOKUP('Données projet'!$B$15,Paramètres!$A$1:$I$89,3,0)*VLOOKUP('Données projet'!$B$15,Paramètres!$A$1:$I$89,5,0)</f>
        <v>115.29682450000003</v>
      </c>
      <c r="EL33" s="14">
        <f t="shared" si="45"/>
        <v>30.575521413076903</v>
      </c>
      <c r="EM33" s="22">
        <f t="shared" si="19"/>
        <v>254.06100246527566</v>
      </c>
      <c r="EN33" s="62">
        <f t="shared" si="20"/>
        <v>547.39433579860895</v>
      </c>
      <c r="EO33" s="62">
        <f ca="1">AVERAGE(OFFSET($EN$3,0,0,'Données projet'!$E$15+1,1))-AVERAGE(OFFSET($H$3,0,0,'Données projet'!$E$15+1,1))</f>
        <v>205.35893113421139</v>
      </c>
      <c r="EP33" s="62">
        <f t="shared" si="46"/>
        <v>220.4399811285175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6.0937531212500584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6.0937531212500584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27.6</v>
      </c>
      <c r="N34" s="14">
        <f>IF('Données projet'!$A$36&gt;35,N33+M34-V33,IF(A34&lt;'Données projet'!$A$36,$K$205^A34,IF(A34='Données projet'!$A$36,'Données projet'!$B$36,N33+M34-V33)))</f>
        <v>394.6</v>
      </c>
      <c r="O34" s="14">
        <f>N34*VLOOKUP('Données projet'!$B$9,Paramètres!$A$1:$I$89,3,0)*VLOOKUP('Données projet'!$B$9,Paramètres!$A$1:$I$89,5,0)</f>
        <v>220.5814</v>
      </c>
      <c r="P34" s="14">
        <f t="shared" si="33"/>
        <v>54.241230721401301</v>
      </c>
      <c r="Q34" s="22">
        <f t="shared" si="2"/>
        <v>478.64941517310723</v>
      </c>
      <c r="R34" s="62">
        <f t="shared" si="0"/>
        <v>771.98274850644054</v>
      </c>
      <c r="S34" s="62">
        <f ca="1">AVERAGE(OFFSET($R$3,0,0,'Données projet'!$E$9+1,1))-AVERAGE(OFFSET($H$3,0,0,'Données projet'!$E$9+1,1))</f>
        <v>382.55387448074327</v>
      </c>
      <c r="T34" s="62">
        <f t="shared" si="34"/>
        <v>476.29465646955543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15.114500407238573</v>
      </c>
      <c r="AA34" s="23">
        <f>EXP(-LN(2)/25)*AA33+(1-EXP(-LN(2)/25))/(LN(2)/25)*Calculateur!V34*Calculateur!X34*VLOOKUP('Données projet'!$B$9,Paramètres!$A$1:$I$89,3,0)*0.475*44/12</f>
        <v>13.986861065811395</v>
      </c>
      <c r="AB34" s="23">
        <f>EXP(-LN(2)/2)*AB33+(1-EXP(-LN(2)/2))/(LN(2)/2)*V34*Y34*VLOOKUP('Données projet'!$B$9,Paramètres!$A$1:$I$89,3,0)*0.475*44/12</f>
        <v>5.0698347592353441</v>
      </c>
      <c r="AC34" s="24">
        <f t="shared" si="3"/>
        <v>34.171196232285311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21.266666666666669</v>
      </c>
      <c r="AI34" s="14">
        <f>IF('Données projet'!$A$62&gt;35,AI33+AH34-AQ33,IF(A34&lt;'Données projet'!$A$62,$AF$205^A34,IF(A34='Données projet'!$A$62,'Données projet'!$B$62,AI33+AH34-AQ33)))</f>
        <v>440.14666666666653</v>
      </c>
      <c r="AJ34" s="14">
        <f>AI34*VLOOKUP('Données projet'!$B$10,Paramètres!$A$1:$I$89,3,0)*VLOOKUP('Données projet'!$B$10,Paramètres!$A$1:$I$89,5,0)</f>
        <v>274.65151999999995</v>
      </c>
      <c r="AK34" s="14">
        <f t="shared" si="35"/>
        <v>65.835455719964187</v>
      </c>
      <c r="AL34" s="22">
        <f t="shared" si="4"/>
        <v>593.01481604560411</v>
      </c>
      <c r="AM34" s="62">
        <f t="shared" si="5"/>
        <v>886.34814937893748</v>
      </c>
      <c r="AN34" s="62">
        <f ca="1">AVERAGE(OFFSET($AM$3,0,0,'Données projet'!$E$10+1,1))-AVERAGE(OFFSET($H$3,0,0,'Données projet'!$E$10+1,1))</f>
        <v>420.68062999212015</v>
      </c>
      <c r="AO34" s="62">
        <f t="shared" si="36"/>
        <v>655.24090633185676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32.094294198068134</v>
      </c>
      <c r="AV34" s="23">
        <f>EXP(-LN(2)/25)*AV33+(1-EXP(-LN(2)/25))/(LN(2)/25)*Calculateur!AQ34*Calculateur!AS34*VLOOKUP('Données projet'!$B$10,Paramètres!$A$1:$I$89,3,0)*0.475*44/12</f>
        <v>7.6117649712382143</v>
      </c>
      <c r="AW34" s="23">
        <f>EXP(-LN(2)/2)*AW33+(1-EXP(-LN(2)/2))/(LN(2)/2)*AQ34*AT34*VLOOKUP('Données projet'!$B$10,Paramètres!$A$1:$I$89,3,0)*0.475*44/12</f>
        <v>6.2093410190579021</v>
      </c>
      <c r="AX34" s="23">
        <f t="shared" si="6"/>
        <v>45.915400188364252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</v>
      </c>
      <c r="BD34" s="13">
        <f>IF('Données projet'!$A$88&gt;35,BD33+BC34-BL33,IF(A34&lt;'Données projet'!$A$88,$BA$205^A34,IF(A34='Données projet'!$A$88,'Données projet'!$B$88,BD33+BC34-BL33)))</f>
        <v>62</v>
      </c>
      <c r="BE34" s="14">
        <f>BD34*VLOOKUP('Données projet'!$B$11,Paramètres!$A$1:$I$89,3,0)*VLOOKUP('Données projet'!$B$11,Paramètres!$A$1:$I$89,5,0)</f>
        <v>56.0976</v>
      </c>
      <c r="BF34" s="14">
        <f t="shared" si="37"/>
        <v>16.177791426098278</v>
      </c>
      <c r="BG34" s="22">
        <f t="shared" si="7"/>
        <v>125.87964006712117</v>
      </c>
      <c r="BH34" s="62">
        <f t="shared" si="8"/>
        <v>419.21297340045447</v>
      </c>
      <c r="BI34" s="62">
        <f ca="1">AVERAGE(OFFSET($BH$3,0,0,'Données projet'!$E$11+1,1))-AVERAGE(OFFSET($H$3,0,0,'Données projet'!$E$11+1,1))</f>
        <v>138.3429338270858</v>
      </c>
      <c r="BJ34" s="62">
        <f t="shared" si="38"/>
        <v>88.30225651635925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</v>
      </c>
      <c r="BY34" s="13">
        <f>IF('Données projet'!$A$114&gt;35,BY33+BX34-CG33,IF(A34&lt;'Données projet'!$A$114,$BV$205^A34,IF(A34='Données projet'!$A$114,'Données projet'!$B$114,BY33+BX34-CG33)))</f>
        <v>62</v>
      </c>
      <c r="BZ34" s="14">
        <f>BY34*VLOOKUP('Données projet'!$B$12,Paramètres!$A$1:$I$89,3,0)*VLOOKUP('Données projet'!$B$12,Paramètres!$A$1:$I$89,5,0)</f>
        <v>52.228800000000007</v>
      </c>
      <c r="CA34" s="14">
        <f t="shared" si="39"/>
        <v>15.18788789973001</v>
      </c>
      <c r="CB34" s="22">
        <f t="shared" si="10"/>
        <v>117.41739809202979</v>
      </c>
      <c r="CC34" s="62">
        <f t="shared" si="11"/>
        <v>410.75073142536309</v>
      </c>
      <c r="CD34" s="62">
        <f ca="1">AVERAGE(OFFSET($CC$3,0,0,'Données projet'!$E$12+1,1))-AVERAGE(OFFSET($H$3,0,0,'Données projet'!$E$12+1,1))</f>
        <v>122.57815304102127</v>
      </c>
      <c r="CE34" s="62">
        <f t="shared" si="40"/>
        <v>80.106609825870578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9.9205000000000041</v>
      </c>
      <c r="CT34" s="13">
        <f>IF('Données projet'!$A$140&gt;35,CT33+CS34-DB33,IF(A34&lt;'Données projet'!$A$140,$CQ$205^A34,IF(A34='Données projet'!$A$140,'Données projet'!$B$140,CT33+CS34-DB33)))</f>
        <v>181.80008333333336</v>
      </c>
      <c r="CU34" s="18">
        <f>CT34*VLOOKUP('Données projet'!$B$13,Paramètres!$A$1:$I$89,3,0)*VLOOKUP('Données projet'!$B$13,Paramètres!$A$1:$I$89,5,0)</f>
        <v>119.11541460000001</v>
      </c>
      <c r="CV34" s="14">
        <f t="shared" si="41"/>
        <v>31.46859551827384</v>
      </c>
      <c r="CW34" s="22">
        <f t="shared" si="13"/>
        <v>262.2671509559936</v>
      </c>
      <c r="CX34" s="62">
        <f t="shared" si="14"/>
        <v>555.60048428932691</v>
      </c>
      <c r="CY34" s="62">
        <f ca="1">AVERAGE(OFFSET($CX$3,0,0,'Données projet'!$E$13+1,1))-AVERAGE(OFFSET($H$3,0,0,'Données projet'!$E$13+1,1))</f>
        <v>199.99826357281154</v>
      </c>
      <c r="CZ34" s="62">
        <f t="shared" si="42"/>
        <v>214.67424457475136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4.7343179293079105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4.7343179293079105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9.9205000000000041</v>
      </c>
      <c r="DO34" s="13">
        <f>IF('Données projet'!$A$166&gt;35,DO33+DN34-DW33,IF(A34&lt;'Données projet'!$A$166,$DL$205^A34,IF(A34='Données projet'!$A$166,'Données projet'!$B$166,DO33+DN34-DW33)))</f>
        <v>181.80008333333336</v>
      </c>
      <c r="DP34" s="18">
        <f>DO34*VLOOKUP('Données projet'!$B$14,Paramètres!$A$1:$I$89,3,0)*VLOOKUP('Données projet'!$B$14,Paramètres!$A$1:$I$89,5,0)</f>
        <v>144.64014630000003</v>
      </c>
      <c r="DQ34" s="14">
        <f t="shared" si="43"/>
        <v>37.357972223509158</v>
      </c>
      <c r="DR34" s="22">
        <f t="shared" si="16"/>
        <v>316.98005642844515</v>
      </c>
      <c r="DS34" s="62">
        <f t="shared" si="17"/>
        <v>610.31338976177847</v>
      </c>
      <c r="DT34" s="62">
        <f ca="1">AVERAGE(OFFSET($DS$3,0,0,'Données projet'!$E$14+1,1))-AVERAGE(OFFSET($H$3,0,0,'Données projet'!$E$14+1,1))</f>
        <v>248.15263300983543</v>
      </c>
      <c r="DU34" s="62">
        <f t="shared" si="44"/>
        <v>266.46511459244618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7.0857482629674857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7.0857482629674857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9.9205000000000041</v>
      </c>
      <c r="EJ34" s="13">
        <f>IF('Données projet'!$A$192&gt;35,EJ33+EI34-ER33,IF(A34&lt;'Données projet'!$A$192,$EG$205^A34,IF(A34='Données projet'!$A$192,'Données projet'!$B$192,EJ33+EI34-ER33)))</f>
        <v>181.80008333333336</v>
      </c>
      <c r="EK34" s="18">
        <f>EJ34*VLOOKUP('Données projet'!$B$15,Paramètres!$A$1:$I$89,3,0)*VLOOKUP('Données projet'!$B$15,Paramètres!$A$1:$I$89,5,0)</f>
        <v>121.95149590000003</v>
      </c>
      <c r="EL34" s="14">
        <f t="shared" si="45"/>
        <v>32.129725457995363</v>
      </c>
      <c r="EM34" s="22">
        <f t="shared" si="19"/>
        <v>268.35812719850861</v>
      </c>
      <c r="EN34" s="62">
        <f t="shared" si="20"/>
        <v>561.69146053184193</v>
      </c>
      <c r="EO34" s="62">
        <f ca="1">AVERAGE(OFFSET($EN$3,0,0,'Données projet'!$E$15+1,1))-AVERAGE(OFFSET($H$3,0,0,'Données projet'!$E$15+1,1))</f>
        <v>205.35893113421139</v>
      </c>
      <c r="EP34" s="62">
        <f t="shared" si="46"/>
        <v>220.4399811285175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5.9742583393647433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5.9742583393647433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27.6</v>
      </c>
      <c r="N35" s="14">
        <f>IF('Données projet'!$A$36&gt;35,N34+M35-V34,IF(A35&lt;'Données projet'!$A$36,$K$205^A35,IF(A35='Données projet'!$A$36,'Données projet'!$B$36,N34+M35-V34)))</f>
        <v>422.20000000000005</v>
      </c>
      <c r="O35" s="14">
        <f>N35*VLOOKUP('Données projet'!$B$9,Paramètres!$A$1:$I$89,3,0)*VLOOKUP('Données projet'!$B$9,Paramètres!$A$1:$I$89,5,0)</f>
        <v>236.00980000000004</v>
      </c>
      <c r="P35" s="14">
        <f t="shared" si="33"/>
        <v>57.580183613654185</v>
      </c>
      <c r="Q35" s="22">
        <f t="shared" ref="Q35:Q66" si="53">(O35+P35)*0.475*44/12</f>
        <v>511.3358881271144</v>
      </c>
      <c r="R35" s="62">
        <f t="shared" si="0"/>
        <v>804.66922146044772</v>
      </c>
      <c r="S35" s="62">
        <f ca="1">AVERAGE(OFFSET($R$3,0,0,'Données projet'!$E$9+1,1))-AVERAGE(OFFSET($H$3,0,0,'Données projet'!$E$9+1,1))</f>
        <v>382.55387448074327</v>
      </c>
      <c r="T35" s="62">
        <f t="shared" si="34"/>
        <v>476.29465646955543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14.818114273187579</v>
      </c>
      <c r="AA35" s="23">
        <f>EXP(-LN(2)/25)*AA34+(1-EXP(-LN(2)/25))/(LN(2)/25)*Calculateur!V35*Calculateur!X35*VLOOKUP('Données projet'!$B$9,Paramètres!$A$1:$I$89,3,0)*0.475*44/12</f>
        <v>13.604389614429726</v>
      </c>
      <c r="AB35" s="23">
        <f>EXP(-LN(2)/2)*AB34+(1-EXP(-LN(2)/2))/(LN(2)/2)*V35*Y35*VLOOKUP('Données projet'!$B$9,Paramètres!$A$1:$I$89,3,0)*0.475*44/12</f>
        <v>3.5849145377505796</v>
      </c>
      <c r="AC35" s="24">
        <f t="shared" si="3"/>
        <v>32.007418425367881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21.266666666666669</v>
      </c>
      <c r="AI35" s="14">
        <f>IF('Données projet'!$A$62&gt;35,AI34+AH35-AQ34,IF(A35&lt;'Données projet'!$A$62,$AF$205^A35,IF(A35='Données projet'!$A$62,'Données projet'!$B$62,AI34+AH35-AQ34)))</f>
        <v>461.41333333333318</v>
      </c>
      <c r="AJ35" s="14">
        <f>AI35*VLOOKUP('Données projet'!$B$10,Paramètres!$A$1:$I$89,3,0)*VLOOKUP('Données projet'!$B$10,Paramètres!$A$1:$I$89,5,0)</f>
        <v>287.92191999999989</v>
      </c>
      <c r="AK35" s="14">
        <f t="shared" si="35"/>
        <v>68.638410234460778</v>
      </c>
      <c r="AL35" s="22">
        <f t="shared" si="4"/>
        <v>621.00924182501899</v>
      </c>
      <c r="AM35" s="62">
        <f t="shared" si="5"/>
        <v>914.34257515835225</v>
      </c>
      <c r="AN35" s="62">
        <f ca="1">AVERAGE(OFFSET($AM$3,0,0,'Données projet'!$E$10+1,1))-AVERAGE(OFFSET($H$3,0,0,'Données projet'!$E$10+1,1))</f>
        <v>420.68062999212015</v>
      </c>
      <c r="AO35" s="62">
        <f t="shared" si="36"/>
        <v>655.24090633185676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31.464944664430551</v>
      </c>
      <c r="AV35" s="23">
        <f>EXP(-LN(2)/25)*AV34+(1-EXP(-LN(2)/25))/(LN(2)/25)*Calculateur!AQ35*Calculateur!AS35*VLOOKUP('Données projet'!$B$10,Paramètres!$A$1:$I$89,3,0)*0.475*44/12</f>
        <v>7.4036208578143823</v>
      </c>
      <c r="AW35" s="23">
        <f>EXP(-LN(2)/2)*AW34+(1-EXP(-LN(2)/2))/(LN(2)/2)*AQ35*AT35*VLOOKUP('Données projet'!$B$10,Paramètres!$A$1:$I$89,3,0)*0.475*44/12</f>
        <v>4.39066714127563</v>
      </c>
      <c r="AX35" s="23">
        <f t="shared" si="6"/>
        <v>43.259232663520564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</v>
      </c>
      <c r="BD35" s="13">
        <f>IF('Données projet'!$A$88&gt;35,BD34+BC35-BL34,IF(A35&lt;'Données projet'!$A$88,$BA$205^A35,IF(A35='Données projet'!$A$88,'Données projet'!$B$88,BD34+BC35-BL34)))</f>
        <v>64</v>
      </c>
      <c r="BE35" s="14">
        <f>BD35*VLOOKUP('Données projet'!$B$11,Paramètres!$A$1:$I$89,3,0)*VLOOKUP('Données projet'!$B$11,Paramètres!$A$1:$I$89,5,0)</f>
        <v>57.907199999999996</v>
      </c>
      <c r="BF35" s="14">
        <f t="shared" si="37"/>
        <v>16.638055172386</v>
      </c>
      <c r="BG35" s="22">
        <f t="shared" si="7"/>
        <v>129.83298609190561</v>
      </c>
      <c r="BH35" s="62">
        <f t="shared" si="8"/>
        <v>423.16631942523895</v>
      </c>
      <c r="BI35" s="62">
        <f ca="1">AVERAGE(OFFSET($BH$3,0,0,'Données projet'!$E$11+1,1))-AVERAGE(OFFSET($H$3,0,0,'Données projet'!$E$11+1,1))</f>
        <v>138.3429338270858</v>
      </c>
      <c r="BJ35" s="62">
        <f t="shared" si="38"/>
        <v>88.30225651635925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</v>
      </c>
      <c r="BY35" s="13">
        <f>IF('Données projet'!$A$114&gt;35,BY34+BX35-CG34,IF(A35&lt;'Données projet'!$A$114,$BV$205^A35,IF(A35='Données projet'!$A$114,'Données projet'!$B$114,BY34+BX35-CG34)))</f>
        <v>64</v>
      </c>
      <c r="BZ35" s="14">
        <f>BY35*VLOOKUP('Données projet'!$B$12,Paramètres!$A$1:$I$89,3,0)*VLOOKUP('Données projet'!$B$12,Paramètres!$A$1:$I$89,5,0)</f>
        <v>53.913600000000002</v>
      </c>
      <c r="CA35" s="14">
        <f t="shared" si="39"/>
        <v>15.619988549244528</v>
      </c>
      <c r="CB35" s="22">
        <f t="shared" si="10"/>
        <v>121.10433338993421</v>
      </c>
      <c r="CC35" s="62">
        <f t="shared" si="11"/>
        <v>414.43766672326751</v>
      </c>
      <c r="CD35" s="62">
        <f ca="1">AVERAGE(OFFSET($CC$3,0,0,'Données projet'!$E$12+1,1))-AVERAGE(OFFSET($H$3,0,0,'Données projet'!$E$12+1,1))</f>
        <v>122.57815304102127</v>
      </c>
      <c r="CE35" s="62">
        <f t="shared" si="40"/>
        <v>80.106609825870578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9.9205000000000041</v>
      </c>
      <c r="CT35" s="13">
        <f>IF('Données projet'!$A$140&gt;35,CT34+CS35-DB34,IF(A35&lt;'Données projet'!$A$140,$CQ$205^A35,IF(A35='Données projet'!$A$140,'Données projet'!$B$140,CT34+CS35-DB34)))</f>
        <v>191.72058333333337</v>
      </c>
      <c r="CU35" s="18">
        <f>CT35*VLOOKUP('Données projet'!$B$13,Paramètres!$A$1:$I$89,3,0)*VLOOKUP('Données projet'!$B$13,Paramètres!$A$1:$I$89,5,0)</f>
        <v>125.61532620000003</v>
      </c>
      <c r="CV35" s="14">
        <f t="shared" si="41"/>
        <v>32.981175700583101</v>
      </c>
      <c r="CW35" s="22">
        <f t="shared" si="13"/>
        <v>276.22224081018226</v>
      </c>
      <c r="CX35" s="62">
        <f t="shared" si="14"/>
        <v>569.55557414351551</v>
      </c>
      <c r="CY35" s="62">
        <f ca="1">AVERAGE(OFFSET($CX$3,0,0,'Données projet'!$E$13+1,1))-AVERAGE(OFFSET($H$3,0,0,'Données projet'!$E$13+1,1))</f>
        <v>199.99826357281154</v>
      </c>
      <c r="CZ35" s="62">
        <f t="shared" si="42"/>
        <v>214.67424457475136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4.6414808423629879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4.6414808423629879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9.9205000000000041</v>
      </c>
      <c r="DO35" s="13">
        <f>IF('Données projet'!$A$166&gt;35,DO34+DN35-DW34,IF(A35&lt;'Données projet'!$A$166,$DL$205^A35,IF(A35='Données projet'!$A$166,'Données projet'!$B$166,DO34+DN35-DW34)))</f>
        <v>191.72058333333337</v>
      </c>
      <c r="DP35" s="18">
        <f>DO35*VLOOKUP('Données projet'!$B$14,Paramètres!$A$1:$I$89,3,0)*VLOOKUP('Données projet'!$B$14,Paramètres!$A$1:$I$89,5,0)</f>
        <v>152.53289610000004</v>
      </c>
      <c r="DQ35" s="14">
        <f t="shared" si="43"/>
        <v>39.153633183456513</v>
      </c>
      <c r="DR35" s="22">
        <f t="shared" si="16"/>
        <v>333.85403850202016</v>
      </c>
      <c r="DS35" s="62">
        <f t="shared" si="17"/>
        <v>627.18737183535347</v>
      </c>
      <c r="DT35" s="62">
        <f ca="1">AVERAGE(OFFSET($DS$3,0,0,'Données projet'!$E$14+1,1))-AVERAGE(OFFSET($H$3,0,0,'Données projet'!$E$14+1,1))</f>
        <v>248.15263300983543</v>
      </c>
      <c r="DU35" s="62">
        <f t="shared" si="44"/>
        <v>266.46511459244618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6.9468010614103832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6.9468010614103832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9.9205000000000041</v>
      </c>
      <c r="EJ35" s="13">
        <f>IF('Données projet'!$A$192&gt;35,EJ34+EI35-ER34,IF(A35&lt;'Données projet'!$A$192,$EG$205^A35,IF(A35='Données projet'!$A$192,'Données projet'!$B$192,EJ34+EI35-ER34)))</f>
        <v>191.72058333333337</v>
      </c>
      <c r="EK35" s="18">
        <f>EJ35*VLOOKUP('Données projet'!$B$15,Paramètres!$A$1:$I$89,3,0)*VLOOKUP('Données projet'!$B$15,Paramètres!$A$1:$I$89,5,0)</f>
        <v>128.60616730000004</v>
      </c>
      <c r="EL35" s="14">
        <f t="shared" si="45"/>
        <v>33.674083736158103</v>
      </c>
      <c r="EM35" s="22">
        <f t="shared" si="19"/>
        <v>282.63810388797543</v>
      </c>
      <c r="EN35" s="62">
        <f t="shared" si="20"/>
        <v>575.97143722130875</v>
      </c>
      <c r="EO35" s="62">
        <f ca="1">AVERAGE(OFFSET($EN$3,0,0,'Données projet'!$E$15+1,1))-AVERAGE(OFFSET($H$3,0,0,'Données projet'!$E$15+1,1))</f>
        <v>205.35893113421139</v>
      </c>
      <c r="EP35" s="62">
        <f t="shared" si="46"/>
        <v>220.4399811285175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5.8571067772675791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5.8571067772675791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27.6</v>
      </c>
      <c r="N36" s="14">
        <f>IF('Données projet'!$A$36&gt;35,N35+M36-V35,IF(A36&lt;'Données projet'!$A$36,$K$205^A36,IF(A36='Données projet'!$A$36,'Données projet'!$B$36,N35+M36-V35)))</f>
        <v>449.80000000000007</v>
      </c>
      <c r="O36" s="14">
        <f>N36*VLOOKUP('Données projet'!$B$9,Paramètres!$A$1:$I$89,3,0)*VLOOKUP('Données projet'!$B$9,Paramètres!$A$1:$I$89,5,0)</f>
        <v>251.43820000000002</v>
      </c>
      <c r="P36" s="14">
        <f t="shared" si="33"/>
        <v>60.893806844597648</v>
      </c>
      <c r="Q36" s="22">
        <f t="shared" si="53"/>
        <v>543.978245254341</v>
      </c>
      <c r="R36" s="62">
        <f t="shared" si="0"/>
        <v>837.31157858767438</v>
      </c>
      <c r="S36" s="62">
        <f ca="1">AVERAGE(OFFSET($R$3,0,0,'Données projet'!$E$9+1,1))-AVERAGE(OFFSET($H$3,0,0,'Données projet'!$E$9+1,1))</f>
        <v>382.55387448074327</v>
      </c>
      <c r="T36" s="62">
        <f t="shared" si="34"/>
        <v>476.29465646955543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14.527540090447634</v>
      </c>
      <c r="AA36" s="23">
        <f>EXP(-LN(2)/25)*AA35+(1-EXP(-LN(2)/25))/(LN(2)/25)*Calculateur!V36*Calculateur!X36*VLOOKUP('Données projet'!$B$9,Paramètres!$A$1:$I$89,3,0)*0.475*44/12</f>
        <v>13.232376864999388</v>
      </c>
      <c r="AB36" s="23">
        <f>EXP(-LN(2)/2)*AB35+(1-EXP(-LN(2)/2))/(LN(2)/2)*V36*Y36*VLOOKUP('Données projet'!$B$9,Paramètres!$A$1:$I$89,3,0)*0.475*44/12</f>
        <v>2.5349173796176725</v>
      </c>
      <c r="AC36" s="24">
        <f t="shared" si="3"/>
        <v>30.294834335064692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21.266666666666669</v>
      </c>
      <c r="AI36" s="14">
        <f>IF('Données projet'!$A$62&gt;35,AI35+AH36-AQ35,IF(A36&lt;'Données projet'!$A$62,$AF$205^A36,IF(A36='Données projet'!$A$62,'Données projet'!$B$62,AI35+AH36-AQ35)))</f>
        <v>482.67999999999984</v>
      </c>
      <c r="AJ36" s="14">
        <f>AI36*VLOOKUP('Données projet'!$B$10,Paramètres!$A$1:$I$89,3,0)*VLOOKUP('Données projet'!$B$10,Paramètres!$A$1:$I$89,5,0)</f>
        <v>301.19231999999988</v>
      </c>
      <c r="AK36" s="14">
        <f t="shared" si="35"/>
        <v>71.426361813179113</v>
      </c>
      <c r="AL36" s="22">
        <f t="shared" si="4"/>
        <v>648.97753749128674</v>
      </c>
      <c r="AM36" s="62">
        <f t="shared" si="5"/>
        <v>942.31087082462</v>
      </c>
      <c r="AN36" s="62">
        <f ca="1">AVERAGE(OFFSET($AM$3,0,0,'Données projet'!$E$10+1,1))-AVERAGE(OFFSET($H$3,0,0,'Données projet'!$E$10+1,1))</f>
        <v>420.68062999212015</v>
      </c>
      <c r="AO36" s="62">
        <f t="shared" si="36"/>
        <v>655.24090633185676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30.847936291282288</v>
      </c>
      <c r="AV36" s="23">
        <f>EXP(-LN(2)/25)*AV35+(1-EXP(-LN(2)/25))/(LN(2)/25)*Calculateur!AQ36*Calculateur!AS36*VLOOKUP('Données projet'!$B$10,Paramètres!$A$1:$I$89,3,0)*0.475*44/12</f>
        <v>7.2011684561179479</v>
      </c>
      <c r="AW36" s="23">
        <f>EXP(-LN(2)/2)*AW35+(1-EXP(-LN(2)/2))/(LN(2)/2)*AQ36*AT36*VLOOKUP('Données projet'!$B$10,Paramètres!$A$1:$I$89,3,0)*0.475*44/12</f>
        <v>3.1046705095289511</v>
      </c>
      <c r="AX36" s="23">
        <f t="shared" si="6"/>
        <v>41.153775256929187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</v>
      </c>
      <c r="BD36" s="13">
        <f>IF('Données projet'!$A$88&gt;35,BD35+BC36-BL35,IF(A36&lt;'Données projet'!$A$88,$BA$205^A36,IF(A36='Données projet'!$A$88,'Données projet'!$B$88,BD35+BC36-BL35)))</f>
        <v>66</v>
      </c>
      <c r="BE36" s="14">
        <f>BD36*VLOOKUP('Données projet'!$B$11,Paramètres!$A$1:$I$89,3,0)*VLOOKUP('Données projet'!$B$11,Paramètres!$A$1:$I$89,5,0)</f>
        <v>59.716799999999992</v>
      </c>
      <c r="BF36" s="14">
        <f t="shared" si="37"/>
        <v>17.096647463151516</v>
      </c>
      <c r="BG36" s="22">
        <f t="shared" si="7"/>
        <v>133.78342099832221</v>
      </c>
      <c r="BH36" s="62">
        <f t="shared" si="8"/>
        <v>427.11675433165556</v>
      </c>
      <c r="BI36" s="62">
        <f ca="1">AVERAGE(OFFSET($BH$3,0,0,'Données projet'!$E$11+1,1))-AVERAGE(OFFSET($H$3,0,0,'Données projet'!$E$11+1,1))</f>
        <v>138.3429338270858</v>
      </c>
      <c r="BJ36" s="62">
        <f t="shared" si="38"/>
        <v>88.30225651635925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</v>
      </c>
      <c r="BY36" s="13">
        <f>IF('Données projet'!$A$114&gt;35,BY35+BX36-CG35,IF(A36&lt;'Données projet'!$A$114,$BV$205^A36,IF(A36='Données projet'!$A$114,'Données projet'!$B$114,BY35+BX36-CG35)))</f>
        <v>66</v>
      </c>
      <c r="BZ36" s="14">
        <f>BY36*VLOOKUP('Données projet'!$B$12,Paramètres!$A$1:$I$89,3,0)*VLOOKUP('Données projet'!$B$12,Paramètres!$A$1:$I$89,5,0)</f>
        <v>55.598400000000005</v>
      </c>
      <c r="CA36" s="14">
        <f t="shared" si="39"/>
        <v>16.050520017995645</v>
      </c>
      <c r="CB36" s="22">
        <f t="shared" si="10"/>
        <v>124.78853569800908</v>
      </c>
      <c r="CC36" s="62">
        <f t="shared" si="11"/>
        <v>418.12186903134238</v>
      </c>
      <c r="CD36" s="62">
        <f ca="1">AVERAGE(OFFSET($CC$3,0,0,'Données projet'!$E$12+1,1))-AVERAGE(OFFSET($H$3,0,0,'Données projet'!$E$12+1,1))</f>
        <v>122.57815304102127</v>
      </c>
      <c r="CE36" s="62">
        <f t="shared" si="40"/>
        <v>80.106609825870578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9.9205000000000041</v>
      </c>
      <c r="CT36" s="13">
        <f>IF('Données projet'!$A$140&gt;35,CT35+CS36-DB35,IF(A36&lt;'Données projet'!$A$140,$CQ$205^A36,IF(A36='Données projet'!$A$140,'Données projet'!$B$140,CT35+CS36-DB35)))</f>
        <v>201.64108333333337</v>
      </c>
      <c r="CU36" s="18">
        <f>CT36*VLOOKUP('Données projet'!$B$13,Paramètres!$A$1:$I$89,3,0)*VLOOKUP('Données projet'!$B$13,Paramètres!$A$1:$I$89,5,0)</f>
        <v>132.11523780000002</v>
      </c>
      <c r="CV36" s="14">
        <f t="shared" si="41"/>
        <v>34.484668609014825</v>
      </c>
      <c r="CW36" s="22">
        <f t="shared" si="13"/>
        <v>290.16150366236747</v>
      </c>
      <c r="CX36" s="62">
        <f t="shared" si="14"/>
        <v>583.49483699570078</v>
      </c>
      <c r="CY36" s="62">
        <f ca="1">AVERAGE(OFFSET($CX$3,0,0,'Données projet'!$E$13+1,1))-AVERAGE(OFFSET($H$3,0,0,'Données projet'!$E$13+1,1))</f>
        <v>199.99826357281154</v>
      </c>
      <c r="CZ36" s="62">
        <f t="shared" si="42"/>
        <v>214.67424457475136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4.5504642340680235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4.5504642340680235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9.9205000000000041</v>
      </c>
      <c r="DO36" s="13">
        <f>IF('Données projet'!$A$166&gt;35,DO35+DN36-DW35,IF(A36&lt;'Données projet'!$A$166,$DL$205^A36,IF(A36='Données projet'!$A$166,'Données projet'!$B$166,DO35+DN36-DW35)))</f>
        <v>201.64108333333337</v>
      </c>
      <c r="DP36" s="18">
        <f>DO36*VLOOKUP('Données projet'!$B$14,Paramètres!$A$1:$I$89,3,0)*VLOOKUP('Données projet'!$B$14,Paramètres!$A$1:$I$89,5,0)</f>
        <v>160.42564590000003</v>
      </c>
      <c r="DQ36" s="14">
        <f t="shared" si="43"/>
        <v>40.938506177830227</v>
      </c>
      <c r="DR36" s="22">
        <f t="shared" si="16"/>
        <v>350.70923153555435</v>
      </c>
      <c r="DS36" s="62">
        <f t="shared" si="17"/>
        <v>644.04256486888767</v>
      </c>
      <c r="DT36" s="62">
        <f ca="1">AVERAGE(OFFSET($DS$3,0,0,'Données projet'!$E$14+1,1))-AVERAGE(OFFSET($H$3,0,0,'Données projet'!$E$14+1,1))</f>
        <v>248.15263300983543</v>
      </c>
      <c r="DU36" s="62">
        <f t="shared" si="44"/>
        <v>266.46511459244618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6.8105785297263912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6.8105785297263912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9.9205000000000041</v>
      </c>
      <c r="EJ36" s="13">
        <f>IF('Données projet'!$A$192&gt;35,EJ35+EI36-ER35,IF(A36&lt;'Données projet'!$A$192,$EG$205^A36,IF(A36='Données projet'!$A$192,'Données projet'!$B$192,EJ35+EI36-ER35)))</f>
        <v>201.64108333333337</v>
      </c>
      <c r="EK36" s="18">
        <f>EJ36*VLOOKUP('Données projet'!$B$15,Paramètres!$A$1:$I$89,3,0)*VLOOKUP('Données projet'!$B$15,Paramètres!$A$1:$I$89,5,0)</f>
        <v>135.26083870000002</v>
      </c>
      <c r="EL36" s="14">
        <f t="shared" si="45"/>
        <v>35.209163824111265</v>
      </c>
      <c r="EM36" s="22">
        <f t="shared" si="19"/>
        <v>296.90192106282717</v>
      </c>
      <c r="EN36" s="62">
        <f t="shared" si="20"/>
        <v>590.23525439616049</v>
      </c>
      <c r="EO36" s="62">
        <f ca="1">AVERAGE(OFFSET($EN$3,0,0,'Données projet'!$E$15+1,1))-AVERAGE(OFFSET($H$3,0,0,'Données projet'!$E$15+1,1))</f>
        <v>205.35893113421139</v>
      </c>
      <c r="EP36" s="62">
        <f t="shared" si="46"/>
        <v>220.4399811285175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5.7422524858477431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5.7422524858477431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27.6</v>
      </c>
      <c r="N37" s="14">
        <f>IF('Données projet'!$A$36&gt;35,N36+M37-V36,IF(A37&lt;'Données projet'!$A$36,$K$205^A37,IF(A37='Données projet'!$A$36,'Données projet'!$B$36,N36+M37-V36)))</f>
        <v>477.40000000000009</v>
      </c>
      <c r="O37" s="14">
        <f>N37*VLOOKUP('Données projet'!$B$9,Paramètres!$A$1:$I$89,3,0)*VLOOKUP('Données projet'!$B$9,Paramètres!$A$1:$I$89,5,0)</f>
        <v>266.86660000000006</v>
      </c>
      <c r="P37" s="14">
        <f t="shared" si="33"/>
        <v>64.183831628008477</v>
      </c>
      <c r="Q37" s="22">
        <f t="shared" si="53"/>
        <v>576.57950175211477</v>
      </c>
      <c r="R37" s="62">
        <f t="shared" si="0"/>
        <v>869.91283508544802</v>
      </c>
      <c r="S37" s="62">
        <f ca="1">AVERAGE(OFFSET($R$3,0,0,'Données projet'!$E$9+1,1))-AVERAGE(OFFSET($H$3,0,0,'Données projet'!$E$9+1,1))</f>
        <v>382.55387448074327</v>
      </c>
      <c r="T37" s="62">
        <f t="shared" si="34"/>
        <v>476.29465646955543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14.242663890198466</v>
      </c>
      <c r="AA37" s="23">
        <f>EXP(-LN(2)/25)*AA36+(1-EXP(-LN(2)/25))/(LN(2)/25)*Calculateur!V37*Calculateur!X37*VLOOKUP('Données projet'!$B$9,Paramètres!$A$1:$I$89,3,0)*0.475*44/12</f>
        <v>12.870536823765523</v>
      </c>
      <c r="AB37" s="23">
        <f>EXP(-LN(2)/2)*AB36+(1-EXP(-LN(2)/2))/(LN(2)/2)*V37*Y37*VLOOKUP('Données projet'!$B$9,Paramètres!$A$1:$I$89,3,0)*0.475*44/12</f>
        <v>1.79245726887529</v>
      </c>
      <c r="AC37" s="24">
        <f t="shared" si="3"/>
        <v>28.90565798283928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21.266666666666669</v>
      </c>
      <c r="AI37" s="14">
        <f>IF('Données projet'!$A$62&gt;35,AI36+AH37-AQ36,IF(A37&lt;'Données projet'!$A$62,$AF$205^A37,IF(A37='Données projet'!$A$62,'Données projet'!$B$62,AI36+AH37-AQ36)))</f>
        <v>503.94666666666649</v>
      </c>
      <c r="AJ37" s="14">
        <f>AI37*VLOOKUP('Données projet'!$B$10,Paramètres!$A$1:$I$89,3,0)*VLOOKUP('Données projet'!$B$10,Paramètres!$A$1:$I$89,5,0)</f>
        <v>314.46271999999988</v>
      </c>
      <c r="AK37" s="14">
        <f t="shared" si="35"/>
        <v>74.200047019371794</v>
      </c>
      <c r="AL37" s="22">
        <f t="shared" si="4"/>
        <v>676.92098589207239</v>
      </c>
      <c r="AM37" s="62">
        <f t="shared" si="5"/>
        <v>970.25431922540565</v>
      </c>
      <c r="AN37" s="62">
        <f ca="1">AVERAGE(OFFSET($AM$3,0,0,'Données projet'!$E$10+1,1))-AVERAGE(OFFSET($H$3,0,0,'Données projet'!$E$10+1,1))</f>
        <v>420.68062999212015</v>
      </c>
      <c r="AO37" s="62">
        <f t="shared" si="36"/>
        <v>655.24090633185676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30.243027075993513</v>
      </c>
      <c r="AV37" s="23">
        <f>EXP(-LN(2)/25)*AV36+(1-EXP(-LN(2)/25))/(LN(2)/25)*Calculateur!AQ37*Calculateur!AS37*VLOOKUP('Données projet'!$B$10,Paramètres!$A$1:$I$89,3,0)*0.475*44/12</f>
        <v>7.0042521259924122</v>
      </c>
      <c r="AW37" s="23">
        <f>EXP(-LN(2)/2)*AW36+(1-EXP(-LN(2)/2))/(LN(2)/2)*AQ37*AT37*VLOOKUP('Données projet'!$B$10,Paramètres!$A$1:$I$89,3,0)*0.475*44/12</f>
        <v>2.195333570637815</v>
      </c>
      <c r="AX37" s="23">
        <f t="shared" si="6"/>
        <v>39.44261277262374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</v>
      </c>
      <c r="BD37" s="13">
        <f>IF('Données projet'!$A$88&gt;35,BD36+BC37-BL36,IF(A37&lt;'Données projet'!$A$88,$BA$205^A37,IF(A37='Données projet'!$A$88,'Données projet'!$B$88,BD36+BC37-BL36)))</f>
        <v>68</v>
      </c>
      <c r="BE37" s="14">
        <f>BD37*VLOOKUP('Données projet'!$B$11,Paramètres!$A$1:$I$89,3,0)*VLOOKUP('Données projet'!$B$11,Paramètres!$A$1:$I$89,5,0)</f>
        <v>61.526399999999995</v>
      </c>
      <c r="BF37" s="14">
        <f t="shared" si="37"/>
        <v>17.553624762159014</v>
      </c>
      <c r="BG37" s="22">
        <f t="shared" si="7"/>
        <v>137.73104312742694</v>
      </c>
      <c r="BH37" s="62">
        <f t="shared" si="8"/>
        <v>431.06437646076029</v>
      </c>
      <c r="BI37" s="62">
        <f ca="1">AVERAGE(OFFSET($BH$3,0,0,'Données projet'!$E$11+1,1))-AVERAGE(OFFSET($H$3,0,0,'Données projet'!$E$11+1,1))</f>
        <v>138.3429338270858</v>
      </c>
      <c r="BJ37" s="62">
        <f t="shared" si="38"/>
        <v>88.30225651635925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</v>
      </c>
      <c r="BY37" s="13">
        <f>IF('Données projet'!$A$114&gt;35,BY36+BX37-CG36,IF(A37&lt;'Données projet'!$A$114,$BV$205^A37,IF(A37='Données projet'!$A$114,'Données projet'!$B$114,BY36+BX37-CG36)))</f>
        <v>68</v>
      </c>
      <c r="BZ37" s="14">
        <f>BY37*VLOOKUP('Données projet'!$B$12,Paramètres!$A$1:$I$89,3,0)*VLOOKUP('Données projet'!$B$12,Paramètres!$A$1:$I$89,5,0)</f>
        <v>57.283200000000001</v>
      </c>
      <c r="CA37" s="14">
        <f t="shared" si="39"/>
        <v>16.479535314783966</v>
      </c>
      <c r="CB37" s="22">
        <f t="shared" si="10"/>
        <v>128.47009733991538</v>
      </c>
      <c r="CC37" s="62">
        <f t="shared" si="11"/>
        <v>421.80343067324873</v>
      </c>
      <c r="CD37" s="62">
        <f ca="1">AVERAGE(OFFSET($CC$3,0,0,'Données projet'!$E$12+1,1))-AVERAGE(OFFSET($H$3,0,0,'Données projet'!$E$12+1,1))</f>
        <v>122.57815304102127</v>
      </c>
      <c r="CE37" s="62">
        <f t="shared" si="40"/>
        <v>80.106609825870578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9.9205000000000041</v>
      </c>
      <c r="CT37" s="13">
        <f>IF('Données projet'!$A$140&gt;35,CT36+CS37-DB36,IF(A37&lt;'Données projet'!$A$140,$CQ$205^A37,IF(A37='Données projet'!$A$140,'Données projet'!$B$140,CT36+CS37-DB36)))</f>
        <v>211.56158333333337</v>
      </c>
      <c r="CU37" s="18">
        <f>CT37*VLOOKUP('Données projet'!$B$13,Paramètres!$A$1:$I$89,3,0)*VLOOKUP('Données projet'!$B$13,Paramètres!$A$1:$I$89,5,0)</f>
        <v>138.61514940000001</v>
      </c>
      <c r="CV37" s="14">
        <f t="shared" si="41"/>
        <v>35.979572351988139</v>
      </c>
      <c r="CW37" s="22">
        <f t="shared" si="13"/>
        <v>304.08580705137939</v>
      </c>
      <c r="CX37" s="62">
        <f t="shared" si="14"/>
        <v>597.4191403847127</v>
      </c>
      <c r="CY37" s="62">
        <f ca="1">AVERAGE(OFFSET($CX$3,0,0,'Données projet'!$E$13+1,1))-AVERAGE(OFFSET($H$3,0,0,'Données projet'!$E$13+1,1))</f>
        <v>199.99826357281154</v>
      </c>
      <c r="CZ37" s="62">
        <f t="shared" si="42"/>
        <v>214.67424457475136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4.4612324059470732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4.4612324059470732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9.9205000000000041</v>
      </c>
      <c r="DO37" s="13">
        <f>IF('Données projet'!$A$166&gt;35,DO36+DN37-DW36,IF(A37&lt;'Données projet'!$A$166,$DL$205^A37,IF(A37='Données projet'!$A$166,'Données projet'!$B$166,DO36+DN37-DW36)))</f>
        <v>211.56158333333337</v>
      </c>
      <c r="DP37" s="18">
        <f>DO37*VLOOKUP('Données projet'!$B$14,Paramètres!$A$1:$I$89,3,0)*VLOOKUP('Données projet'!$B$14,Paramètres!$A$1:$I$89,5,0)</f>
        <v>168.31839570000005</v>
      </c>
      <c r="DQ37" s="14">
        <f t="shared" si="43"/>
        <v>42.713182536499829</v>
      </c>
      <c r="DR37" s="22">
        <f t="shared" si="16"/>
        <v>367.54666542857058</v>
      </c>
      <c r="DS37" s="62">
        <f t="shared" si="17"/>
        <v>660.87999876190383</v>
      </c>
      <c r="DT37" s="62">
        <f ca="1">AVERAGE(OFFSET($DS$3,0,0,'Données projet'!$E$14+1,1))-AVERAGE(OFFSET($H$3,0,0,'Données projet'!$E$14+1,1))</f>
        <v>248.15263300983543</v>
      </c>
      <c r="DU37" s="62">
        <f t="shared" si="44"/>
        <v>266.46511459244618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6.6770272388011822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6.6770272388011822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9.9205000000000041</v>
      </c>
      <c r="EJ37" s="13">
        <f>IF('Données projet'!$A$192&gt;35,EJ36+EI37-ER36,IF(A37&lt;'Données projet'!$A$192,$EG$205^A37,IF(A37='Données projet'!$A$192,'Données projet'!$B$192,EJ36+EI37-ER36)))</f>
        <v>211.56158333333337</v>
      </c>
      <c r="EK37" s="18">
        <f>EJ37*VLOOKUP('Données projet'!$B$15,Paramètres!$A$1:$I$89,3,0)*VLOOKUP('Données projet'!$B$15,Paramètres!$A$1:$I$89,5,0)</f>
        <v>141.91551010000003</v>
      </c>
      <c r="EL37" s="14">
        <f t="shared" si="45"/>
        <v>36.73547429513215</v>
      </c>
      <c r="EM37" s="22">
        <f t="shared" si="19"/>
        <v>311.15046448818856</v>
      </c>
      <c r="EN37" s="62">
        <f t="shared" si="20"/>
        <v>604.48379782152188</v>
      </c>
      <c r="EO37" s="62">
        <f ca="1">AVERAGE(OFFSET($EN$3,0,0,'Données projet'!$E$15+1,1))-AVERAGE(OFFSET($H$3,0,0,'Données projet'!$E$15+1,1))</f>
        <v>205.35893113421139</v>
      </c>
      <c r="EP37" s="62">
        <f t="shared" si="46"/>
        <v>220.4399811285175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5.6296504170284489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5.6296504170284489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505</v>
      </c>
      <c r="L38" s="13">
        <f>VLOOKUP(A38,'Données projet'!$A$35:$I$55,9,0)</f>
        <v>27.6</v>
      </c>
      <c r="M38" s="13">
        <f t="array" ref="M38">INDEX(L:L,MIN(IF(ISNUMBER(L38:L234),ROW(L38:L234),"")))</f>
        <v>27.6</v>
      </c>
      <c r="N38" s="14">
        <f>IF('Données projet'!$A$36&gt;35,N37+M38-V37,IF(A38&lt;'Données projet'!$A$36,$K$205^A38,IF(A38='Données projet'!$A$36,'Données projet'!$B$36,N37+M38-V37)))</f>
        <v>505.00000000000011</v>
      </c>
      <c r="O38" s="14">
        <f>N38*VLOOKUP('Données projet'!$B$9,Paramètres!$A$1:$I$89,3,0)*VLOOKUP('Données projet'!$B$9,Paramètres!$A$1:$I$89,5,0)</f>
        <v>282.29500000000007</v>
      </c>
      <c r="P38" s="14">
        <f t="shared" si="33"/>
        <v>67.451777696853824</v>
      </c>
      <c r="Q38" s="22">
        <f t="shared" si="53"/>
        <v>609.14230448868716</v>
      </c>
      <c r="R38" s="62">
        <f t="shared" si="0"/>
        <v>902.47563782202042</v>
      </c>
      <c r="S38" s="62">
        <f ca="1">AVERAGE(OFFSET($R$3,0,0,'Données projet'!$E$9+1,1))-AVERAGE(OFFSET($H$3,0,0,'Données projet'!$E$9+1,1))</f>
        <v>382.55387448074327</v>
      </c>
      <c r="T38" s="62">
        <f t="shared" si="34"/>
        <v>476.29465646955543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69</v>
      </c>
      <c r="W38" s="17">
        <f>IF(ISNA(VLOOKUP(A38,'Données projet'!$A$35:$I$55,5,0)),0%,VLOOKUP(A38,'Données projet'!$A$35:$I$55,5,0)*VLOOKUP('Données projet'!$B$9,Paramètres!$A$1:$I$89,7,0))</f>
        <v>0.38500000000000001</v>
      </c>
      <c r="X38" s="17">
        <f>IF(ISNA(VLOOKUP(A38,'Données projet'!$A$35:$I$55,6,0)),0%,VLOOKUP(A38,'Données projet'!$A$35:$I$55,6,0)*VLOOKUP('Données projet'!$B$9,Paramètres!$A$1:$I$89,7,0))</f>
        <v>9.240000000000001E-2</v>
      </c>
      <c r="Y38" s="17">
        <f>IF(ISNA(VLOOKUP(A38,'Données projet'!$A$35:$I$55,7,0)),0%,VLOOKUP(A38,'Données projet'!$A$35:$I$55,7,0))</f>
        <v>0.13200000000000001</v>
      </c>
      <c r="Z38" s="23">
        <f>EXP(-LN(2)/35)*Z37+(1-EXP(-LN(2)/35))/(LN(2)/35)*V38*W38*VLOOKUP('Données projet'!$B$9,Paramètres!$A$1:$I$89,3,0)*0.475*44/12</f>
        <v>33.662637218620887</v>
      </c>
      <c r="AA38" s="23">
        <f>EXP(-LN(2)/25)*AA37+(1-EXP(-LN(2)/25))/(LN(2)/25)*Calculateur!V38*Calculateur!X38*VLOOKUP('Données projet'!$B$9,Paramètres!$A$1:$I$89,3,0)*0.475*44/12</f>
        <v>17.227799263391621</v>
      </c>
      <c r="AB38" s="23">
        <f>EXP(-LN(2)/2)*AB37+(1-EXP(-LN(2)/2))/(LN(2)/2)*V38*Y38*VLOOKUP('Données projet'!$B$9,Paramètres!$A$1:$I$89,3,0)*0.475*44/12</f>
        <v>7.0320745069307531</v>
      </c>
      <c r="AC38" s="24">
        <f t="shared" si="3"/>
        <v>57.922510988943259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21.266666666666669</v>
      </c>
      <c r="AI38" s="14">
        <f>IF('Données projet'!$A$62&gt;35,AI37+AH38-AQ37,IF(A38&lt;'Données projet'!$A$62,$AF$205^A38,IF(A38='Données projet'!$A$62,'Données projet'!$B$62,AI37+AH38-AQ37)))</f>
        <v>525.21333333333314</v>
      </c>
      <c r="AJ38" s="14">
        <f>AI38*VLOOKUP('Données projet'!$B$10,Paramètres!$A$1:$I$89,3,0)*VLOOKUP('Données projet'!$B$10,Paramètres!$A$1:$I$89,5,0)</f>
        <v>327.73311999999987</v>
      </c>
      <c r="AK38" s="14">
        <f t="shared" si="35"/>
        <v>76.960136733393512</v>
      </c>
      <c r="AL38" s="22">
        <f t="shared" si="4"/>
        <v>704.84075547732664</v>
      </c>
      <c r="AM38" s="62">
        <f t="shared" si="5"/>
        <v>998.1740888106599</v>
      </c>
      <c r="AN38" s="62">
        <f ca="1">AVERAGE(OFFSET($AM$3,0,0,'Données projet'!$E$10+1,1))-AVERAGE(OFFSET($H$3,0,0,'Données projet'!$E$10+1,1))</f>
        <v>420.68062999212015</v>
      </c>
      <c r="AO38" s="62">
        <f t="shared" si="36"/>
        <v>655.24090633185676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29.649979761458365</v>
      </c>
      <c r="AV38" s="23">
        <f>EXP(-LN(2)/25)*AV37+(1-EXP(-LN(2)/25))/(LN(2)/25)*Calculateur!AQ38*Calculateur!AS38*VLOOKUP('Données projet'!$B$10,Paramètres!$A$1:$I$89,3,0)*0.475*44/12</f>
        <v>6.8127204832695387</v>
      </c>
      <c r="AW38" s="23">
        <f>EXP(-LN(2)/2)*AW37+(1-EXP(-LN(2)/2))/(LN(2)/2)*AQ38*AT38*VLOOKUP('Données projet'!$B$10,Paramètres!$A$1:$I$89,3,0)*0.475*44/12</f>
        <v>1.5523352547644755</v>
      </c>
      <c r="AX38" s="23">
        <f t="shared" si="6"/>
        <v>38.015035499492384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</v>
      </c>
      <c r="BD38" s="13">
        <f>IF('Données projet'!$A$88&gt;35,BD37+BC38-BL37,IF(A38&lt;'Données projet'!$A$88,$BA$205^A38,IF(A38='Données projet'!$A$88,'Données projet'!$B$88,BD37+BC38-BL37)))</f>
        <v>70</v>
      </c>
      <c r="BE38" s="14">
        <f>BD38*VLOOKUP('Données projet'!$B$11,Paramètres!$A$1:$I$89,3,0)*VLOOKUP('Données projet'!$B$11,Paramètres!$A$1:$I$89,5,0)</f>
        <v>63.335999999999991</v>
      </c>
      <c r="BF38" s="14">
        <f t="shared" si="37"/>
        <v>18.009040022946227</v>
      </c>
      <c r="BG38" s="22">
        <f t="shared" si="7"/>
        <v>141.67594470663133</v>
      </c>
      <c r="BH38" s="62">
        <f t="shared" si="8"/>
        <v>435.00927803996467</v>
      </c>
      <c r="BI38" s="62">
        <f ca="1">AVERAGE(OFFSET($BH$3,0,0,'Données projet'!$E$11+1,1))-AVERAGE(OFFSET($H$3,0,0,'Données projet'!$E$11+1,1))</f>
        <v>138.3429338270858</v>
      </c>
      <c r="BJ38" s="62">
        <f t="shared" si="38"/>
        <v>88.30225651635925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</v>
      </c>
      <c r="BY38" s="13">
        <f>IF('Données projet'!$A$114&gt;35,BY37+BX38-CG37,IF(A38&lt;'Données projet'!$A$114,$BV$205^A38,IF(A38='Données projet'!$A$114,'Données projet'!$B$114,BY37+BX38-CG37)))</f>
        <v>70</v>
      </c>
      <c r="BZ38" s="14">
        <f>BY38*VLOOKUP('Données projet'!$B$12,Paramètres!$A$1:$I$89,3,0)*VLOOKUP('Données projet'!$B$12,Paramètres!$A$1:$I$89,5,0)</f>
        <v>58.968000000000011</v>
      </c>
      <c r="CA38" s="14">
        <f t="shared" si="39"/>
        <v>16.907084152971134</v>
      </c>
      <c r="CB38" s="22">
        <f t="shared" si="10"/>
        <v>132.14910489975807</v>
      </c>
      <c r="CC38" s="62">
        <f t="shared" si="11"/>
        <v>425.48243823309139</v>
      </c>
      <c r="CD38" s="62">
        <f ca="1">AVERAGE(OFFSET($CC$3,0,0,'Données projet'!$E$12+1,1))-AVERAGE(OFFSET($H$3,0,0,'Données projet'!$E$12+1,1))</f>
        <v>122.57815304102127</v>
      </c>
      <c r="CE38" s="62">
        <f t="shared" si="40"/>
        <v>80.106609825870578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221.48208333333338</v>
      </c>
      <c r="CR38" s="13">
        <f>VLOOKUP(A38,'Données projet'!$A$139:$I$159,9,0)</f>
        <v>9.9205000000000041</v>
      </c>
      <c r="CS38" s="13">
        <f t="array" ref="CS38">INDEX(CR:CR,MIN(IF(ISNUMBER(CR38:CR234),ROW(CR38:CR234),"")))</f>
        <v>9.9205000000000041</v>
      </c>
      <c r="CT38" s="13">
        <f>IF('Données projet'!$A$140&gt;35,CT37+CS38-DB37,IF(A38&lt;'Données projet'!$A$140,$CQ$205^A38,IF(A38='Données projet'!$A$140,'Données projet'!$B$140,CT37+CS38-DB37)))</f>
        <v>221.48208333333338</v>
      </c>
      <c r="CU38" s="18">
        <f>CT38*VLOOKUP('Données projet'!$B$13,Paramètres!$A$1:$I$89,3,0)*VLOOKUP('Données projet'!$B$13,Paramètres!$A$1:$I$89,5,0)</f>
        <v>145.11506100000003</v>
      </c>
      <c r="CV38" s="14">
        <f t="shared" si="41"/>
        <v>37.466335683617302</v>
      </c>
      <c r="CW38" s="22">
        <f t="shared" si="13"/>
        <v>317.99593255730014</v>
      </c>
      <c r="CX38" s="62">
        <f t="shared" si="14"/>
        <v>611.32926589063345</v>
      </c>
      <c r="CY38" s="62">
        <f ca="1">AVERAGE(OFFSET($CX$3,0,0,'Données projet'!$E$13+1,1))-AVERAGE(OFFSET($H$3,0,0,'Données projet'!$E$13+1,1))</f>
        <v>199.99826357281154</v>
      </c>
      <c r="CZ38" s="62">
        <f t="shared" si="42"/>
        <v>214.67424457475136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36.913680555555565</v>
      </c>
      <c r="DC38" s="17">
        <f>IF(ISNA(VLOOKUP(A38,'Données projet'!$A$139:$I$159,5,0)),0%,VLOOKUP(A38,'Données projet'!$A$139:$I$159,5,0)*VLOOKUP('Données projet'!$B$13,Paramètres!$A$1:$I$89,7,0))</f>
        <v>0.30099999999999999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12.421507171123666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12.421507171123666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221.48208333333338</v>
      </c>
      <c r="DM38" s="13">
        <f>VLOOKUP(A38,'Données projet'!$A$165:$I$185,9,0)</f>
        <v>9.9205000000000041</v>
      </c>
      <c r="DN38" s="13">
        <f t="array" ref="DN38">INDEX(DM:DM,MIN(IF(ISNUMBER(DM38:DM234),ROW(DM38:DM234),"")))</f>
        <v>9.9205000000000041</v>
      </c>
      <c r="DO38" s="13">
        <f>IF('Données projet'!$A$166&gt;35,DO37+DN38-DW37,IF(A38&lt;'Données projet'!$A$166,$DL$205^A38,IF(A38='Données projet'!$A$166,'Données projet'!$B$166,DO37+DN38-DW37)))</f>
        <v>221.48208333333338</v>
      </c>
      <c r="DP38" s="18">
        <f>DO38*VLOOKUP('Données projet'!$B$14,Paramètres!$A$1:$I$89,3,0)*VLOOKUP('Données projet'!$B$14,Paramètres!$A$1:$I$89,5,0)</f>
        <v>176.21114550000004</v>
      </c>
      <c r="DQ38" s="14">
        <f t="shared" si="43"/>
        <v>44.478194998326401</v>
      </c>
      <c r="DR38" s="22">
        <f t="shared" si="16"/>
        <v>384.36726803458515</v>
      </c>
      <c r="DS38" s="62">
        <f t="shared" si="17"/>
        <v>677.70060136791847</v>
      </c>
      <c r="DT38" s="62">
        <f ca="1">AVERAGE(OFFSET($DS$3,0,0,'Données projet'!$E$14+1,1))-AVERAGE(OFFSET($H$3,0,0,'Données projet'!$E$14+1,1))</f>
        <v>248.15263300983543</v>
      </c>
      <c r="DU38" s="62">
        <f t="shared" si="44"/>
        <v>266.46511459244618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36.913680555555565</v>
      </c>
      <c r="DX38" s="17">
        <f>IF(ISNA(VLOOKUP(A38,'Données projet'!$A$165:$I$185,5,0)),0%,VLOOKUP(A38,'Données projet'!$A$165:$I$185,5,0)*VLOOKUP('Données projet'!$B$14,Paramètres!$A$1:$I$89,7,0))</f>
        <v>0.371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18.5909932910007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18.5909932910007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221.48208333333338</v>
      </c>
      <c r="EH38" s="13">
        <f>VLOOKUP(A38,'Données projet'!$A$191:$I$211,9,0)</f>
        <v>9.9205000000000041</v>
      </c>
      <c r="EI38" s="13">
        <f t="array" ref="EI38">INDEX(EH:EH,MIN(IF(ISNUMBER(EH38:EH234),ROW(EH38:EH234),"")))</f>
        <v>9.9205000000000041</v>
      </c>
      <c r="EJ38" s="13">
        <f>IF('Données projet'!$A$192&gt;35,EJ37+EI38-ER37,IF(A38&lt;'Données projet'!$A$192,$EG$205^A38,IF(A38='Données projet'!$A$192,'Données projet'!$B$192,EJ37+EI38-ER37)))</f>
        <v>221.48208333333338</v>
      </c>
      <c r="EK38" s="18">
        <f>EJ38*VLOOKUP('Données projet'!$B$15,Paramètres!$A$1:$I$89,3,0)*VLOOKUP('Données projet'!$B$15,Paramètres!$A$1:$I$89,5,0)</f>
        <v>148.57018150000002</v>
      </c>
      <c r="EL38" s="14">
        <f t="shared" si="45"/>
        <v>38.253473331298821</v>
      </c>
      <c r="EM38" s="22">
        <f t="shared" si="19"/>
        <v>325.38453216451211</v>
      </c>
      <c r="EN38" s="62">
        <f t="shared" si="20"/>
        <v>618.71786549784542</v>
      </c>
      <c r="EO38" s="62">
        <f ca="1">AVERAGE(OFFSET($EN$3,0,0,'Données projet'!$E$15+1,1))-AVERAGE(OFFSET($H$3,0,0,'Données projet'!$E$15+1,1))</f>
        <v>205.35893113421139</v>
      </c>
      <c r="EP38" s="62">
        <f t="shared" si="46"/>
        <v>220.4399811285175</v>
      </c>
      <c r="EQ38" s="16">
        <f>IF(ISNA(VLOOKUP(A38,'Données projet'!$A$191:$I$211,3,0)),0,VLOOKUP(A38,'Données projet'!$A$191:$I$211,3,0))</f>
        <v>3</v>
      </c>
      <c r="ER38" s="16">
        <f>IF(ISNA(VLOOKUP(A38,'Données projet'!$A$191:$I$211,4,0)),0,VLOOKUP(A38,'Données projet'!$A$191:$I$211,4,0))</f>
        <v>36.913680555555565</v>
      </c>
      <c r="ES38" s="17">
        <f>IF(ISNA(VLOOKUP(A38,'Données projet'!$A$191:$I$211,5,0)),0%,VLOOKUP(A38,'Données projet'!$A$191:$I$211,5,0)*VLOOKUP('Données projet'!$B$15,Paramètres!$A$1:$I$89,7,0))</f>
        <v>0.371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15.674759049275103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15.674759049275103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25.6</v>
      </c>
      <c r="N39" s="14">
        <f>IF('Données projet'!$A$36&gt;35,N38+M39-V38,IF(A39&lt;'Données projet'!$A$36,$K$205^A39,IF(A39='Données projet'!$A$36,'Données projet'!$B$36,N38+M39-V38)))</f>
        <v>461.60000000000014</v>
      </c>
      <c r="O39" s="14">
        <f>N39*VLOOKUP('Données projet'!$B$9,Paramètres!$A$1:$I$89,3,0)*VLOOKUP('Données projet'!$B$9,Paramètres!$A$1:$I$89,5,0)</f>
        <v>258.03440000000006</v>
      </c>
      <c r="P39" s="14">
        <f t="shared" si="33"/>
        <v>62.303206596431174</v>
      </c>
      <c r="Q39" s="22">
        <f t="shared" si="53"/>
        <v>557.9213314887844</v>
      </c>
      <c r="R39" s="62">
        <f t="shared" si="0"/>
        <v>851.25466482211777</v>
      </c>
      <c r="S39" s="62">
        <f ca="1">AVERAGE(OFFSET($R$3,0,0,'Données projet'!$E$9+1,1))-AVERAGE(OFFSET($H$3,0,0,'Données projet'!$E$9+1,1))</f>
        <v>382.55387448074327</v>
      </c>
      <c r="T39" s="62">
        <f t="shared" si="34"/>
        <v>476.29465646955543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33.00253343494505</v>
      </c>
      <c r="AA39" s="23">
        <f>EXP(-LN(2)/25)*AA38+(1-EXP(-LN(2)/25))/(LN(2)/25)*Calculateur!V39*Calculateur!X39*VLOOKUP('Données projet'!$B$9,Paramètres!$A$1:$I$89,3,0)*0.475*44/12</f>
        <v>16.756704186563589</v>
      </c>
      <c r="AB39" s="23">
        <f>EXP(-LN(2)/2)*AB38+(1-EXP(-LN(2)/2))/(LN(2)/2)*V39*Y39*VLOOKUP('Données projet'!$B$9,Paramètres!$A$1:$I$89,3,0)*0.475*44/12</f>
        <v>4.9724275696597831</v>
      </c>
      <c r="AC39" s="24">
        <f t="shared" si="3"/>
        <v>54.731665191168425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546.48</v>
      </c>
      <c r="AG39" s="13">
        <f>VLOOKUP(A39,'Données projet'!$A$61:$I$81,9,0)</f>
        <v>21.266666666666669</v>
      </c>
      <c r="AH39" s="13">
        <f t="array" ref="AH39">INDEX(AG:AG,MIN(IF(ISNUMBER(AG39:AG235),ROW(AG39:AG235),"")))</f>
        <v>21.266666666666669</v>
      </c>
      <c r="AI39" s="14">
        <f>IF('Données projet'!$A$62&gt;35,AI38+AH39-AQ38,IF(A39&lt;'Données projet'!$A$62,$AF$205^A39,IF(A39='Données projet'!$A$62,'Données projet'!$B$62,AI38+AH39-AQ38)))</f>
        <v>546.47999999999979</v>
      </c>
      <c r="AJ39" s="14">
        <f>AI39*VLOOKUP('Données projet'!$B$10,Paramètres!$A$1:$I$89,3,0)*VLOOKUP('Données projet'!$B$10,Paramètres!$A$1:$I$89,5,0)</f>
        <v>341.00351999999987</v>
      </c>
      <c r="AK39" s="14">
        <f t="shared" si="35"/>
        <v>79.70724443092908</v>
      </c>
      <c r="AL39" s="22">
        <f t="shared" si="4"/>
        <v>732.73791471720131</v>
      </c>
      <c r="AM39" s="62">
        <f t="shared" si="5"/>
        <v>1026.0712480505347</v>
      </c>
      <c r="AN39" s="62">
        <f ca="1">AVERAGE(OFFSET($AM$3,0,0,'Données projet'!$E$10+1,1))-AVERAGE(OFFSET($H$3,0,0,'Données projet'!$E$10+1,1))</f>
        <v>420.68062999212015</v>
      </c>
      <c r="AO39" s="62">
        <f t="shared" si="36"/>
        <v>655.24090633185676</v>
      </c>
      <c r="AP39" s="16">
        <f>IF(ISNA(VLOOKUP(A39,'Données projet'!$A$61:$I$81,3,0)),0,VLOOKUP(A39,'Données projet'!$A$61:$I$81,3,0))</f>
        <v>2</v>
      </c>
      <c r="AQ39" s="16">
        <f>IF(ISNA(VLOOKUP(A39,'Données projet'!$A$61:$I$81,4,0)),0,VLOOKUP(A39,'Données projet'!$A$61:$I$81,4,0))</f>
        <v>104.72</v>
      </c>
      <c r="AR39" s="17">
        <f>IF(ISNA(VLOOKUP(A39,'Données projet'!$A$61:$I$81,5,0)),0%,VLOOKUP(A39,'Données projet'!$A$61:$I$81,5,0)*VLOOKUP('Données projet'!$B$10,Paramètres!$A$1:$I$89,7,0))</f>
        <v>0.42</v>
      </c>
      <c r="AS39" s="17">
        <f>IF(ISNA(VLOOKUP(A39,'Données projet'!$A$61:$I$81,6,0)),0%,VLOOKUP(A39,'Données projet'!$A$61:$I$81,6,0)*VLOOKUP('Données projet'!$B$10,Paramètres!$A$1:$I$89,7,0))</f>
        <v>0.1008</v>
      </c>
      <c r="AT39" s="17">
        <f>IF(ISNA(VLOOKUP(A39,'Données projet'!$A$61:$I$81,7,0)),0%,VLOOKUP(A39,'Données projet'!$A$61:$I$81,7,0))</f>
        <v>0.13200000000000001</v>
      </c>
      <c r="AU39" s="23">
        <f>EXP(-LN(2)/35)*AU38+(1-EXP(-LN(2)/35))/(LN(2)/35)*AQ39*AR39*VLOOKUP('Données projet'!$B$10,Paramètres!$A$1:$I$89,3,0)*0.475*44/12</f>
        <v>65.4761465701107</v>
      </c>
      <c r="AV39" s="23">
        <f>EXP(-LN(2)/25)*AV38+(1-EXP(-LN(2)/25))/(LN(2)/25)*Calculateur!AQ39*Calculateur!AS39*VLOOKUP('Données projet'!$B$10,Paramètres!$A$1:$I$89,3,0)*0.475*44/12</f>
        <v>15.329842513764579</v>
      </c>
      <c r="AW39" s="23">
        <f>EXP(-LN(2)/2)*AW38+(1-EXP(-LN(2)/2))/(LN(2)/2)*AQ39*AT39*VLOOKUP('Données projet'!$B$10,Paramètres!$A$1:$I$89,3,0)*0.475*44/12</f>
        <v>10.863823604231056</v>
      </c>
      <c r="AX39" s="23">
        <f t="shared" si="6"/>
        <v>91.669812688106333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</v>
      </c>
      <c r="BD39" s="13">
        <f>IF('Données projet'!$A$88&gt;35,BD38+BC39-BL38,IF(A39&lt;'Données projet'!$A$88,$BA$205^A39,IF(A39='Données projet'!$A$88,'Données projet'!$B$88,BD38+BC39-BL38)))</f>
        <v>72</v>
      </c>
      <c r="BE39" s="14">
        <f>BD39*VLOOKUP('Données projet'!$B$11,Paramètres!$A$1:$I$89,3,0)*VLOOKUP('Données projet'!$B$11,Paramètres!$A$1:$I$89,5,0)</f>
        <v>65.145600000000002</v>
      </c>
      <c r="BF39" s="14">
        <f t="shared" si="37"/>
        <v>18.462943001028204</v>
      </c>
      <c r="BG39" s="22">
        <f t="shared" si="7"/>
        <v>145.61821239345747</v>
      </c>
      <c r="BH39" s="62">
        <f t="shared" si="8"/>
        <v>438.95154572679075</v>
      </c>
      <c r="BI39" s="62">
        <f ca="1">AVERAGE(OFFSET($BH$3,0,0,'Données projet'!$E$11+1,1))-AVERAGE(OFFSET($H$3,0,0,'Données projet'!$E$11+1,1))</f>
        <v>138.3429338270858</v>
      </c>
      <c r="BJ39" s="62">
        <f t="shared" si="38"/>
        <v>88.30225651635925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</v>
      </c>
      <c r="BY39" s="13">
        <f>IF('Données projet'!$A$114&gt;35,BY38+BX39-CG38,IF(A39&lt;'Données projet'!$A$114,$BV$205^A39,IF(A39='Données projet'!$A$114,'Données projet'!$B$114,BY38+BX39-CG38)))</f>
        <v>72</v>
      </c>
      <c r="BZ39" s="14">
        <f>BY39*VLOOKUP('Données projet'!$B$12,Paramètres!$A$1:$I$89,3,0)*VLOOKUP('Données projet'!$B$12,Paramètres!$A$1:$I$89,5,0)</f>
        <v>60.652800000000006</v>
      </c>
      <c r="CA39" s="14">
        <f t="shared" si="39"/>
        <v>17.333213243579969</v>
      </c>
      <c r="CB39" s="22">
        <f t="shared" si="10"/>
        <v>135.82563973256845</v>
      </c>
      <c r="CC39" s="62">
        <f t="shared" si="11"/>
        <v>429.15897306590176</v>
      </c>
      <c r="CD39" s="62">
        <f ca="1">AVERAGE(OFFSET($CC$3,0,0,'Données projet'!$E$12+1,1))-AVERAGE(OFFSET($H$3,0,0,'Données projet'!$E$12+1,1))</f>
        <v>122.57815304102127</v>
      </c>
      <c r="CE39" s="62">
        <f t="shared" si="40"/>
        <v>80.106609825870578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11.926499999999994</v>
      </c>
      <c r="CT39" s="13">
        <f>IF('Données projet'!$A$140&gt;35,CT38+CS39-DB38,IF(A39&lt;'Données projet'!$A$140,$CQ$205^A39,IF(A39='Données projet'!$A$140,'Données projet'!$B$140,CT38+CS39-DB38)))</f>
        <v>196.49490277777781</v>
      </c>
      <c r="CU39" s="18">
        <f>CT39*VLOOKUP('Données projet'!$B$13,Paramètres!$A$1:$I$89,3,0)*VLOOKUP('Données projet'!$B$13,Paramètres!$A$1:$I$89,5,0)</f>
        <v>128.74346030000001</v>
      </c>
      <c r="CV39" s="14">
        <f t="shared" si="41"/>
        <v>33.705845975983756</v>
      </c>
      <c r="CW39" s="22">
        <f t="shared" si="13"/>
        <v>282.93254176400507</v>
      </c>
      <c r="CX39" s="62">
        <f t="shared" si="14"/>
        <v>576.26587509733838</v>
      </c>
      <c r="CY39" s="62">
        <f ca="1">AVERAGE(OFFSET($CX$3,0,0,'Données projet'!$E$13+1,1))-AVERAGE(OFFSET($H$3,0,0,'Données projet'!$E$13+1,1))</f>
        <v>199.99826357281154</v>
      </c>
      <c r="CZ39" s="62">
        <f t="shared" si="42"/>
        <v>214.67424457475136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12.177928991869202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12.177928991869202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11.926499999999994</v>
      </c>
      <c r="DO39" s="13">
        <f>IF('Données projet'!$A$166&gt;35,DO38+DN39-DW38,IF(A39&lt;'Données projet'!$A$166,$DL$205^A39,IF(A39='Données projet'!$A$166,'Données projet'!$B$166,DO38+DN39-DW38)))</f>
        <v>196.49490277777781</v>
      </c>
      <c r="DP39" s="18">
        <f>DO39*VLOOKUP('Données projet'!$B$14,Paramètres!$A$1:$I$89,3,0)*VLOOKUP('Données projet'!$B$14,Paramètres!$A$1:$I$89,5,0)</f>
        <v>156.33134465000003</v>
      </c>
      <c r="DQ39" s="14">
        <f t="shared" si="43"/>
        <v>40.013926169964307</v>
      </c>
      <c r="DR39" s="22">
        <f t="shared" si="16"/>
        <v>341.96801334477124</v>
      </c>
      <c r="DS39" s="62">
        <f t="shared" si="17"/>
        <v>635.30134667810455</v>
      </c>
      <c r="DT39" s="62">
        <f ca="1">AVERAGE(OFFSET($DS$3,0,0,'Données projet'!$E$14+1,1))-AVERAGE(OFFSET($H$3,0,0,'Données projet'!$E$14+1,1))</f>
        <v>248.15263300983543</v>
      </c>
      <c r="DU39" s="62">
        <f t="shared" si="44"/>
        <v>266.46511459244618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18.226435251950413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18.226435251950413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11.926499999999994</v>
      </c>
      <c r="EJ39" s="13">
        <f>IF('Données projet'!$A$192&gt;35,EJ38+EI39-ER38,IF(A39&lt;'Données projet'!$A$192,$EG$205^A39,IF(A39='Données projet'!$A$192,'Données projet'!$B$192,EJ38+EI39-ER38)))</f>
        <v>196.49490277777781</v>
      </c>
      <c r="EK39" s="18">
        <f>EJ39*VLOOKUP('Données projet'!$B$15,Paramètres!$A$1:$I$89,3,0)*VLOOKUP('Données projet'!$B$15,Paramètres!$A$1:$I$89,5,0)</f>
        <v>131.80878078333333</v>
      </c>
      <c r="EL39" s="14">
        <f t="shared" si="45"/>
        <v>34.413978752529943</v>
      </c>
      <c r="EM39" s="22">
        <f t="shared" si="19"/>
        <v>289.50463952496187</v>
      </c>
      <c r="EN39" s="62">
        <f t="shared" si="20"/>
        <v>582.83797285829519</v>
      </c>
      <c r="EO39" s="62">
        <f ca="1">AVERAGE(OFFSET($EN$3,0,0,'Données projet'!$E$15+1,1))-AVERAGE(OFFSET($H$3,0,0,'Données projet'!$E$15+1,1))</f>
        <v>205.35893113421139</v>
      </c>
      <c r="EP39" s="62">
        <f t="shared" si="46"/>
        <v>220.4399811285175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15.367386584977801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15.367386584977801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25.6</v>
      </c>
      <c r="N40" s="14">
        <f>IF('Données projet'!$A$36&gt;35,N39+M40-V39,IF(A40&lt;'Données projet'!$A$36,$K$205^A40,IF(A40='Données projet'!$A$36,'Données projet'!$B$36,N39+M40-V39)))</f>
        <v>487.20000000000016</v>
      </c>
      <c r="O40" s="14">
        <f>N40*VLOOKUP('Données projet'!$B$9,Paramètres!$A$1:$I$89,3,0)*VLOOKUP('Données projet'!$B$9,Paramètres!$A$1:$I$89,5,0)</f>
        <v>272.34480000000008</v>
      </c>
      <c r="P40" s="14">
        <f t="shared" si="33"/>
        <v>65.346644318451709</v>
      </c>
      <c r="Q40" s="22">
        <f t="shared" si="53"/>
        <v>588.14593218797006</v>
      </c>
      <c r="R40" s="62">
        <f t="shared" si="0"/>
        <v>881.47926552130343</v>
      </c>
      <c r="S40" s="62">
        <f ca="1">AVERAGE(OFFSET($R$3,0,0,'Données projet'!$E$9+1,1))-AVERAGE(OFFSET($H$3,0,0,'Données projet'!$E$9+1,1))</f>
        <v>382.55387448074327</v>
      </c>
      <c r="T40" s="62">
        <f t="shared" si="34"/>
        <v>476.29465646955543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32.355373883843548</v>
      </c>
      <c r="AA40" s="23">
        <f>EXP(-LN(2)/25)*AA39+(1-EXP(-LN(2)/25))/(LN(2)/25)*Calculateur!V40*Calculateur!X40*VLOOKUP('Données projet'!$B$9,Paramètres!$A$1:$I$89,3,0)*0.475*44/12</f>
        <v>16.298491229385231</v>
      </c>
      <c r="AB40" s="23">
        <f>EXP(-LN(2)/2)*AB39+(1-EXP(-LN(2)/2))/(LN(2)/2)*V40*Y40*VLOOKUP('Données projet'!$B$9,Paramètres!$A$1:$I$89,3,0)*0.475*44/12</f>
        <v>3.5160372534653765</v>
      </c>
      <c r="AC40" s="24">
        <f t="shared" si="3"/>
        <v>52.169902366694153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16.573333333333341</v>
      </c>
      <c r="AI40" s="14">
        <f>IF('Données projet'!$A$62&gt;35,AI39+AH40-AQ39,IF(A40&lt;'Données projet'!$A$62,$AF$205^A40,IF(A40='Données projet'!$A$62,'Données projet'!$B$62,AI39+AH40-AQ39)))</f>
        <v>458.33333333333314</v>
      </c>
      <c r="AJ40" s="14">
        <f>AI40*VLOOKUP('Données projet'!$B$10,Paramètres!$A$1:$I$89,3,0)*VLOOKUP('Données projet'!$B$10,Paramètres!$A$1:$I$89,5,0)</f>
        <v>285.99999999999989</v>
      </c>
      <c r="AK40" s="14">
        <f t="shared" si="35"/>
        <v>68.233412486863074</v>
      </c>
      <c r="AL40" s="22">
        <f t="shared" si="4"/>
        <v>616.95652674795292</v>
      </c>
      <c r="AM40" s="62">
        <f t="shared" si="5"/>
        <v>910.28986008128618</v>
      </c>
      <c r="AN40" s="62">
        <f ca="1">AVERAGE(OFFSET($AM$3,0,0,'Données projet'!$E$10+1,1))-AVERAGE(OFFSET($H$3,0,0,'Données projet'!$E$10+1,1))</f>
        <v>420.68062999212015</v>
      </c>
      <c r="AO40" s="62">
        <f t="shared" si="36"/>
        <v>655.24090633185676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64.19219927237684</v>
      </c>
      <c r="AV40" s="23">
        <f>EXP(-LN(2)/25)*AV39+(1-EXP(-LN(2)/25))/(LN(2)/25)*Calculateur!AQ40*Calculateur!AS40*VLOOKUP('Données projet'!$B$10,Paramètres!$A$1:$I$89,3,0)*0.475*44/12</f>
        <v>14.910647164064306</v>
      </c>
      <c r="AW40" s="23">
        <f>EXP(-LN(2)/2)*AW39+(1-EXP(-LN(2)/2))/(LN(2)/2)*AQ40*AT40*VLOOKUP('Données projet'!$B$10,Paramètres!$A$1:$I$89,3,0)*0.475*44/12</f>
        <v>7.6818833401662605</v>
      </c>
      <c r="AX40" s="23">
        <f t="shared" si="6"/>
        <v>86.784729776607406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</v>
      </c>
      <c r="BD40" s="13">
        <f>IF('Données projet'!$A$88&gt;35,BD39+BC40-BL39,IF(A40&lt;'Données projet'!$A$88,$BA$205^A40,IF(A40='Données projet'!$A$88,'Données projet'!$B$88,BD39+BC40-BL39)))</f>
        <v>74</v>
      </c>
      <c r="BE40" s="14">
        <f>BD40*VLOOKUP('Données projet'!$B$11,Paramètres!$A$1:$I$89,3,0)*VLOOKUP('Données projet'!$B$11,Paramètres!$A$1:$I$89,5,0)</f>
        <v>66.955199999999991</v>
      </c>
      <c r="BF40" s="14">
        <f t="shared" si="37"/>
        <v>18.915380530436497</v>
      </c>
      <c r="BG40" s="22">
        <f t="shared" si="7"/>
        <v>149.55792775717688</v>
      </c>
      <c r="BH40" s="62">
        <f t="shared" si="8"/>
        <v>442.89126109051017</v>
      </c>
      <c r="BI40" s="62">
        <f ca="1">AVERAGE(OFFSET($BH$3,0,0,'Données projet'!$E$11+1,1))-AVERAGE(OFFSET($H$3,0,0,'Données projet'!$E$11+1,1))</f>
        <v>138.3429338270858</v>
      </c>
      <c r="BJ40" s="62">
        <f t="shared" si="38"/>
        <v>88.30225651635925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</v>
      </c>
      <c r="BY40" s="13">
        <f>IF('Données projet'!$A$114&gt;35,BY39+BX40-CG39,IF(A40&lt;'Données projet'!$A$114,$BV$205^A40,IF(A40='Données projet'!$A$114,'Données projet'!$B$114,BY39+BX40-CG39)))</f>
        <v>74</v>
      </c>
      <c r="BZ40" s="14">
        <f>BY40*VLOOKUP('Données projet'!$B$12,Paramètres!$A$1:$I$89,3,0)*VLOOKUP('Données projet'!$B$12,Paramètres!$A$1:$I$89,5,0)</f>
        <v>62.337600000000002</v>
      </c>
      <c r="CA40" s="14">
        <f t="shared" si="39"/>
        <v>17.757966554912596</v>
      </c>
      <c r="CB40" s="22">
        <f t="shared" si="10"/>
        <v>139.49977841647276</v>
      </c>
      <c r="CC40" s="62">
        <f t="shared" si="11"/>
        <v>432.83311174980611</v>
      </c>
      <c r="CD40" s="62">
        <f ca="1">AVERAGE(OFFSET($CC$3,0,0,'Données projet'!$E$12+1,1))-AVERAGE(OFFSET($H$3,0,0,'Données projet'!$E$12+1,1))</f>
        <v>122.57815304102127</v>
      </c>
      <c r="CE40" s="62">
        <f t="shared" si="40"/>
        <v>80.106609825870578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11.926499999999994</v>
      </c>
      <c r="CT40" s="13">
        <f>IF('Données projet'!$A$140&gt;35,CT39+CS40-DB39,IF(A40&lt;'Données projet'!$A$140,$CQ$205^A40,IF(A40='Données projet'!$A$140,'Données projet'!$B$140,CT39+CS40-DB39)))</f>
        <v>208.42140277777781</v>
      </c>
      <c r="CU40" s="18">
        <f>CT40*VLOOKUP('Données projet'!$B$13,Paramètres!$A$1:$I$89,3,0)*VLOOKUP('Données projet'!$B$13,Paramètres!$A$1:$I$89,5,0)</f>
        <v>136.55770310000003</v>
      </c>
      <c r="CV40" s="14">
        <f t="shared" si="41"/>
        <v>35.507284681535943</v>
      </c>
      <c r="CW40" s="22">
        <f t="shared" si="13"/>
        <v>299.67985371950846</v>
      </c>
      <c r="CX40" s="62">
        <f t="shared" si="14"/>
        <v>593.01318705284177</v>
      </c>
      <c r="CY40" s="62">
        <f ca="1">AVERAGE(OFFSET($CX$3,0,0,'Données projet'!$E$13+1,1))-AVERAGE(OFFSET($H$3,0,0,'Données projet'!$E$13+1,1))</f>
        <v>199.99826357281154</v>
      </c>
      <c r="CZ40" s="62">
        <f t="shared" si="42"/>
        <v>214.67424457475136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11.939127232141898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11.939127232141898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11.926499999999994</v>
      </c>
      <c r="DO40" s="13">
        <f>IF('Données projet'!$A$166&gt;35,DO39+DN40-DW39,IF(A40&lt;'Données projet'!$A$166,$DL$205^A40,IF(A40='Données projet'!$A$166,'Données projet'!$B$166,DO39+DN40-DW39)))</f>
        <v>208.42140277777781</v>
      </c>
      <c r="DP40" s="18">
        <f>DO40*VLOOKUP('Données projet'!$B$14,Paramètres!$A$1:$I$89,3,0)*VLOOKUP('Données projet'!$B$14,Paramètres!$A$1:$I$89,5,0)</f>
        <v>165.82006805000003</v>
      </c>
      <c r="DQ40" s="14">
        <f t="shared" si="43"/>
        <v>42.152505792473761</v>
      </c>
      <c r="DR40" s="22">
        <f t="shared" si="16"/>
        <v>362.21889944230844</v>
      </c>
      <c r="DS40" s="62">
        <f t="shared" si="17"/>
        <v>655.55223277564176</v>
      </c>
      <c r="DT40" s="62">
        <f ca="1">AVERAGE(OFFSET($DS$3,0,0,'Données projet'!$E$14+1,1))-AVERAGE(OFFSET($H$3,0,0,'Données projet'!$E$14+1,1))</f>
        <v>248.15263300983543</v>
      </c>
      <c r="DU40" s="62">
        <f t="shared" si="44"/>
        <v>266.46511459244618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17.869025973687453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17.869025973687453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11.926499999999994</v>
      </c>
      <c r="EJ40" s="13">
        <f>IF('Données projet'!$A$192&gt;35,EJ39+EI40-ER39,IF(A40&lt;'Données projet'!$A$192,$EG$205^A40,IF(A40='Données projet'!$A$192,'Données projet'!$B$192,EJ39+EI40-ER39)))</f>
        <v>208.42140277777781</v>
      </c>
      <c r="EK40" s="18">
        <f>EJ40*VLOOKUP('Données projet'!$B$15,Paramètres!$A$1:$I$89,3,0)*VLOOKUP('Données projet'!$B$15,Paramètres!$A$1:$I$89,5,0)</f>
        <v>139.80907698333337</v>
      </c>
      <c r="EL40" s="14">
        <f t="shared" si="45"/>
        <v>36.253264239713168</v>
      </c>
      <c r="EM40" s="22">
        <f t="shared" si="19"/>
        <v>306.6419109634727</v>
      </c>
      <c r="EN40" s="62">
        <f t="shared" si="20"/>
        <v>599.97524429680607</v>
      </c>
      <c r="EO40" s="62">
        <f ca="1">AVERAGE(OFFSET($EN$3,0,0,'Données projet'!$E$15+1,1))-AVERAGE(OFFSET($H$3,0,0,'Données projet'!$E$15+1,1))</f>
        <v>205.35893113421139</v>
      </c>
      <c r="EP40" s="62">
        <f t="shared" si="46"/>
        <v>220.4399811285175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15.066041507226679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15.066041507226679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25.6</v>
      </c>
      <c r="N41" s="14">
        <f>IF('Données projet'!$A$36&gt;35,N40+M41-V40,IF(A41&lt;'Données projet'!$A$36,$K$205^A41,IF(A41='Données projet'!$A$36,'Données projet'!$B$36,N40+M41-V40)))</f>
        <v>512.80000000000018</v>
      </c>
      <c r="O41" s="14">
        <f>N41*VLOOKUP('Données projet'!$B$9,Paramètres!$A$1:$I$89,3,0)*VLOOKUP('Données projet'!$B$9,Paramètres!$A$1:$I$89,5,0)</f>
        <v>286.65520000000009</v>
      </c>
      <c r="P41" s="14">
        <f t="shared" si="33"/>
        <v>68.37151538584105</v>
      </c>
      <c r="Q41" s="22">
        <f t="shared" si="53"/>
        <v>618.33819596367323</v>
      </c>
      <c r="R41" s="62">
        <f t="shared" si="0"/>
        <v>911.6715292970066</v>
      </c>
      <c r="S41" s="62">
        <f ca="1">AVERAGE(OFFSET($R$3,0,0,'Données projet'!$E$9+1,1))-AVERAGE(OFFSET($H$3,0,0,'Données projet'!$E$9+1,1))</f>
        <v>382.55387448074327</v>
      </c>
      <c r="T41" s="62">
        <f t="shared" si="34"/>
        <v>476.29465646955543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31.720904736810791</v>
      </c>
      <c r="AA41" s="23">
        <f>EXP(-LN(2)/25)*AA40+(1-EXP(-LN(2)/25))/(LN(2)/25)*Calculateur!V41*Calculateur!X41*VLOOKUP('Données projet'!$B$9,Paramètres!$A$1:$I$89,3,0)*0.475*44/12</f>
        <v>15.852808129617289</v>
      </c>
      <c r="AB41" s="23">
        <f>EXP(-LN(2)/2)*AB40+(1-EXP(-LN(2)/2))/(LN(2)/2)*V41*Y41*VLOOKUP('Données projet'!$B$9,Paramètres!$A$1:$I$89,3,0)*0.475*44/12</f>
        <v>2.4862137848298915</v>
      </c>
      <c r="AC41" s="24">
        <f t="shared" si="3"/>
        <v>50.059926651257975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16.573333333333341</v>
      </c>
      <c r="AI41" s="14">
        <f>IF('Données projet'!$A$62&gt;35,AI40+AH41-AQ40,IF(A41&lt;'Données projet'!$A$62,$AF$205^A41,IF(A41='Données projet'!$A$62,'Données projet'!$B$62,AI40+AH41-AQ40)))</f>
        <v>474.90666666666647</v>
      </c>
      <c r="AJ41" s="14">
        <f>AI41*VLOOKUP('Données projet'!$B$10,Paramètres!$A$1:$I$89,3,0)*VLOOKUP('Données projet'!$B$10,Paramètres!$A$1:$I$89,5,0)</f>
        <v>296.34175999999991</v>
      </c>
      <c r="AK41" s="14">
        <f t="shared" si="35"/>
        <v>70.409009098023262</v>
      </c>
      <c r="AL41" s="22">
        <f t="shared" si="4"/>
        <v>638.75758951239038</v>
      </c>
      <c r="AM41" s="62">
        <f t="shared" si="5"/>
        <v>932.09092284572375</v>
      </c>
      <c r="AN41" s="62">
        <f ca="1">AVERAGE(OFFSET($AM$3,0,0,'Données projet'!$E$10+1,1))-AVERAGE(OFFSET($H$3,0,0,'Données projet'!$E$10+1,1))</f>
        <v>420.68062999212015</v>
      </c>
      <c r="AO41" s="62">
        <f t="shared" si="36"/>
        <v>655.24090633185676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62.933429398021012</v>
      </c>
      <c r="AV41" s="23">
        <f>EXP(-LN(2)/25)*AV40+(1-EXP(-LN(2)/25))/(LN(2)/25)*Calculateur!AQ41*Calculateur!AS41*VLOOKUP('Données projet'!$B$10,Paramètres!$A$1:$I$89,3,0)*0.475*44/12</f>
        <v>14.502914733246111</v>
      </c>
      <c r="AW41" s="23">
        <f>EXP(-LN(2)/2)*AW40+(1-EXP(-LN(2)/2))/(LN(2)/2)*AQ41*AT41*VLOOKUP('Données projet'!$B$10,Paramètres!$A$1:$I$89,3,0)*0.475*44/12</f>
        <v>5.431911802115529</v>
      </c>
      <c r="AX41" s="23">
        <f t="shared" si="6"/>
        <v>82.868255933382642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</v>
      </c>
      <c r="BD41" s="13">
        <f>IF('Données projet'!$A$88&gt;35,BD40+BC41-BL40,IF(A41&lt;'Données projet'!$A$88,$BA$205^A41,IF(A41='Données projet'!$A$88,'Données projet'!$B$88,BD40+BC41-BL40)))</f>
        <v>76</v>
      </c>
      <c r="BE41" s="14">
        <f>BD41*VLOOKUP('Données projet'!$B$11,Paramètres!$A$1:$I$89,3,0)*VLOOKUP('Données projet'!$B$11,Paramètres!$A$1:$I$89,5,0)</f>
        <v>68.764799999999994</v>
      </c>
      <c r="BF41" s="14">
        <f t="shared" si="37"/>
        <v>19.366396769521369</v>
      </c>
      <c r="BG41" s="22">
        <f t="shared" si="7"/>
        <v>153.49516770691636</v>
      </c>
      <c r="BH41" s="62">
        <f t="shared" si="8"/>
        <v>446.82850104024965</v>
      </c>
      <c r="BI41" s="62">
        <f ca="1">AVERAGE(OFFSET($BH$3,0,0,'Données projet'!$E$11+1,1))-AVERAGE(OFFSET($H$3,0,0,'Données projet'!$E$11+1,1))</f>
        <v>138.3429338270858</v>
      </c>
      <c r="BJ41" s="62">
        <f t="shared" si="38"/>
        <v>88.30225651635925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</v>
      </c>
      <c r="BY41" s="13">
        <f>IF('Données projet'!$A$114&gt;35,BY40+BX41-CG40,IF(A41&lt;'Données projet'!$A$114,$BV$205^A41,IF(A41='Données projet'!$A$114,'Données projet'!$B$114,BY40+BX41-CG40)))</f>
        <v>76</v>
      </c>
      <c r="BZ41" s="14">
        <f>BY41*VLOOKUP('Données projet'!$B$12,Paramètres!$A$1:$I$89,3,0)*VLOOKUP('Données projet'!$B$12,Paramètres!$A$1:$I$89,5,0)</f>
        <v>64.022400000000019</v>
      </c>
      <c r="CA41" s="14">
        <f t="shared" si="39"/>
        <v>18.181385543312242</v>
      </c>
      <c r="CB41" s="22">
        <f t="shared" si="10"/>
        <v>143.17159315460219</v>
      </c>
      <c r="CC41" s="62">
        <f t="shared" si="11"/>
        <v>436.50492648793551</v>
      </c>
      <c r="CD41" s="62">
        <f ca="1">AVERAGE(OFFSET($CC$3,0,0,'Données projet'!$E$12+1,1))-AVERAGE(OFFSET($H$3,0,0,'Données projet'!$E$12+1,1))</f>
        <v>122.57815304102127</v>
      </c>
      <c r="CE41" s="62">
        <f t="shared" si="40"/>
        <v>80.106609825870578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11.926499999999994</v>
      </c>
      <c r="CT41" s="13">
        <f>IF('Données projet'!$A$140&gt;35,CT40+CS41-DB40,IF(A41&lt;'Données projet'!$A$140,$CQ$205^A41,IF(A41='Données projet'!$A$140,'Données projet'!$B$140,CT40+CS41-DB40)))</f>
        <v>220.34790277777782</v>
      </c>
      <c r="CU41" s="18">
        <f>CT41*VLOOKUP('Données projet'!$B$13,Paramètres!$A$1:$I$89,3,0)*VLOOKUP('Données projet'!$B$13,Paramètres!$A$1:$I$89,5,0)</f>
        <v>144.37194590000004</v>
      </c>
      <c r="CV41" s="14">
        <f t="shared" si="41"/>
        <v>37.296757418721668</v>
      </c>
      <c r="CW41" s="22">
        <f t="shared" si="13"/>
        <v>316.40632494677362</v>
      </c>
      <c r="CX41" s="62">
        <f t="shared" si="14"/>
        <v>609.73965828010694</v>
      </c>
      <c r="CY41" s="62">
        <f ca="1">AVERAGE(OFFSET($CX$3,0,0,'Données projet'!$E$13+1,1))-AVERAGE(OFFSET($H$3,0,0,'Données projet'!$E$13+1,1))</f>
        <v>199.99826357281154</v>
      </c>
      <c r="CZ41" s="62">
        <f t="shared" si="42"/>
        <v>214.67424457475136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11.705008229268154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11.705008229268154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11.926499999999994</v>
      </c>
      <c r="DO41" s="13">
        <f>IF('Données projet'!$A$166&gt;35,DO40+DN41-DW40,IF(A41&lt;'Données projet'!$A$166,$DL$205^A41,IF(A41='Données projet'!$A$166,'Données projet'!$B$166,DO40+DN41-DW40)))</f>
        <v>220.34790277777782</v>
      </c>
      <c r="DP41" s="18">
        <f>DO41*VLOOKUP('Données projet'!$B$14,Paramètres!$A$1:$I$89,3,0)*VLOOKUP('Données projet'!$B$14,Paramètres!$A$1:$I$89,5,0)</f>
        <v>175.30879145000003</v>
      </c>
      <c r="DQ41" s="14">
        <f t="shared" si="43"/>
        <v>44.276880004589124</v>
      </c>
      <c r="DR41" s="22">
        <f t="shared" si="16"/>
        <v>382.44504445007607</v>
      </c>
      <c r="DS41" s="62">
        <f t="shared" si="17"/>
        <v>675.77837778340938</v>
      </c>
      <c r="DT41" s="62">
        <f ca="1">AVERAGE(OFFSET($DS$3,0,0,'Données projet'!$E$14+1,1))-AVERAGE(OFFSET($H$3,0,0,'Données projet'!$E$14+1,1))</f>
        <v>248.15263300983543</v>
      </c>
      <c r="DU41" s="62">
        <f t="shared" si="44"/>
        <v>266.46511459244618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17.518625273373097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17.518625273373097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11.926499999999994</v>
      </c>
      <c r="EJ41" s="13">
        <f>IF('Données projet'!$A$192&gt;35,EJ40+EI41-ER40,IF(A41&lt;'Données projet'!$A$192,$EG$205^A41,IF(A41='Données projet'!$A$192,'Données projet'!$B$192,EJ40+EI41-ER40)))</f>
        <v>220.34790277777782</v>
      </c>
      <c r="EK41" s="18">
        <f>EJ41*VLOOKUP('Données projet'!$B$15,Paramètres!$A$1:$I$89,3,0)*VLOOKUP('Données projet'!$B$15,Paramètres!$A$1:$I$89,5,0)</f>
        <v>147.80937318333335</v>
      </c>
      <c r="EL41" s="14">
        <f t="shared" si="45"/>
        <v>38.080332363136577</v>
      </c>
      <c r="EM41" s="22">
        <f t="shared" si="19"/>
        <v>323.75790382676848</v>
      </c>
      <c r="EN41" s="62">
        <f t="shared" si="20"/>
        <v>617.09123716010185</v>
      </c>
      <c r="EO41" s="62">
        <f ca="1">AVERAGE(OFFSET($EN$3,0,0,'Données projet'!$E$15+1,1))-AVERAGE(OFFSET($H$3,0,0,'Données projet'!$E$15+1,1))</f>
        <v>205.35893113421139</v>
      </c>
      <c r="EP41" s="62">
        <f t="shared" si="46"/>
        <v>220.4399811285175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14.770605622647906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14.770605622647906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25.6</v>
      </c>
      <c r="N42" s="14">
        <f>IF('Données projet'!$A$36&gt;35,N41+M42-V41,IF(A42&lt;'Données projet'!$A$36,$K$205^A42,IF(A42='Données projet'!$A$36,'Données projet'!$B$36,N41+M42-V41)))</f>
        <v>538.4000000000002</v>
      </c>
      <c r="O42" s="14">
        <f>N42*VLOOKUP('Données projet'!$B$9,Paramètres!$A$1:$I$89,3,0)*VLOOKUP('Données projet'!$B$9,Paramètres!$A$1:$I$89,5,0)</f>
        <v>300.96560000000011</v>
      </c>
      <c r="P42" s="14">
        <f t="shared" si="33"/>
        <v>71.378852450242803</v>
      </c>
      <c r="Q42" s="22">
        <f t="shared" si="53"/>
        <v>648.49992135083971</v>
      </c>
      <c r="R42" s="62">
        <f t="shared" si="0"/>
        <v>941.83325468417297</v>
      </c>
      <c r="S42" s="62">
        <f ca="1">AVERAGE(OFFSET($R$3,0,0,'Données projet'!$E$9+1,1))-AVERAGE(OFFSET($H$3,0,0,'Données projet'!$E$9+1,1))</f>
        <v>382.55387448074327</v>
      </c>
      <c r="T42" s="62">
        <f t="shared" si="34"/>
        <v>476.29465646955543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31.098877142763381</v>
      </c>
      <c r="AA42" s="23">
        <f>EXP(-LN(2)/25)*AA41+(1-EXP(-LN(2)/25))/(LN(2)/25)*Calculateur!V42*Calculateur!X42*VLOOKUP('Données projet'!$B$9,Paramètres!$A$1:$I$89,3,0)*0.475*44/12</f>
        <v>15.419312257649956</v>
      </c>
      <c r="AB42" s="23">
        <f>EXP(-LN(2)/2)*AB41+(1-EXP(-LN(2)/2))/(LN(2)/2)*V42*Y42*VLOOKUP('Données projet'!$B$9,Paramètres!$A$1:$I$89,3,0)*0.475*44/12</f>
        <v>1.7580186267326883</v>
      </c>
      <c r="AC42" s="24">
        <f t="shared" si="3"/>
        <v>48.276208027146019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16.573333333333341</v>
      </c>
      <c r="AI42" s="14">
        <f>IF('Données projet'!$A$62&gt;35,AI41+AH42-AQ41,IF(A42&lt;'Données projet'!$A$62,$AF$205^A42,IF(A42='Données projet'!$A$62,'Données projet'!$B$62,AI41+AH42-AQ41)))</f>
        <v>491.47999999999979</v>
      </c>
      <c r="AJ42" s="14">
        <f>AI42*VLOOKUP('Données projet'!$B$10,Paramètres!$A$1:$I$89,3,0)*VLOOKUP('Données projet'!$B$10,Paramètres!$A$1:$I$89,5,0)</f>
        <v>306.68351999999987</v>
      </c>
      <c r="AK42" s="14">
        <f t="shared" si="35"/>
        <v>72.575784171346086</v>
      </c>
      <c r="AL42" s="22">
        <f t="shared" si="4"/>
        <v>660.54328809842752</v>
      </c>
      <c r="AM42" s="62">
        <f t="shared" si="5"/>
        <v>953.8766214317609</v>
      </c>
      <c r="AN42" s="62">
        <f ca="1">AVERAGE(OFFSET($AM$3,0,0,'Données projet'!$E$10+1,1))-AVERAGE(OFFSET($H$3,0,0,'Données projet'!$E$10+1,1))</f>
        <v>420.68062999212015</v>
      </c>
      <c r="AO42" s="62">
        <f t="shared" si="36"/>
        <v>655.24090633185676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61.699343233127486</v>
      </c>
      <c r="AV42" s="23">
        <f>EXP(-LN(2)/25)*AV41+(1-EXP(-LN(2)/25))/(LN(2)/25)*Calculateur!AQ42*Calculateur!AS42*VLOOKUP('Données projet'!$B$10,Paramètres!$A$1:$I$89,3,0)*0.475*44/12</f>
        <v>14.106331767190358</v>
      </c>
      <c r="AW42" s="23">
        <f>EXP(-LN(2)/2)*AW41+(1-EXP(-LN(2)/2))/(LN(2)/2)*AQ42*AT42*VLOOKUP('Données projet'!$B$10,Paramètres!$A$1:$I$89,3,0)*0.475*44/12</f>
        <v>3.8409416700831307</v>
      </c>
      <c r="AX42" s="23">
        <f t="shared" si="6"/>
        <v>79.646616670400974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</v>
      </c>
      <c r="BD42" s="13">
        <f>IF('Données projet'!$A$88&gt;35,BD41+BC42-BL41,IF(A42&lt;'Données projet'!$A$88,$BA$205^A42,IF(A42='Données projet'!$A$88,'Données projet'!$B$88,BD41+BC42-BL41)))</f>
        <v>78</v>
      </c>
      <c r="BE42" s="14">
        <f>BD42*VLOOKUP('Données projet'!$B$11,Paramètres!$A$1:$I$89,3,0)*VLOOKUP('Données projet'!$B$11,Paramètres!$A$1:$I$89,5,0)</f>
        <v>70.574399999999997</v>
      </c>
      <c r="BF42" s="14">
        <f t="shared" si="37"/>
        <v>19.816033420152426</v>
      </c>
      <c r="BG42" s="22">
        <f t="shared" si="7"/>
        <v>157.43000487343213</v>
      </c>
      <c r="BH42" s="62">
        <f t="shared" si="8"/>
        <v>450.76333820676541</v>
      </c>
      <c r="BI42" s="62">
        <f ca="1">AVERAGE(OFFSET($BH$3,0,0,'Données projet'!$E$11+1,1))-AVERAGE(OFFSET($H$3,0,0,'Données projet'!$E$11+1,1))</f>
        <v>138.3429338270858</v>
      </c>
      <c r="BJ42" s="62">
        <f t="shared" si="38"/>
        <v>88.30225651635925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</v>
      </c>
      <c r="BY42" s="13">
        <f>IF('Données projet'!$A$114&gt;35,BY41+BX42-CG41,IF(A42&lt;'Données projet'!$A$114,$BV$205^A42,IF(A42='Données projet'!$A$114,'Données projet'!$B$114,BY41+BX42-CG41)))</f>
        <v>78</v>
      </c>
      <c r="BZ42" s="14">
        <f>BY42*VLOOKUP('Données projet'!$B$12,Paramètres!$A$1:$I$89,3,0)*VLOOKUP('Données projet'!$B$12,Paramètres!$A$1:$I$89,5,0)</f>
        <v>65.707200000000014</v>
      </c>
      <c r="CA42" s="14">
        <f t="shared" si="39"/>
        <v>18.603509358951122</v>
      </c>
      <c r="CB42" s="22">
        <f t="shared" si="10"/>
        <v>146.84115213350654</v>
      </c>
      <c r="CC42" s="62">
        <f t="shared" si="11"/>
        <v>440.17448546683988</v>
      </c>
      <c r="CD42" s="62">
        <f ca="1">AVERAGE(OFFSET($CC$3,0,0,'Données projet'!$E$12+1,1))-AVERAGE(OFFSET($H$3,0,0,'Données projet'!$E$12+1,1))</f>
        <v>122.57815304102127</v>
      </c>
      <c r="CE42" s="62">
        <f t="shared" si="40"/>
        <v>80.106609825870578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11.926499999999994</v>
      </c>
      <c r="CT42" s="13">
        <f>IF('Données projet'!$A$140&gt;35,CT41+CS42-DB41,IF(A42&lt;'Données projet'!$A$140,$CQ$205^A42,IF(A42='Données projet'!$A$140,'Données projet'!$B$140,CT41+CS42-DB41)))</f>
        <v>232.27440277777782</v>
      </c>
      <c r="CU42" s="18">
        <f>CT42*VLOOKUP('Données projet'!$B$13,Paramètres!$A$1:$I$89,3,0)*VLOOKUP('Données projet'!$B$13,Paramètres!$A$1:$I$89,5,0)</f>
        <v>152.18618870000003</v>
      </c>
      <c r="CV42" s="14">
        <f t="shared" si="41"/>
        <v>39.074985693422917</v>
      </c>
      <c r="CW42" s="22">
        <f t="shared" si="13"/>
        <v>333.11321206854495</v>
      </c>
      <c r="CX42" s="62">
        <f t="shared" si="14"/>
        <v>626.44654540187821</v>
      </c>
      <c r="CY42" s="62">
        <f ca="1">AVERAGE(OFFSET($CX$3,0,0,'Données projet'!$E$13+1,1))-AVERAGE(OFFSET($H$3,0,0,'Données projet'!$E$13+1,1))</f>
        <v>199.99826357281154</v>
      </c>
      <c r="CZ42" s="62">
        <f t="shared" si="42"/>
        <v>214.67424457475136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11.475480157242274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11.475480157242274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11.926499999999994</v>
      </c>
      <c r="DO42" s="13">
        <f>IF('Données projet'!$A$166&gt;35,DO41+DN42-DW41,IF(A42&lt;'Données projet'!$A$166,$DL$205^A42,IF(A42='Données projet'!$A$166,'Données projet'!$B$166,DO41+DN42-DW41)))</f>
        <v>232.27440277777782</v>
      </c>
      <c r="DP42" s="18">
        <f>DO42*VLOOKUP('Données projet'!$B$14,Paramètres!$A$1:$I$89,3,0)*VLOOKUP('Données projet'!$B$14,Paramètres!$A$1:$I$89,5,0)</f>
        <v>184.79751485000006</v>
      </c>
      <c r="DQ42" s="14">
        <f t="shared" si="43"/>
        <v>46.387905342684419</v>
      </c>
      <c r="DR42" s="22">
        <f t="shared" si="16"/>
        <v>402.64794016892546</v>
      </c>
      <c r="DS42" s="62">
        <f t="shared" si="17"/>
        <v>695.98127350225877</v>
      </c>
      <c r="DT42" s="62">
        <f ca="1">AVERAGE(OFFSET($DS$3,0,0,'Données projet'!$E$14+1,1))-AVERAGE(OFFSET($H$3,0,0,'Données projet'!$E$14+1,1))</f>
        <v>248.15263300983543</v>
      </c>
      <c r="DU42" s="62">
        <f t="shared" si="44"/>
        <v>266.46511459244618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17.175095717068579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17.175095717068579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11.926499999999994</v>
      </c>
      <c r="EJ42" s="13">
        <f>IF('Données projet'!$A$192&gt;35,EJ41+EI42-ER41,IF(A42&lt;'Données projet'!$A$192,$EG$205^A42,IF(A42='Données projet'!$A$192,'Données projet'!$B$192,EJ41+EI42-ER41)))</f>
        <v>232.27440277777782</v>
      </c>
      <c r="EK42" s="18">
        <f>EJ42*VLOOKUP('Données projet'!$B$15,Paramètres!$A$1:$I$89,3,0)*VLOOKUP('Données projet'!$B$15,Paramètres!$A$1:$I$89,5,0)</f>
        <v>155.80966938333336</v>
      </c>
      <c r="EL42" s="14">
        <f t="shared" si="45"/>
        <v>39.895919786941981</v>
      </c>
      <c r="EM42" s="22">
        <f t="shared" si="19"/>
        <v>340.85390113822956</v>
      </c>
      <c r="EN42" s="62">
        <f t="shared" si="20"/>
        <v>634.18723447156287</v>
      </c>
      <c r="EO42" s="62">
        <f ca="1">AVERAGE(OFFSET($EN$3,0,0,'Données projet'!$E$15+1,1))-AVERAGE(OFFSET($H$3,0,0,'Données projet'!$E$15+1,1))</f>
        <v>205.35893113421139</v>
      </c>
      <c r="EP42" s="62">
        <f t="shared" si="46"/>
        <v>220.4399811285175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14.480963055567628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14.480963055567628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564</v>
      </c>
      <c r="L43" s="13">
        <f>VLOOKUP(A43,'Données projet'!$A$35:$I$55,9,0)</f>
        <v>25.6</v>
      </c>
      <c r="M43" s="13">
        <f t="array" ref="M43">INDEX(L:L,MIN(IF(ISNUMBER(L43:L239),ROW(L43:L239),"")))</f>
        <v>25.6</v>
      </c>
      <c r="N43" s="14">
        <f>IF('Données projet'!$A$36&gt;35,N42+M43-V42,IF(A43&lt;'Données projet'!$A$36,$K$205^A43,IF(A43='Données projet'!$A$36,'Données projet'!$B$36,N42+M43-V42)))</f>
        <v>564.00000000000023</v>
      </c>
      <c r="O43" s="14">
        <f>N43*VLOOKUP('Données projet'!$B$9,Paramètres!$A$1:$I$89,3,0)*VLOOKUP('Données projet'!$B$9,Paramètres!$A$1:$I$89,5,0)</f>
        <v>315.27600000000012</v>
      </c>
      <c r="P43" s="14">
        <f t="shared" si="33"/>
        <v>74.36958441265493</v>
      </c>
      <c r="Q43" s="22">
        <f t="shared" si="53"/>
        <v>678.63272618537417</v>
      </c>
      <c r="R43" s="62">
        <f t="shared" si="0"/>
        <v>971.96605951870743</v>
      </c>
      <c r="S43" s="62">
        <f ca="1">AVERAGE(OFFSET($R$3,0,0,'Données projet'!$E$9+1,1))-AVERAGE(OFFSET($H$3,0,0,'Données projet'!$E$9+1,1))</f>
        <v>382.55387448074327</v>
      </c>
      <c r="T43" s="62">
        <f t="shared" si="34"/>
        <v>476.29465646955543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72</v>
      </c>
      <c r="W43" s="17">
        <f>IF(ISNA(VLOOKUP(A43,'Données projet'!$A$35:$I$55,5,0)),0%,VLOOKUP(A43,'Données projet'!$A$35:$I$55,5,0)*VLOOKUP('Données projet'!$B$9,Paramètres!$A$1:$I$89,7,0))</f>
        <v>0.38500000000000001</v>
      </c>
      <c r="X43" s="17">
        <f>IF(ISNA(VLOOKUP(A43,'Données projet'!$A$35:$I$55,6,0)),0%,VLOOKUP(A43,'Données projet'!$A$35:$I$55,6,0)*VLOOKUP('Données projet'!$B$9,Paramètres!$A$1:$I$89,7,0))</f>
        <v>9.240000000000001E-2</v>
      </c>
      <c r="Y43" s="17">
        <f>IF(ISNA(VLOOKUP(A43,'Données projet'!$A$35:$I$55,7,0)),0%,VLOOKUP(A43,'Données projet'!$A$35:$I$55,7,0))</f>
        <v>0.13200000000000001</v>
      </c>
      <c r="Z43" s="23">
        <f>EXP(-LN(2)/35)*Z42+(1-EXP(-LN(2)/35))/(LN(2)/35)*V43*W43*VLOOKUP('Données projet'!$B$9,Paramètres!$A$1:$I$89,3,0)*0.475*44/12</f>
        <v>51.044800118410159</v>
      </c>
      <c r="AA43" s="23">
        <f>EXP(-LN(2)/25)*AA42+(1-EXP(-LN(2)/25))/(LN(2)/25)*Calculateur!V43*Calculateur!X43*VLOOKUP('Données projet'!$B$9,Paramètres!$A$1:$I$89,3,0)*0.475*44/12</f>
        <v>19.911626470563256</v>
      </c>
      <c r="AB43" s="23">
        <f>EXP(-LN(2)/2)*AB42+(1-EXP(-LN(2)/2))/(LN(2)/2)*V43*Y43*VLOOKUP('Données projet'!$B$9,Paramètres!$A$1:$I$89,3,0)*0.475*44/12</f>
        <v>7.2583581798465104</v>
      </c>
      <c r="AC43" s="24">
        <f t="shared" si="3"/>
        <v>78.214784768819925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16.573333333333341</v>
      </c>
      <c r="AI43" s="14">
        <f>IF('Données projet'!$A$62&gt;35,AI42+AH43-AQ42,IF(A43&lt;'Données projet'!$A$62,$AF$205^A43,IF(A43='Données projet'!$A$62,'Données projet'!$B$62,AI42+AH43-AQ42)))</f>
        <v>508.05333333333311</v>
      </c>
      <c r="AJ43" s="14">
        <f>AI43*VLOOKUP('Données projet'!$B$10,Paramètres!$A$1:$I$89,3,0)*VLOOKUP('Données projet'!$B$10,Paramètres!$A$1:$I$89,5,0)</f>
        <v>317.02527999999984</v>
      </c>
      <c r="AK43" s="14">
        <f t="shared" si="35"/>
        <v>74.734069283016822</v>
      </c>
      <c r="AL43" s="22">
        <f t="shared" si="4"/>
        <v>682.31420000125399</v>
      </c>
      <c r="AM43" s="62">
        <f t="shared" si="5"/>
        <v>975.64753333458725</v>
      </c>
      <c r="AN43" s="62">
        <f ca="1">AVERAGE(OFFSET($AM$3,0,0,'Données projet'!$E$10+1,1))-AVERAGE(OFFSET($H$3,0,0,'Données projet'!$E$10+1,1))</f>
        <v>420.68062999212015</v>
      </c>
      <c r="AO43" s="62">
        <f t="shared" si="36"/>
        <v>655.24090633185676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60.489456745209289</v>
      </c>
      <c r="AV43" s="23">
        <f>EXP(-LN(2)/25)*AV42+(1-EXP(-LN(2)/25))/(LN(2)/25)*Calculateur!AQ43*Calculateur!AS43*VLOOKUP('Données projet'!$B$10,Paramètres!$A$1:$I$89,3,0)*0.475*44/12</f>
        <v>13.720593383196791</v>
      </c>
      <c r="AW43" s="23">
        <f>EXP(-LN(2)/2)*AW42+(1-EXP(-LN(2)/2))/(LN(2)/2)*AQ43*AT43*VLOOKUP('Données projet'!$B$10,Paramètres!$A$1:$I$89,3,0)*0.475*44/12</f>
        <v>2.715955901057765</v>
      </c>
      <c r="AX43" s="23">
        <f t="shared" si="6"/>
        <v>76.926006029463849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</v>
      </c>
      <c r="BD43" s="13">
        <f>IF('Données projet'!$A$88&gt;35,BD42+BC43-BL42,IF(A43&lt;'Données projet'!$A$88,$BA$205^A43,IF(A43='Données projet'!$A$88,'Données projet'!$B$88,BD42+BC43-BL42)))</f>
        <v>80</v>
      </c>
      <c r="BE43" s="14">
        <f>BD43*VLOOKUP('Données projet'!$B$11,Paramètres!$A$1:$I$89,3,0)*VLOOKUP('Données projet'!$B$11,Paramètres!$A$1:$I$89,5,0)</f>
        <v>72.384</v>
      </c>
      <c r="BF43" s="14">
        <f t="shared" si="37"/>
        <v>20.264329923804397</v>
      </c>
      <c r="BG43" s="22">
        <f t="shared" si="7"/>
        <v>161.362507950626</v>
      </c>
      <c r="BH43" s="62">
        <f t="shared" si="8"/>
        <v>454.69584128395934</v>
      </c>
      <c r="BI43" s="62">
        <f ca="1">AVERAGE(OFFSET($BH$3,0,0,'Données projet'!$E$11+1,1))-AVERAGE(OFFSET($H$3,0,0,'Données projet'!$E$11+1,1))</f>
        <v>138.3429338270858</v>
      </c>
      <c r="BJ43" s="62">
        <f t="shared" si="38"/>
        <v>88.30225651635925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2</v>
      </c>
      <c r="BY43" s="13">
        <f>IF('Données projet'!$A$114&gt;35,BY42+BX43-CG42,IF(A43&lt;'Données projet'!$A$114,$BV$205^A43,IF(A43='Données projet'!$A$114,'Données projet'!$B$114,BY42+BX43-CG42)))</f>
        <v>80</v>
      </c>
      <c r="BZ43" s="14">
        <f>BY43*VLOOKUP('Données projet'!$B$12,Paramètres!$A$1:$I$89,3,0)*VLOOKUP('Données projet'!$B$12,Paramètres!$A$1:$I$89,5,0)</f>
        <v>67.39200000000001</v>
      </c>
      <c r="CA43" s="14">
        <f t="shared" si="39"/>
        <v>19.02437502991798</v>
      </c>
      <c r="CB43" s="22">
        <f t="shared" si="10"/>
        <v>150.50851984377383</v>
      </c>
      <c r="CC43" s="62">
        <f t="shared" si="11"/>
        <v>443.84185317710717</v>
      </c>
      <c r="CD43" s="62">
        <f ca="1">AVERAGE(OFFSET($CC$3,0,0,'Données projet'!$E$12+1,1))-AVERAGE(OFFSET($H$3,0,0,'Données projet'!$E$12+1,1))</f>
        <v>122.57815304102127</v>
      </c>
      <c r="CE43" s="62">
        <f t="shared" si="40"/>
        <v>80.106609825870578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11.926499999999994</v>
      </c>
      <c r="CT43" s="13">
        <f>IF('Données projet'!$A$140&gt;35,CT42+CS43-DB42,IF(A43&lt;'Données projet'!$A$140,$CQ$205^A43,IF(A43='Données projet'!$A$140,'Données projet'!$B$140,CT42+CS43-DB42)))</f>
        <v>244.20090277777783</v>
      </c>
      <c r="CU43" s="18">
        <f>CT43*VLOOKUP('Données projet'!$B$13,Paramètres!$A$1:$I$89,3,0)*VLOOKUP('Données projet'!$B$13,Paramètres!$A$1:$I$89,5,0)</f>
        <v>160.00043150000002</v>
      </c>
      <c r="CV43" s="14">
        <f t="shared" si="41"/>
        <v>40.842612732710002</v>
      </c>
      <c r="CW43" s="22">
        <f t="shared" si="13"/>
        <v>349.80163537196995</v>
      </c>
      <c r="CX43" s="62">
        <f t="shared" si="14"/>
        <v>643.13496870530321</v>
      </c>
      <c r="CY43" s="62">
        <f ca="1">AVERAGE(OFFSET($CX$3,0,0,'Données projet'!$E$13+1,1))-AVERAGE(OFFSET($H$3,0,0,'Données projet'!$E$13+1,1))</f>
        <v>199.99826357281154</v>
      </c>
      <c r="CZ43" s="62">
        <f t="shared" si="42"/>
        <v>214.67424457475136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11.250452990710519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11.250452990710519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11.926499999999994</v>
      </c>
      <c r="DO43" s="13">
        <f>IF('Données projet'!$A$166&gt;35,DO42+DN43-DW42,IF(A43&lt;'Données projet'!$A$166,$DL$205^A43,IF(A43='Données projet'!$A$166,'Données projet'!$B$166,DO42+DN43-DW42)))</f>
        <v>244.20090277777783</v>
      </c>
      <c r="DP43" s="18">
        <f>DO43*VLOOKUP('Données projet'!$B$14,Paramètres!$A$1:$I$89,3,0)*VLOOKUP('Données projet'!$B$14,Paramètres!$A$1:$I$89,5,0)</f>
        <v>194.28623825000005</v>
      </c>
      <c r="DQ43" s="14">
        <f t="shared" si="43"/>
        <v>48.486345414370014</v>
      </c>
      <c r="DR43" s="22">
        <f t="shared" si="16"/>
        <v>422.8289165487779</v>
      </c>
      <c r="DS43" s="62">
        <f t="shared" si="17"/>
        <v>716.16224988211115</v>
      </c>
      <c r="DT43" s="62">
        <f ca="1">AVERAGE(OFFSET($DS$3,0,0,'Données projet'!$E$14+1,1))-AVERAGE(OFFSET($H$3,0,0,'Données projet'!$E$14+1,1))</f>
        <v>248.15263300983543</v>
      </c>
      <c r="DU43" s="62">
        <f t="shared" si="44"/>
        <v>266.46511459244618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16.838302565830855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16.838302565830855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11.926499999999994</v>
      </c>
      <c r="EJ43" s="13">
        <f>IF('Données projet'!$A$192&gt;35,EJ42+EI43-ER42,IF(A43&lt;'Données projet'!$A$192,$EG$205^A43,IF(A43='Données projet'!$A$192,'Données projet'!$B$192,EJ42+EI43-ER42)))</f>
        <v>244.20090277777783</v>
      </c>
      <c r="EK43" s="18">
        <f>EJ43*VLOOKUP('Données projet'!$B$15,Paramètres!$A$1:$I$89,3,0)*VLOOKUP('Données projet'!$B$15,Paramètres!$A$1:$I$89,5,0)</f>
        <v>163.80996558333337</v>
      </c>
      <c r="EL43" s="14">
        <f t="shared" si="45"/>
        <v>41.700683251884172</v>
      </c>
      <c r="EM43" s="22">
        <f t="shared" si="19"/>
        <v>357.93104672133722</v>
      </c>
      <c r="EN43" s="62">
        <f t="shared" si="20"/>
        <v>651.26438005467048</v>
      </c>
      <c r="EO43" s="62">
        <f ca="1">AVERAGE(OFFSET($EN$3,0,0,'Données projet'!$E$15+1,1))-AVERAGE(OFFSET($H$3,0,0,'Données projet'!$E$15+1,1))</f>
        <v>205.35893113421139</v>
      </c>
      <c r="EP43" s="62">
        <f t="shared" si="46"/>
        <v>220.4399811285175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14.197000202563272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14.197000202563272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</v>
      </c>
      <c r="N44" s="14">
        <f>IF('Données projet'!$A$36&gt;35,N43+M44-V43,IF(A44&lt;'Données projet'!$A$36,$K$205^A44,IF(A44='Données projet'!$A$36,'Données projet'!$B$36,N43+M44-V43)))</f>
        <v>514.80000000000018</v>
      </c>
      <c r="O44" s="14">
        <f>N44*VLOOKUP('Données projet'!$B$9,Paramètres!$A$1:$I$89,3,0)*VLOOKUP('Données projet'!$B$9,Paramètres!$A$1:$I$89,5,0)</f>
        <v>287.77320000000009</v>
      </c>
      <c r="P44" s="14">
        <f t="shared" si="33"/>
        <v>68.607082381743922</v>
      </c>
      <c r="Q44" s="22">
        <f t="shared" si="53"/>
        <v>620.69565848153741</v>
      </c>
      <c r="R44" s="62">
        <f t="shared" si="0"/>
        <v>914.02899181487078</v>
      </c>
      <c r="S44" s="62">
        <f ca="1">AVERAGE(OFFSET($R$3,0,0,'Données projet'!$E$9+1,1))-AVERAGE(OFFSET($H$3,0,0,'Données projet'!$E$9+1,1))</f>
        <v>382.55387448074327</v>
      </c>
      <c r="T44" s="62">
        <f t="shared" si="34"/>
        <v>476.29465646955543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50.043842722341957</v>
      </c>
      <c r="AA44" s="23">
        <f>EXP(-LN(2)/25)*AA43+(1-EXP(-LN(2)/25))/(LN(2)/25)*Calculateur!V44*Calculateur!X44*VLOOKUP('Données projet'!$B$9,Paramètres!$A$1:$I$89,3,0)*0.475*44/12</f>
        <v>19.367141997618777</v>
      </c>
      <c r="AB44" s="23">
        <f>EXP(-LN(2)/2)*AB43+(1-EXP(-LN(2)/2))/(LN(2)/2)*V44*Y44*VLOOKUP('Données projet'!$B$9,Paramètres!$A$1:$I$89,3,0)*0.475*44/12</f>
        <v>5.1324342892503143</v>
      </c>
      <c r="AC44" s="24">
        <f t="shared" si="3"/>
        <v>74.54341900921105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16.573333333333341</v>
      </c>
      <c r="AI44" s="14">
        <f>IF('Données projet'!$A$62&gt;35,AI43+AH44-AQ43,IF(A44&lt;'Données projet'!$A$62,$AF$205^A44,IF(A44='Données projet'!$A$62,'Données projet'!$B$62,AI43+AH44-AQ43)))</f>
        <v>524.62666666666644</v>
      </c>
      <c r="AJ44" s="14">
        <f>AI44*VLOOKUP('Données projet'!$B$10,Paramètres!$A$1:$I$89,3,0)*VLOOKUP('Données projet'!$B$10,Paramètres!$A$1:$I$89,5,0)</f>
        <v>327.36703999999986</v>
      </c>
      <c r="AK44" s="14">
        <f t="shared" si="35"/>
        <v>76.884173148417787</v>
      </c>
      <c r="AL44" s="22">
        <f t="shared" si="4"/>
        <v>704.07086290016071</v>
      </c>
      <c r="AM44" s="62">
        <f t="shared" si="5"/>
        <v>997.40419623349408</v>
      </c>
      <c r="AN44" s="62">
        <f ca="1">AVERAGE(OFFSET($AM$3,0,0,'Données projet'!$E$10+1,1))-AVERAGE(OFFSET($H$3,0,0,'Données projet'!$E$10+1,1))</f>
        <v>420.68062999212015</v>
      </c>
      <c r="AO44" s="62">
        <f t="shared" si="36"/>
        <v>655.24090633185676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59.303295393361275</v>
      </c>
      <c r="AV44" s="23">
        <f>EXP(-LN(2)/25)*AV43+(1-EXP(-LN(2)/25))/(LN(2)/25)*Calculateur!AQ44*Calculateur!AS44*VLOOKUP('Données projet'!$B$10,Paramètres!$A$1:$I$89,3,0)*0.475*44/12</f>
        <v>13.345403035598627</v>
      </c>
      <c r="AW44" s="23">
        <f>EXP(-LN(2)/2)*AW43+(1-EXP(-LN(2)/2))/(LN(2)/2)*AQ44*AT44*VLOOKUP('Données projet'!$B$10,Paramètres!$A$1:$I$89,3,0)*0.475*44/12</f>
        <v>1.9204708350415656</v>
      </c>
      <c r="AX44" s="23">
        <f t="shared" si="6"/>
        <v>74.569169264001474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</v>
      </c>
      <c r="BD44" s="13">
        <f>IF('Données projet'!$A$88&gt;35,BD43+BC44-BL43,IF(A44&lt;'Données projet'!$A$88,$BA$205^A44,IF(A44='Données projet'!$A$88,'Données projet'!$B$88,BD43+BC44-BL43)))</f>
        <v>82</v>
      </c>
      <c r="BE44" s="14">
        <f>BD44*VLOOKUP('Données projet'!$B$11,Paramètres!$A$1:$I$89,3,0)*VLOOKUP('Données projet'!$B$11,Paramètres!$A$1:$I$89,5,0)</f>
        <v>74.193599999999989</v>
      </c>
      <c r="BF44" s="14">
        <f t="shared" si="37"/>
        <v>20.711323637482362</v>
      </c>
      <c r="BG44" s="22">
        <f t="shared" si="7"/>
        <v>165.29274200194843</v>
      </c>
      <c r="BH44" s="62">
        <f t="shared" si="8"/>
        <v>458.62607533528171</v>
      </c>
      <c r="BI44" s="62">
        <f ca="1">AVERAGE(OFFSET($BH$3,0,0,'Données projet'!$E$11+1,1))-AVERAGE(OFFSET($H$3,0,0,'Données projet'!$E$11+1,1))</f>
        <v>138.3429338270858</v>
      </c>
      <c r="BJ44" s="62">
        <f t="shared" si="38"/>
        <v>88.30225651635925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</v>
      </c>
      <c r="BY44" s="13">
        <f>IF('Données projet'!$A$114&gt;35,BY43+BX44-CG43,IF(A44&lt;'Données projet'!$A$114,$BV$205^A44,IF(A44='Données projet'!$A$114,'Données projet'!$B$114,BY43+BX44-CG43)))</f>
        <v>82</v>
      </c>
      <c r="BZ44" s="14">
        <f>BY44*VLOOKUP('Données projet'!$B$12,Paramètres!$A$1:$I$89,3,0)*VLOOKUP('Données projet'!$B$12,Paramètres!$A$1:$I$89,5,0)</f>
        <v>69.076800000000006</v>
      </c>
      <c r="CA44" s="14">
        <f t="shared" si="39"/>
        <v>19.444017627378674</v>
      </c>
      <c r="CB44" s="22">
        <f t="shared" si="10"/>
        <v>154.17375736768454</v>
      </c>
      <c r="CC44" s="62">
        <f t="shared" si="11"/>
        <v>447.50709070101789</v>
      </c>
      <c r="CD44" s="62">
        <f ca="1">AVERAGE(OFFSET($CC$3,0,0,'Données projet'!$E$12+1,1))-AVERAGE(OFFSET($H$3,0,0,'Données projet'!$E$12+1,1))</f>
        <v>122.57815304102127</v>
      </c>
      <c r="CE44" s="62">
        <f t="shared" si="40"/>
        <v>80.106609825870578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11.926499999999994</v>
      </c>
      <c r="CT44" s="13">
        <f>IF('Données projet'!$A$140&gt;35,CT43+CS44-DB43,IF(A44&lt;'Données projet'!$A$140,$CQ$205^A44,IF(A44='Données projet'!$A$140,'Données projet'!$B$140,CT43+CS44-DB43)))</f>
        <v>256.12740277777783</v>
      </c>
      <c r="CU44" s="18">
        <f>CT44*VLOOKUP('Données projet'!$B$13,Paramètres!$A$1:$I$89,3,0)*VLOOKUP('Données projet'!$B$13,Paramètres!$A$1:$I$89,5,0)</f>
        <v>167.81467430000004</v>
      </c>
      <c r="CV44" s="14">
        <f t="shared" si="41"/>
        <v>42.600215385048458</v>
      </c>
      <c r="CW44" s="22">
        <f t="shared" si="13"/>
        <v>366.47259953479278</v>
      </c>
      <c r="CX44" s="62">
        <f t="shared" si="14"/>
        <v>659.80593286812609</v>
      </c>
      <c r="CY44" s="62">
        <f ca="1">AVERAGE(OFFSET($CX$3,0,0,'Données projet'!$E$13+1,1))-AVERAGE(OFFSET($H$3,0,0,'Données projet'!$E$13+1,1))</f>
        <v>199.99826357281154</v>
      </c>
      <c r="CZ44" s="62">
        <f t="shared" si="42"/>
        <v>214.67424457475136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11.029838469661435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11.029838469661435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11.926499999999994</v>
      </c>
      <c r="DO44" s="13">
        <f>IF('Données projet'!$A$166&gt;35,DO43+DN44-DW43,IF(A44&lt;'Données projet'!$A$166,$DL$205^A44,IF(A44='Données projet'!$A$166,'Données projet'!$B$166,DO43+DN44-DW43)))</f>
        <v>256.12740277777783</v>
      </c>
      <c r="DP44" s="18">
        <f>DO44*VLOOKUP('Données projet'!$B$14,Paramètres!$A$1:$I$89,3,0)*VLOOKUP('Données projet'!$B$14,Paramètres!$A$1:$I$89,5,0)</f>
        <v>203.77496165000005</v>
      </c>
      <c r="DQ44" s="14">
        <f t="shared" si="43"/>
        <v>50.57288502583431</v>
      </c>
      <c r="DR44" s="22">
        <f t="shared" si="16"/>
        <v>442.9891662937448</v>
      </c>
      <c r="DS44" s="62">
        <f t="shared" si="17"/>
        <v>736.32249962707806</v>
      </c>
      <c r="DT44" s="62">
        <f ca="1">AVERAGE(OFFSET($DS$3,0,0,'Données projet'!$E$14+1,1))-AVERAGE(OFFSET($H$3,0,0,'Données projet'!$E$14+1,1))</f>
        <v>248.15263300983543</v>
      </c>
      <c r="DU44" s="62">
        <f t="shared" si="44"/>
        <v>266.46511459244618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16.508113722865364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16.508113722865364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11.926499999999994</v>
      </c>
      <c r="EJ44" s="13">
        <f>IF('Données projet'!$A$192&gt;35,EJ43+EI44-ER43,IF(A44&lt;'Données projet'!$A$192,$EG$205^A44,IF(A44='Données projet'!$A$192,'Données projet'!$B$192,EJ43+EI44-ER43)))</f>
        <v>256.12740277777783</v>
      </c>
      <c r="EK44" s="18">
        <f>EJ44*VLOOKUP('Données projet'!$B$15,Paramètres!$A$1:$I$89,3,0)*VLOOKUP('Données projet'!$B$15,Paramètres!$A$1:$I$89,5,0)</f>
        <v>171.81026178333337</v>
      </c>
      <c r="EL44" s="14">
        <f t="shared" si="45"/>
        <v>43.495211725551947</v>
      </c>
      <c r="EM44" s="22">
        <f t="shared" si="19"/>
        <v>374.99036636130859</v>
      </c>
      <c r="EN44" s="62">
        <f t="shared" si="20"/>
        <v>668.32369969464185</v>
      </c>
      <c r="EO44" s="62">
        <f ca="1">AVERAGE(OFFSET($EN$3,0,0,'Données projet'!$E$15+1,1))-AVERAGE(OFFSET($H$3,0,0,'Données projet'!$E$15+1,1))</f>
        <v>205.35893113421139</v>
      </c>
      <c r="EP44" s="62">
        <f t="shared" si="46"/>
        <v>220.4399811285175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13.918605687906094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13.918605687906094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22.8</v>
      </c>
      <c r="N45" s="14">
        <f>IF('Données projet'!$A$36&gt;35,N44+M45-V44,IF(A45&lt;'Données projet'!$A$36,$K$205^A45,IF(A45='Données projet'!$A$36,'Données projet'!$B$36,N44+M45-V44)))</f>
        <v>537.60000000000014</v>
      </c>
      <c r="O45" s="14">
        <f>N45*VLOOKUP('Données projet'!$B$9,Paramètres!$A$1:$I$89,3,0)*VLOOKUP('Données projet'!$B$9,Paramètres!$A$1:$I$89,5,0)</f>
        <v>300.5184000000001</v>
      </c>
      <c r="P45" s="14">
        <f t="shared" si="33"/>
        <v>71.285129105116411</v>
      </c>
      <c r="Q45" s="22">
        <f t="shared" si="53"/>
        <v>647.55781319141124</v>
      </c>
      <c r="R45" s="62">
        <f t="shared" si="0"/>
        <v>940.8911465247445</v>
      </c>
      <c r="S45" s="62">
        <f ca="1">AVERAGE(OFFSET($R$3,0,0,'Données projet'!$E$9+1,1))-AVERAGE(OFFSET($H$3,0,0,'Données projet'!$E$9+1,1))</f>
        <v>382.55387448074327</v>
      </c>
      <c r="T45" s="62">
        <f t="shared" si="34"/>
        <v>476.29465646955543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49.062513490286925</v>
      </c>
      <c r="AA45" s="23">
        <f>EXP(-LN(2)/25)*AA44+(1-EXP(-LN(2)/25))/(LN(2)/25)*Calculateur!V45*Calculateur!X45*VLOOKUP('Données projet'!$B$9,Paramètres!$A$1:$I$89,3,0)*0.475*44/12</f>
        <v>18.837546481220159</v>
      </c>
      <c r="AB45" s="23">
        <f>EXP(-LN(2)/2)*AB44+(1-EXP(-LN(2)/2))/(LN(2)/2)*V45*Y45*VLOOKUP('Données projet'!$B$9,Paramètres!$A$1:$I$89,3,0)*0.475*44/12</f>
        <v>3.6291790899232557</v>
      </c>
      <c r="AC45" s="24">
        <f t="shared" si="3"/>
        <v>71.529239061430346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541.20000000000005</v>
      </c>
      <c r="AG45" s="13">
        <f>VLOOKUP(A45,'Données projet'!$A$61:$I$81,9,0)</f>
        <v>16.573333333333341</v>
      </c>
      <c r="AH45" s="13">
        <f t="array" ref="AH45">INDEX(AG:AG,MIN(IF(ISNUMBER(AG45:AG241),ROW(AG45:AG241),"")))</f>
        <v>16.573333333333341</v>
      </c>
      <c r="AI45" s="14">
        <f>IF('Données projet'!$A$62&gt;35,AI44+AH45-AQ44,IF(A45&lt;'Données projet'!$A$62,$AF$205^A45,IF(A45='Données projet'!$A$62,'Données projet'!$B$62,AI44+AH45-AQ44)))</f>
        <v>541.19999999999982</v>
      </c>
      <c r="AJ45" s="14">
        <f>AI45*VLOOKUP('Données projet'!$B$10,Paramètres!$A$1:$I$89,3,0)*VLOOKUP('Données projet'!$B$10,Paramètres!$A$1:$I$89,5,0)</f>
        <v>337.70879999999988</v>
      </c>
      <c r="AK45" s="14">
        <f t="shared" si="35"/>
        <v>79.026383870150141</v>
      </c>
      <c r="AL45" s="22">
        <f t="shared" si="4"/>
        <v>725.8137785738445</v>
      </c>
      <c r="AM45" s="62">
        <f t="shared" si="5"/>
        <v>1019.1471119071778</v>
      </c>
      <c r="AN45" s="62">
        <f ca="1">AVERAGE(OFFSET($AM$3,0,0,'Données projet'!$E$10+1,1))-AVERAGE(OFFSET($H$3,0,0,'Données projet'!$E$10+1,1))</f>
        <v>420.68062999212015</v>
      </c>
      <c r="AO45" s="62">
        <f t="shared" si="36"/>
        <v>655.24090633185676</v>
      </c>
      <c r="AP45" s="16">
        <f>IF(ISNA(VLOOKUP(A45,'Données projet'!$A$61:$I$81,3,0)),0,VLOOKUP(A45,'Données projet'!$A$61:$I$81,3,0))</f>
        <v>3</v>
      </c>
      <c r="AQ45" s="16">
        <f>IF(ISNA(VLOOKUP(A45,'Données projet'!$A$61:$I$81,4,0)),0,VLOOKUP(A45,'Données projet'!$A$61:$I$81,4,0))</f>
        <v>106.48</v>
      </c>
      <c r="AR45" s="17">
        <f>IF(ISNA(VLOOKUP(A45,'Données projet'!$A$61:$I$81,5,0)),0%,VLOOKUP(A45,'Données projet'!$A$61:$I$81,5,0)*VLOOKUP('Données projet'!$B$10,Paramètres!$A$1:$I$89,7,0))</f>
        <v>0.42</v>
      </c>
      <c r="AS45" s="17">
        <f>IF(ISNA(VLOOKUP(A45,'Données projet'!$A$61:$I$81,6,0)),0%,VLOOKUP(A45,'Données projet'!$A$61:$I$81,6,0)*VLOOKUP('Données projet'!$B$10,Paramètres!$A$1:$I$89,7,0))</f>
        <v>0.1008</v>
      </c>
      <c r="AT45" s="17">
        <f>IF(ISNA(VLOOKUP(A45,'Données projet'!$A$61:$I$81,7,0)),0%,VLOOKUP(A45,'Données projet'!$A$61:$I$81,7,0))</f>
        <v>0.13200000000000001</v>
      </c>
      <c r="AU45" s="23">
        <f>EXP(-LN(2)/35)*AU44+(1-EXP(-LN(2)/35))/(LN(2)/35)*AQ45*AR45*VLOOKUP('Données projet'!$B$10,Paramètres!$A$1:$I$89,3,0)*0.475*44/12</f>
        <v>95.159870951176231</v>
      </c>
      <c r="AV45" s="23">
        <f>EXP(-LN(2)/25)*AV44+(1-EXP(-LN(2)/25))/(LN(2)/25)*Calculateur!AQ45*Calculateur!AS45*VLOOKUP('Données projet'!$B$10,Paramètres!$A$1:$I$89,3,0)*0.475*44/12</f>
        <v>21.830164421192904</v>
      </c>
      <c r="AW45" s="23">
        <f>EXP(-LN(2)/2)*AW44+(1-EXP(-LN(2)/2))/(LN(2)/2)*AQ45*AT45*VLOOKUP('Données projet'!$B$10,Paramètres!$A$1:$I$89,3,0)*0.475*44/12</f>
        <v>11.288271858834513</v>
      </c>
      <c r="AX45" s="23">
        <f t="shared" si="6"/>
        <v>128.27830723120366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</v>
      </c>
      <c r="BD45" s="13">
        <f>IF('Données projet'!$A$88&gt;35,BD44+BC45-BL44,IF(A45&lt;'Données projet'!$A$88,$BA$205^A45,IF(A45='Données projet'!$A$88,'Données projet'!$B$88,BD44+BC45-BL44)))</f>
        <v>84</v>
      </c>
      <c r="BE45" s="14">
        <f>BD45*VLOOKUP('Données projet'!$B$11,Paramètres!$A$1:$I$89,3,0)*VLOOKUP('Données projet'!$B$11,Paramètres!$A$1:$I$89,5,0)</f>
        <v>76.003200000000007</v>
      </c>
      <c r="BF45" s="14">
        <f t="shared" si="37"/>
        <v>21.157049992000456</v>
      </c>
      <c r="BG45" s="22">
        <f t="shared" si="7"/>
        <v>169.22076873606747</v>
      </c>
      <c r="BH45" s="62">
        <f t="shared" si="8"/>
        <v>462.55410206940076</v>
      </c>
      <c r="BI45" s="62">
        <f ca="1">AVERAGE(OFFSET($BH$3,0,0,'Données projet'!$E$11+1,1))-AVERAGE(OFFSET($H$3,0,0,'Données projet'!$E$11+1,1))</f>
        <v>138.3429338270858</v>
      </c>
      <c r="BJ45" s="62">
        <f t="shared" si="38"/>
        <v>88.30225651635925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</v>
      </c>
      <c r="BY45" s="13">
        <f>IF('Données projet'!$A$114&gt;35,BY44+BX45-CG44,IF(A45&lt;'Données projet'!$A$114,$BV$205^A45,IF(A45='Données projet'!$A$114,'Données projet'!$B$114,BY44+BX45-CG44)))</f>
        <v>84</v>
      </c>
      <c r="BZ45" s="14">
        <f>BY45*VLOOKUP('Données projet'!$B$12,Paramètres!$A$1:$I$89,3,0)*VLOOKUP('Données projet'!$B$12,Paramètres!$A$1:$I$89,5,0)</f>
        <v>70.761600000000001</v>
      </c>
      <c r="CA45" s="14">
        <f t="shared" si="39"/>
        <v>19.862470414169767</v>
      </c>
      <c r="CB45" s="22">
        <f t="shared" si="10"/>
        <v>157.83692263801234</v>
      </c>
      <c r="CC45" s="62">
        <f t="shared" si="11"/>
        <v>451.17025597134568</v>
      </c>
      <c r="CD45" s="62">
        <f ca="1">AVERAGE(OFFSET($CC$3,0,0,'Données projet'!$E$12+1,1))-AVERAGE(OFFSET($H$3,0,0,'Données projet'!$E$12+1,1))</f>
        <v>122.57815304102127</v>
      </c>
      <c r="CE45" s="62">
        <f t="shared" si="40"/>
        <v>80.106609825870578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11.926499999999994</v>
      </c>
      <c r="CT45" s="13">
        <f>IF('Données projet'!$A$140&gt;35,CT44+CS45-DB44,IF(A45&lt;'Données projet'!$A$140,$CQ$205^A45,IF(A45='Données projet'!$A$140,'Données projet'!$B$140,CT44+CS45-DB44)))</f>
        <v>268.05390277777781</v>
      </c>
      <c r="CU45" s="18">
        <f>CT45*VLOOKUP('Données projet'!$B$13,Paramètres!$A$1:$I$89,3,0)*VLOOKUP('Données projet'!$B$13,Paramètres!$A$1:$I$89,5,0)</f>
        <v>175.62891710000002</v>
      </c>
      <c r="CV45" s="14">
        <f t="shared" si="41"/>
        <v>44.348313741259268</v>
      </c>
      <c r="CW45" s="22">
        <f t="shared" si="13"/>
        <v>383.12701038185992</v>
      </c>
      <c r="CX45" s="62">
        <f t="shared" si="14"/>
        <v>676.46034371519318</v>
      </c>
      <c r="CY45" s="62">
        <f ca="1">AVERAGE(OFFSET($CX$3,0,0,'Données projet'!$E$13+1,1))-AVERAGE(OFFSET($H$3,0,0,'Données projet'!$E$13+1,1))</f>
        <v>199.99826357281154</v>
      </c>
      <c r="CZ45" s="62">
        <f t="shared" si="42"/>
        <v>214.67424457475136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10.813550064808551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10.813550064808551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11.926499999999994</v>
      </c>
      <c r="DO45" s="13">
        <f>IF('Données projet'!$A$166&gt;35,DO44+DN45-DW44,IF(A45&lt;'Données projet'!$A$166,$DL$205^A45,IF(A45='Données projet'!$A$166,'Données projet'!$B$166,DO44+DN45-DW44)))</f>
        <v>268.05390277777781</v>
      </c>
      <c r="DP45" s="18">
        <f>DO45*VLOOKUP('Données projet'!$B$14,Paramètres!$A$1:$I$89,3,0)*VLOOKUP('Données projet'!$B$14,Paramètres!$A$1:$I$89,5,0)</f>
        <v>213.26368505000002</v>
      </c>
      <c r="DQ45" s="14">
        <f t="shared" si="43"/>
        <v>52.648141603375649</v>
      </c>
      <c r="DR45" s="22">
        <f t="shared" si="16"/>
        <v>463.12976475462921</v>
      </c>
      <c r="DS45" s="62">
        <f t="shared" si="17"/>
        <v>756.46309808796252</v>
      </c>
      <c r="DT45" s="62">
        <f ca="1">AVERAGE(OFFSET($DS$3,0,0,'Données projet'!$E$14+1,1))-AVERAGE(OFFSET($H$3,0,0,'Données projet'!$E$14+1,1))</f>
        <v>248.15263300983543</v>
      </c>
      <c r="DU45" s="62">
        <f t="shared" si="44"/>
        <v>266.46511459244618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16.184399681715117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16.184399681715117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11.926499999999994</v>
      </c>
      <c r="EJ45" s="13">
        <f>IF('Données projet'!$A$192&gt;35,EJ44+EI45-ER44,IF(A45&lt;'Données projet'!$A$192,$EG$205^A45,IF(A45='Données projet'!$A$192,'Données projet'!$B$192,EJ44+EI45-ER44)))</f>
        <v>268.05390277777781</v>
      </c>
      <c r="EK45" s="18">
        <f>EJ45*VLOOKUP('Données projet'!$B$15,Paramètres!$A$1:$I$89,3,0)*VLOOKUP('Données projet'!$B$15,Paramètres!$A$1:$I$89,5,0)</f>
        <v>179.81055798333335</v>
      </c>
      <c r="EL45" s="14">
        <f t="shared" si="45"/>
        <v>45.28003622545733</v>
      </c>
      <c r="EM45" s="22">
        <f t="shared" si="19"/>
        <v>392.03278491364375</v>
      </c>
      <c r="EN45" s="62">
        <f t="shared" si="20"/>
        <v>685.36611824697707</v>
      </c>
      <c r="EO45" s="62">
        <f ca="1">AVERAGE(OFFSET($EN$3,0,0,'Données projet'!$E$15+1,1))-AVERAGE(OFFSET($H$3,0,0,'Données projet'!$E$15+1,1))</f>
        <v>205.35893113421139</v>
      </c>
      <c r="EP45" s="62">
        <f t="shared" si="46"/>
        <v>220.4399811285175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13.645670319877455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13.645670319877455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22.8</v>
      </c>
      <c r="N46" s="14">
        <f>IF('Données projet'!$A$36&gt;35,N45+M46-V45,IF(A46&lt;'Données projet'!$A$36,$K$205^A46,IF(A46='Données projet'!$A$36,'Données projet'!$B$36,N45+M46-V45)))</f>
        <v>560.40000000000009</v>
      </c>
      <c r="O46" s="14">
        <f>N46*VLOOKUP('Données projet'!$B$9,Paramètres!$A$1:$I$89,3,0)*VLOOKUP('Données projet'!$B$9,Paramètres!$A$1:$I$89,5,0)</f>
        <v>313.26360000000005</v>
      </c>
      <c r="P46" s="14">
        <f t="shared" si="33"/>
        <v>73.949983766039026</v>
      </c>
      <c r="Q46" s="22">
        <f t="shared" si="53"/>
        <v>674.39699172585131</v>
      </c>
      <c r="R46" s="62">
        <f t="shared" si="0"/>
        <v>967.73032505918468</v>
      </c>
      <c r="S46" s="62">
        <f ca="1">AVERAGE(OFFSET($R$3,0,0,'Données projet'!$E$9+1,1))-AVERAGE(OFFSET($H$3,0,0,'Données projet'!$E$9+1,1))</f>
        <v>382.55387448074327</v>
      </c>
      <c r="T46" s="62">
        <f t="shared" si="34"/>
        <v>476.29465646955543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48.100427525920765</v>
      </c>
      <c r="AA46" s="23">
        <f>EXP(-LN(2)/25)*AA45+(1-EXP(-LN(2)/25))/(LN(2)/25)*Calculateur!V46*Calculateur!X46*VLOOKUP('Données projet'!$B$9,Paramètres!$A$1:$I$89,3,0)*0.475*44/12</f>
        <v>18.322432782067679</v>
      </c>
      <c r="AB46" s="23">
        <f>EXP(-LN(2)/2)*AB45+(1-EXP(-LN(2)/2))/(LN(2)/2)*V46*Y46*VLOOKUP('Données projet'!$B$9,Paramètres!$A$1:$I$89,3,0)*0.475*44/12</f>
        <v>2.5662171446251576</v>
      </c>
      <c r="AC46" s="24">
        <f t="shared" si="3"/>
        <v>68.9890774526136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15.546666666666662</v>
      </c>
      <c r="AI46" s="14">
        <f>IF('Données projet'!$A$62&gt;35,AI45+AH46-AQ45,IF(A46&lt;'Données projet'!$A$62,$AF$205^A46,IF(A46='Données projet'!$A$62,'Données projet'!$B$62,AI45+AH46-AQ45)))</f>
        <v>450.26666666666642</v>
      </c>
      <c r="AJ46" s="14">
        <f>AI46*VLOOKUP('Données projet'!$B$10,Paramètres!$A$1:$I$89,3,0)*VLOOKUP('Données projet'!$B$10,Paramètres!$A$1:$I$89,5,0)</f>
        <v>280.96639999999985</v>
      </c>
      <c r="AK46" s="14">
        <f t="shared" si="35"/>
        <v>67.171196010474304</v>
      </c>
      <c r="AL46" s="22">
        <f t="shared" si="4"/>
        <v>606.3396463849092</v>
      </c>
      <c r="AM46" s="62">
        <f t="shared" si="5"/>
        <v>899.67297971824246</v>
      </c>
      <c r="AN46" s="62">
        <f ca="1">AVERAGE(OFFSET($AM$3,0,0,'Données projet'!$E$10+1,1))-AVERAGE(OFFSET($H$3,0,0,'Données projet'!$E$10+1,1))</f>
        <v>420.68062999212015</v>
      </c>
      <c r="AO46" s="62">
        <f t="shared" si="36"/>
        <v>655.24090633185676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93.293843923613792</v>
      </c>
      <c r="AV46" s="23">
        <f>EXP(-LN(2)/25)*AV45+(1-EXP(-LN(2)/25))/(LN(2)/25)*Calculateur!AQ46*Calculateur!AS46*VLOOKUP('Données projet'!$B$10,Paramètres!$A$1:$I$89,3,0)*0.475*44/12</f>
        <v>21.233217427096932</v>
      </c>
      <c r="AW46" s="23">
        <f>EXP(-LN(2)/2)*AW45+(1-EXP(-LN(2)/2))/(LN(2)/2)*AQ46*AT46*VLOOKUP('Données projet'!$B$10,Paramètres!$A$1:$I$89,3,0)*0.475*44/12</f>
        <v>7.9820135792591582</v>
      </c>
      <c r="AX46" s="23">
        <f t="shared" si="6"/>
        <v>122.50907492996988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</v>
      </c>
      <c r="BD46" s="13">
        <f>IF('Données projet'!$A$88&gt;35,BD45+BC46-BL45,IF(A46&lt;'Données projet'!$A$88,$BA$205^A46,IF(A46='Données projet'!$A$88,'Données projet'!$B$88,BD45+BC46-BL45)))</f>
        <v>86</v>
      </c>
      <c r="BE46" s="14">
        <f>BD46*VLOOKUP('Données projet'!$B$11,Paramètres!$A$1:$I$89,3,0)*VLOOKUP('Données projet'!$B$11,Paramètres!$A$1:$I$89,5,0)</f>
        <v>77.812799999999996</v>
      </c>
      <c r="BF46" s="14">
        <f t="shared" si="37"/>
        <v>21.601542634761511</v>
      </c>
      <c r="BG46" s="22">
        <f t="shared" si="7"/>
        <v>173.14664675554295</v>
      </c>
      <c r="BH46" s="62">
        <f t="shared" si="8"/>
        <v>466.47998008887623</v>
      </c>
      <c r="BI46" s="62">
        <f ca="1">AVERAGE(OFFSET($BH$3,0,0,'Données projet'!$E$11+1,1))-AVERAGE(OFFSET($H$3,0,0,'Données projet'!$E$11+1,1))</f>
        <v>138.3429338270858</v>
      </c>
      <c r="BJ46" s="62">
        <f t="shared" si="38"/>
        <v>88.30225651635925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</v>
      </c>
      <c r="BY46" s="13">
        <f>IF('Données projet'!$A$114&gt;35,BY45+BX46-CG45,IF(A46&lt;'Données projet'!$A$114,$BV$205^A46,IF(A46='Données projet'!$A$114,'Données projet'!$B$114,BY45+BX46-CG45)))</f>
        <v>86</v>
      </c>
      <c r="BZ46" s="14">
        <f>BY46*VLOOKUP('Données projet'!$B$12,Paramètres!$A$1:$I$89,3,0)*VLOOKUP('Données projet'!$B$12,Paramètres!$A$1:$I$89,5,0)</f>
        <v>72.446400000000011</v>
      </c>
      <c r="CA46" s="14">
        <f t="shared" si="39"/>
        <v>20.279764978841872</v>
      </c>
      <c r="CB46" s="22">
        <f t="shared" si="10"/>
        <v>161.49807067148294</v>
      </c>
      <c r="CC46" s="62">
        <f t="shared" si="11"/>
        <v>454.83140400481625</v>
      </c>
      <c r="CD46" s="62">
        <f ca="1">AVERAGE(OFFSET($CC$3,0,0,'Données projet'!$E$12+1,1))-AVERAGE(OFFSET($H$3,0,0,'Données projet'!$E$12+1,1))</f>
        <v>122.57815304102127</v>
      </c>
      <c r="CE46" s="62">
        <f t="shared" si="40"/>
        <v>80.106609825870578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11.926499999999994</v>
      </c>
      <c r="CT46" s="13">
        <f>IF('Données projet'!$A$140&gt;35,CT45+CS46-DB45,IF(A46&lt;'Données projet'!$A$140,$CQ$205^A46,IF(A46='Données projet'!$A$140,'Données projet'!$B$140,CT45+CS46-DB45)))</f>
        <v>279.98040277777778</v>
      </c>
      <c r="CU46" s="18">
        <f>CT46*VLOOKUP('Données projet'!$B$13,Paramètres!$A$1:$I$89,3,0)*VLOOKUP('Données projet'!$B$13,Paramètres!$A$1:$I$89,5,0)</f>
        <v>183.44315990000001</v>
      </c>
      <c r="CV46" s="14">
        <f t="shared" si="41"/>
        <v>46.087378994863862</v>
      </c>
      <c r="CW46" s="22">
        <f t="shared" si="13"/>
        <v>399.76568857522125</v>
      </c>
      <c r="CX46" s="62">
        <f t="shared" si="14"/>
        <v>693.0990219085545</v>
      </c>
      <c r="CY46" s="62">
        <f ca="1">AVERAGE(OFFSET($CX$3,0,0,'Données projet'!$E$13+1,1))-AVERAGE(OFFSET($H$3,0,0,'Données projet'!$E$13+1,1))</f>
        <v>199.99826357281154</v>
      </c>
      <c r="CZ46" s="62">
        <f t="shared" si="42"/>
        <v>214.67424457475136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10.601502943651932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10.601502943651932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11.926499999999994</v>
      </c>
      <c r="DO46" s="13">
        <f>IF('Données projet'!$A$166&gt;35,DO45+DN46-DW45,IF(A46&lt;'Données projet'!$A$166,$DL$205^A46,IF(A46='Données projet'!$A$166,'Données projet'!$B$166,DO45+DN46-DW45)))</f>
        <v>279.98040277777778</v>
      </c>
      <c r="DP46" s="18">
        <f>DO46*VLOOKUP('Données projet'!$B$14,Paramètres!$A$1:$I$89,3,0)*VLOOKUP('Données projet'!$B$14,Paramètres!$A$1:$I$89,5,0)</f>
        <v>222.75240845000002</v>
      </c>
      <c r="DQ46" s="14">
        <f t="shared" si="43"/>
        <v>54.71267452481797</v>
      </c>
      <c r="DR46" s="22">
        <f t="shared" si="16"/>
        <v>483.25168618114122</v>
      </c>
      <c r="DS46" s="62">
        <f t="shared" si="17"/>
        <v>776.58501951447454</v>
      </c>
      <c r="DT46" s="62">
        <f ca="1">AVERAGE(OFFSET($DS$3,0,0,'Données projet'!$E$14+1,1))-AVERAGE(OFFSET($H$3,0,0,'Données projet'!$E$14+1,1))</f>
        <v>248.15263300983543</v>
      </c>
      <c r="DU46" s="62">
        <f t="shared" si="44"/>
        <v>266.46511459244618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15.867033475465758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15.867033475465758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11.926499999999994</v>
      </c>
      <c r="EJ46" s="13">
        <f>IF('Données projet'!$A$192&gt;35,EJ45+EI46-ER45,IF(A46&lt;'Données projet'!$A$192,$EG$205^A46,IF(A46='Données projet'!$A$192,'Données projet'!$B$192,EJ45+EI46-ER45)))</f>
        <v>279.98040277777778</v>
      </c>
      <c r="EK46" s="18">
        <f>EJ46*VLOOKUP('Données projet'!$B$15,Paramètres!$A$1:$I$89,3,0)*VLOOKUP('Données projet'!$B$15,Paramètres!$A$1:$I$89,5,0)</f>
        <v>187.81085418333333</v>
      </c>
      <c r="EL46" s="14">
        <f t="shared" si="45"/>
        <v>47.055637844519296</v>
      </c>
      <c r="EM46" s="22">
        <f t="shared" si="19"/>
        <v>409.05914028184338</v>
      </c>
      <c r="EN46" s="62">
        <f t="shared" si="20"/>
        <v>702.39247361517664</v>
      </c>
      <c r="EO46" s="62">
        <f ca="1">AVERAGE(OFFSET($EN$3,0,0,'Données projet'!$E$15+1,1))-AVERAGE(OFFSET($H$3,0,0,'Données projet'!$E$15+1,1))</f>
        <v>205.35893113421139</v>
      </c>
      <c r="EP46" s="62">
        <f t="shared" si="46"/>
        <v>220.4399811285175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13.378087047941722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13.378087047941722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22.8</v>
      </c>
      <c r="N47" s="14">
        <f>IF('Données projet'!$A$36&gt;35,N46+M47-V46,IF(A47&lt;'Données projet'!$A$36,$K$205^A47,IF(A47='Données projet'!$A$36,'Données projet'!$B$36,N46+M47-V46)))</f>
        <v>583.20000000000005</v>
      </c>
      <c r="O47" s="14">
        <f>N47*VLOOKUP('Données projet'!$B$9,Paramètres!$A$1:$I$89,3,0)*VLOOKUP('Données projet'!$B$9,Paramètres!$A$1:$I$89,5,0)</f>
        <v>326.00880000000001</v>
      </c>
      <c r="P47" s="14">
        <f t="shared" si="33"/>
        <v>76.602244480772981</v>
      </c>
      <c r="Q47" s="22">
        <f t="shared" si="53"/>
        <v>701.2142358040129</v>
      </c>
      <c r="R47" s="62">
        <f t="shared" si="0"/>
        <v>994.54756913734627</v>
      </c>
      <c r="S47" s="62">
        <f ca="1">AVERAGE(OFFSET($R$3,0,0,'Données projet'!$E$9+1,1))-AVERAGE(OFFSET($H$3,0,0,'Données projet'!$E$9+1,1))</f>
        <v>382.55387448074327</v>
      </c>
      <c r="T47" s="62">
        <f t="shared" si="34"/>
        <v>476.29465646955543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47.157207480501327</v>
      </c>
      <c r="AA47" s="23">
        <f>EXP(-LN(2)/25)*AA46+(1-EXP(-LN(2)/25))/(LN(2)/25)*Calculateur!V47*Calculateur!X47*VLOOKUP('Données projet'!$B$9,Paramètres!$A$1:$I$89,3,0)*0.475*44/12</f>
        <v>17.821404894107175</v>
      </c>
      <c r="AB47" s="23">
        <f>EXP(-LN(2)/2)*AB46+(1-EXP(-LN(2)/2))/(LN(2)/2)*V47*Y47*VLOOKUP('Données projet'!$B$9,Paramètres!$A$1:$I$89,3,0)*0.475*44/12</f>
        <v>1.8145895449616283</v>
      </c>
      <c r="AC47" s="24">
        <f t="shared" si="3"/>
        <v>66.793201919570137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15.546666666666662</v>
      </c>
      <c r="AI47" s="14">
        <f>IF('Données projet'!$A$62&gt;35,AI46+AH47-AQ46,IF(A47&lt;'Données projet'!$A$62,$AF$205^A47,IF(A47='Données projet'!$A$62,'Données projet'!$B$62,AI46+AH47-AQ46)))</f>
        <v>465.81333333333311</v>
      </c>
      <c r="AJ47" s="14">
        <f>AI47*VLOOKUP('Données projet'!$B$10,Paramètres!$A$1:$I$89,3,0)*VLOOKUP('Données projet'!$B$10,Paramètres!$A$1:$I$89,5,0)</f>
        <v>290.66751999999985</v>
      </c>
      <c r="AK47" s="14">
        <f t="shared" si="35"/>
        <v>69.216433361308333</v>
      </c>
      <c r="AL47" s="22">
        <f t="shared" si="4"/>
        <v>626.79788543761174</v>
      </c>
      <c r="AM47" s="62">
        <f t="shared" si="5"/>
        <v>920.131218770945</v>
      </c>
      <c r="AN47" s="62">
        <f ca="1">AVERAGE(OFFSET($AM$3,0,0,'Données projet'!$E$10+1,1))-AVERAGE(OFFSET($H$3,0,0,'Données projet'!$E$10+1,1))</f>
        <v>420.68062999212015</v>
      </c>
      <c r="AO47" s="62">
        <f t="shared" si="36"/>
        <v>655.24090633185676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91.464408547897747</v>
      </c>
      <c r="AV47" s="23">
        <f>EXP(-LN(2)/25)*AV46+(1-EXP(-LN(2)/25))/(LN(2)/25)*Calculateur!AQ47*Calculateur!AS47*VLOOKUP('Données projet'!$B$10,Paramètres!$A$1:$I$89,3,0)*0.475*44/12</f>
        <v>20.652593979946591</v>
      </c>
      <c r="AW47" s="23">
        <f>EXP(-LN(2)/2)*AW46+(1-EXP(-LN(2)/2))/(LN(2)/2)*AQ47*AT47*VLOOKUP('Données projet'!$B$10,Paramètres!$A$1:$I$89,3,0)*0.475*44/12</f>
        <v>5.6441359294172573</v>
      </c>
      <c r="AX47" s="23">
        <f t="shared" si="6"/>
        <v>117.76113845726159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</v>
      </c>
      <c r="BD47" s="13">
        <f>IF('Données projet'!$A$88&gt;35,BD46+BC47-BL46,IF(A47&lt;'Données projet'!$A$88,$BA$205^A47,IF(A47='Données projet'!$A$88,'Données projet'!$B$88,BD46+BC47-BL46)))</f>
        <v>88</v>
      </c>
      <c r="BE47" s="14">
        <f>BD47*VLOOKUP('Données projet'!$B$11,Paramètres!$A$1:$I$89,3,0)*VLOOKUP('Données projet'!$B$11,Paramètres!$A$1:$I$89,5,0)</f>
        <v>79.622399999999999</v>
      </c>
      <c r="BF47" s="14">
        <f t="shared" si="37"/>
        <v>22.044833558880924</v>
      </c>
      <c r="BG47" s="22">
        <f t="shared" si="7"/>
        <v>177.07043178171759</v>
      </c>
      <c r="BH47" s="62">
        <f t="shared" si="8"/>
        <v>470.40376511505087</v>
      </c>
      <c r="BI47" s="62">
        <f ca="1">AVERAGE(OFFSET($BH$3,0,0,'Données projet'!$E$11+1,1))-AVERAGE(OFFSET($H$3,0,0,'Données projet'!$E$11+1,1))</f>
        <v>138.3429338270858</v>
      </c>
      <c r="BJ47" s="62">
        <f t="shared" si="38"/>
        <v>88.30225651635925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</v>
      </c>
      <c r="BY47" s="13">
        <f>IF('Données projet'!$A$114&gt;35,BY46+BX47-CG46,IF(A47&lt;'Données projet'!$A$114,$BV$205^A47,IF(A47='Données projet'!$A$114,'Données projet'!$B$114,BY46+BX47-CG46)))</f>
        <v>88</v>
      </c>
      <c r="BZ47" s="14">
        <f>BY47*VLOOKUP('Données projet'!$B$12,Paramètres!$A$1:$I$89,3,0)*VLOOKUP('Données projet'!$B$12,Paramètres!$A$1:$I$89,5,0)</f>
        <v>74.131200000000007</v>
      </c>
      <c r="CA47" s="14">
        <f t="shared" si="39"/>
        <v>20.695931356882326</v>
      </c>
      <c r="CB47" s="22">
        <f t="shared" si="10"/>
        <v>165.15725377990339</v>
      </c>
      <c r="CC47" s="62">
        <f t="shared" si="11"/>
        <v>458.4905871132367</v>
      </c>
      <c r="CD47" s="62">
        <f ca="1">AVERAGE(OFFSET($CC$3,0,0,'Données projet'!$E$12+1,1))-AVERAGE(OFFSET($H$3,0,0,'Données projet'!$E$12+1,1))</f>
        <v>122.57815304102127</v>
      </c>
      <c r="CE47" s="62">
        <f t="shared" si="40"/>
        <v>80.106609825870578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11.926499999999994</v>
      </c>
      <c r="CT47" s="13">
        <f>IF('Données projet'!$A$140&gt;35,CT46+CS47-DB46,IF(A47&lt;'Données projet'!$A$140,$CQ$205^A47,IF(A47='Données projet'!$A$140,'Données projet'!$B$140,CT46+CS47-DB46)))</f>
        <v>291.90690277777776</v>
      </c>
      <c r="CU47" s="18">
        <f>CT47*VLOOKUP('Données projet'!$B$13,Paramètres!$A$1:$I$89,3,0)*VLOOKUP('Données projet'!$B$13,Paramètres!$A$1:$I$89,5,0)</f>
        <v>191.25740269999997</v>
      </c>
      <c r="CV47" s="14">
        <f t="shared" si="41"/>
        <v>47.817839925334816</v>
      </c>
      <c r="CW47" s="22">
        <f t="shared" si="13"/>
        <v>416.38938090579137</v>
      </c>
      <c r="CX47" s="62">
        <f t="shared" si="14"/>
        <v>709.72271423912468</v>
      </c>
      <c r="CY47" s="62">
        <f ca="1">AVERAGE(OFFSET($CX$3,0,0,'Données projet'!$E$13+1,1))-AVERAGE(OFFSET($H$3,0,0,'Données projet'!$E$13+1,1))</f>
        <v>199.99826357281154</v>
      </c>
      <c r="CZ47" s="62">
        <f t="shared" si="42"/>
        <v>214.67424457475136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10.39361393720522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10.39361393720522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11.926499999999994</v>
      </c>
      <c r="DO47" s="13">
        <f>IF('Données projet'!$A$166&gt;35,DO46+DN47-DW46,IF(A47&lt;'Données projet'!$A$166,$DL$205^A47,IF(A47='Données projet'!$A$166,'Données projet'!$B$166,DO46+DN47-DW46)))</f>
        <v>291.90690277777776</v>
      </c>
      <c r="DP47" s="18">
        <f>DO47*VLOOKUP('Données projet'!$B$14,Paramètres!$A$1:$I$89,3,0)*VLOOKUP('Données projet'!$B$14,Paramètres!$A$1:$I$89,5,0)</f>
        <v>232.24113184999999</v>
      </c>
      <c r="DQ47" s="14">
        <f t="shared" si="43"/>
        <v>56.766992816108136</v>
      </c>
      <c r="DR47" s="22">
        <f t="shared" si="16"/>
        <v>503.35581712680488</v>
      </c>
      <c r="DS47" s="62">
        <f t="shared" si="17"/>
        <v>796.68915046013819</v>
      </c>
      <c r="DT47" s="62">
        <f ca="1">AVERAGE(OFFSET($DS$3,0,0,'Données projet'!$E$14+1,1))-AVERAGE(OFFSET($H$3,0,0,'Données projet'!$E$14+1,1))</f>
        <v>248.15263300983543</v>
      </c>
      <c r="DU47" s="62">
        <f t="shared" si="44"/>
        <v>266.46511459244618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15.555890626946677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15.555890626946677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11.926499999999994</v>
      </c>
      <c r="EJ47" s="13">
        <f>IF('Données projet'!$A$192&gt;35,EJ46+EI47-ER46,IF(A47&lt;'Données projet'!$A$192,$EG$205^A47,IF(A47='Données projet'!$A$192,'Données projet'!$B$192,EJ46+EI47-ER46)))</f>
        <v>291.90690277777776</v>
      </c>
      <c r="EK47" s="18">
        <f>EJ47*VLOOKUP('Données projet'!$B$15,Paramètres!$A$1:$I$89,3,0)*VLOOKUP('Données projet'!$B$15,Paramètres!$A$1:$I$89,5,0)</f>
        <v>195.81115038333331</v>
      </c>
      <c r="EL47" s="14">
        <f t="shared" si="45"/>
        <v>48.822454370523211</v>
      </c>
      <c r="EM47" s="22">
        <f t="shared" si="19"/>
        <v>426.07019494630009</v>
      </c>
      <c r="EN47" s="62">
        <f t="shared" si="20"/>
        <v>719.40352827963341</v>
      </c>
      <c r="EO47" s="62">
        <f ca="1">AVERAGE(OFFSET($EN$3,0,0,'Données projet'!$E$15+1,1))-AVERAGE(OFFSET($H$3,0,0,'Données projet'!$E$15+1,1))</f>
        <v>205.35893113421139</v>
      </c>
      <c r="EP47" s="62">
        <f t="shared" si="46"/>
        <v>220.4399811285175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13.115750920758968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13.115750920758968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606</v>
      </c>
      <c r="L48" s="13">
        <f>VLOOKUP(A48,'Données projet'!$A$35:$I$55,9,0)</f>
        <v>22.8</v>
      </c>
      <c r="M48" s="13">
        <f t="array" ref="M48">INDEX(L:L,MIN(IF(ISNUMBER(L48:L244),ROW(L48:L244),"")))</f>
        <v>22.8</v>
      </c>
      <c r="N48" s="14">
        <f>IF('Données projet'!$A$36&gt;35,N47+M48-V47,IF(A48&lt;'Données projet'!$A$36,$K$205^A48,IF(A48='Données projet'!$A$36,'Données projet'!$B$36,N47+M48-V47)))</f>
        <v>606</v>
      </c>
      <c r="O48" s="14">
        <f>N48*VLOOKUP('Données projet'!$B$9,Paramètres!$A$1:$I$89,3,0)*VLOOKUP('Données projet'!$B$9,Paramètres!$A$1:$I$89,5,0)</f>
        <v>338.75400000000002</v>
      </c>
      <c r="P48" s="14">
        <f t="shared" si="33"/>
        <v>79.242459951408904</v>
      </c>
      <c r="Q48" s="22">
        <f t="shared" si="53"/>
        <v>728.01050108203719</v>
      </c>
      <c r="R48" s="62">
        <f t="shared" si="0"/>
        <v>1021.3438344153706</v>
      </c>
      <c r="S48" s="62">
        <f ca="1">AVERAGE(OFFSET($R$3,0,0,'Données projet'!$E$9+1,1))-AVERAGE(OFFSET($H$3,0,0,'Données projet'!$E$9+1,1))</f>
        <v>382.55387448074327</v>
      </c>
      <c r="T48" s="62">
        <f t="shared" si="34"/>
        <v>476.29465646955543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66</v>
      </c>
      <c r="W48" s="17">
        <f>IF(ISNA(VLOOKUP(A48,'Données projet'!$A$35:$I$55,5,0)),0%,VLOOKUP(A48,'Données projet'!$A$35:$I$55,5,0)*VLOOKUP('Données projet'!$B$9,Paramètres!$A$1:$I$89,7,0))</f>
        <v>0.38500000000000001</v>
      </c>
      <c r="X48" s="17">
        <f>IF(ISNA(VLOOKUP(A48,'Données projet'!$A$35:$I$55,6,0)),0%,VLOOKUP(A48,'Données projet'!$A$35:$I$55,6,0)*VLOOKUP('Données projet'!$B$9,Paramètres!$A$1:$I$89,7,0))</f>
        <v>9.240000000000001E-2</v>
      </c>
      <c r="Y48" s="17">
        <f>IF(ISNA(VLOOKUP(A48,'Données projet'!$A$35:$I$55,7,0)),0%,VLOOKUP(A48,'Données projet'!$A$35:$I$55,7,0))</f>
        <v>0.13200000000000001</v>
      </c>
      <c r="Z48" s="23">
        <f>EXP(-LN(2)/35)*Z47+(1-EXP(-LN(2)/35))/(LN(2)/35)*V48*W48*VLOOKUP('Données projet'!$B$9,Paramètres!$A$1:$I$89,3,0)*0.475*44/12</f>
        <v>65.075256977174902</v>
      </c>
      <c r="AA48" s="23">
        <f>EXP(-LN(2)/25)*AA47+(1-EXP(-LN(2)/25))/(LN(2)/25)*Calculateur!V48*Calculateur!X48*VLOOKUP('Données projet'!$B$9,Paramètres!$A$1:$I$89,3,0)*0.475*44/12</f>
        <v>21.838537414433894</v>
      </c>
      <c r="AB48" s="23">
        <f>EXP(-LN(2)/2)*AB47+(1-EXP(-LN(2)/2))/(LN(2)/2)*V48*Y48*VLOOKUP('Données projet'!$B$9,Paramètres!$A$1:$I$89,3,0)*0.475*44/12</f>
        <v>6.7970889191248478</v>
      </c>
      <c r="AC48" s="24">
        <f t="shared" si="3"/>
        <v>93.710883310733649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15.546666666666662</v>
      </c>
      <c r="AI48" s="14">
        <f>IF('Données projet'!$A$62&gt;35,AI47+AH48-AQ47,IF(A48&lt;'Données projet'!$A$62,$AF$205^A48,IF(A48='Données projet'!$A$62,'Données projet'!$B$62,AI47+AH48-AQ47)))</f>
        <v>481.35999999999979</v>
      </c>
      <c r="AJ48" s="14">
        <f>AI48*VLOOKUP('Données projet'!$B$10,Paramètres!$A$1:$I$89,3,0)*VLOOKUP('Données projet'!$B$10,Paramètres!$A$1:$I$89,5,0)</f>
        <v>300.36863999999986</v>
      </c>
      <c r="AK48" s="14">
        <f t="shared" si="35"/>
        <v>71.253739054984777</v>
      </c>
      <c r="AL48" s="22">
        <f t="shared" si="4"/>
        <v>647.2423101874316</v>
      </c>
      <c r="AM48" s="62">
        <f t="shared" si="5"/>
        <v>940.57564352076497</v>
      </c>
      <c r="AN48" s="62">
        <f ca="1">AVERAGE(OFFSET($AM$3,0,0,'Données projet'!$E$10+1,1))-AVERAGE(OFFSET($H$3,0,0,'Données projet'!$E$10+1,1))</f>
        <v>420.68062999212015</v>
      </c>
      <c r="AO48" s="62">
        <f t="shared" si="36"/>
        <v>655.24090633185676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89.670847284054105</v>
      </c>
      <c r="AV48" s="23">
        <f>EXP(-LN(2)/25)*AV47+(1-EXP(-LN(2)/25))/(LN(2)/25)*Calculateur!AQ48*Calculateur!AS48*VLOOKUP('Données projet'!$B$10,Paramètres!$A$1:$I$89,3,0)*0.475*44/12</f>
        <v>20.087847711492238</v>
      </c>
      <c r="AW48" s="23">
        <f>EXP(-LN(2)/2)*AW47+(1-EXP(-LN(2)/2))/(LN(2)/2)*AQ48*AT48*VLOOKUP('Données projet'!$B$10,Paramètres!$A$1:$I$89,3,0)*0.475*44/12</f>
        <v>3.99100678962958</v>
      </c>
      <c r="AX48" s="23">
        <f t="shared" si="6"/>
        <v>113.74970178517592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</v>
      </c>
      <c r="BD48" s="13">
        <f>IF('Données projet'!$A$88&gt;35,BD47+BC48-BL47,IF(A48&lt;'Données projet'!$A$88,$BA$205^A48,IF(A48='Données projet'!$A$88,'Données projet'!$B$88,BD47+BC48-BL47)))</f>
        <v>90</v>
      </c>
      <c r="BE48" s="14">
        <f>BD48*VLOOKUP('Données projet'!$B$11,Paramètres!$A$1:$I$89,3,0)*VLOOKUP('Données projet'!$B$11,Paramètres!$A$1:$I$89,5,0)</f>
        <v>81.432000000000002</v>
      </c>
      <c r="BF48" s="14">
        <f t="shared" si="37"/>
        <v>22.486953220240881</v>
      </c>
      <c r="BG48" s="22">
        <f t="shared" si="7"/>
        <v>180.99217685858619</v>
      </c>
      <c r="BH48" s="62">
        <f t="shared" si="8"/>
        <v>474.32551019191953</v>
      </c>
      <c r="BI48" s="62">
        <f ca="1">AVERAGE(OFFSET($BH$3,0,0,'Données projet'!$E$11+1,1))-AVERAGE(OFFSET($H$3,0,0,'Données projet'!$E$11+1,1))</f>
        <v>138.3429338270858</v>
      </c>
      <c r="BJ48" s="62">
        <f t="shared" si="38"/>
        <v>88.30225651635925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2</v>
      </c>
      <c r="BY48" s="13">
        <f>IF('Données projet'!$A$114&gt;35,BY47+BX48-CG47,IF(A48&lt;'Données projet'!$A$114,$BV$205^A48,IF(A48='Données projet'!$A$114,'Données projet'!$B$114,BY47+BX48-CG47)))</f>
        <v>90</v>
      </c>
      <c r="BZ48" s="14">
        <f>BY48*VLOOKUP('Données projet'!$B$12,Paramètres!$A$1:$I$89,3,0)*VLOOKUP('Données projet'!$B$12,Paramètres!$A$1:$I$89,5,0)</f>
        <v>75.816000000000003</v>
      </c>
      <c r="CA48" s="14">
        <f t="shared" si="39"/>
        <v>21.110998140607162</v>
      </c>
      <c r="CB48" s="22">
        <f t="shared" si="10"/>
        <v>168.81452176155747</v>
      </c>
      <c r="CC48" s="62">
        <f t="shared" si="11"/>
        <v>462.14785509489082</v>
      </c>
      <c r="CD48" s="62">
        <f ca="1">AVERAGE(OFFSET($CC$3,0,0,'Données projet'!$E$12+1,1))-AVERAGE(OFFSET($H$3,0,0,'Données projet'!$E$12+1,1))</f>
        <v>122.57815304102127</v>
      </c>
      <c r="CE48" s="62">
        <f t="shared" si="40"/>
        <v>80.106609825870578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303.83340277777774</v>
      </c>
      <c r="CR48" s="13">
        <f>VLOOKUP(A48,'Données projet'!$A$139:$I$159,9,0)</f>
        <v>11.926499999999994</v>
      </c>
      <c r="CS48" s="13">
        <f t="array" ref="CS48">INDEX(CR:CR,MIN(IF(ISNUMBER(CR48:CR244),ROW(CR48:CR244),"")))</f>
        <v>11.926499999999994</v>
      </c>
      <c r="CT48" s="13">
        <f>IF('Données projet'!$A$140&gt;35,CT47+CS48-DB47,IF(A48&lt;'Données projet'!$A$140,$CQ$205^A48,IF(A48='Données projet'!$A$140,'Données projet'!$B$140,CT47+CS48-DB47)))</f>
        <v>303.83340277777774</v>
      </c>
      <c r="CU48" s="18">
        <f>CT48*VLOOKUP('Données projet'!$B$13,Paramètres!$A$1:$I$89,3,0)*VLOOKUP('Données projet'!$B$13,Paramètres!$A$1:$I$89,5,0)</f>
        <v>199.07164549999999</v>
      </c>
      <c r="CV48" s="14">
        <f t="shared" si="41"/>
        <v>49.540088291957133</v>
      </c>
      <c r="CW48" s="22">
        <f t="shared" si="13"/>
        <v>432.99876968765869</v>
      </c>
      <c r="CX48" s="62">
        <f t="shared" si="14"/>
        <v>726.33210302099201</v>
      </c>
      <c r="CY48" s="62">
        <f ca="1">AVERAGE(OFFSET($CX$3,0,0,'Données projet'!$E$13+1,1))-AVERAGE(OFFSET($H$3,0,0,'Données projet'!$E$13+1,1))</f>
        <v>199.99826357281154</v>
      </c>
      <c r="CZ48" s="62">
        <f t="shared" si="42"/>
        <v>214.67424457475136</v>
      </c>
      <c r="DA48" s="16">
        <f>IF(ISNA(VLOOKUP(A48,'Données projet'!$A$139:$I$159,3,0)),0,VLOOKUP(A48,'Données projet'!$A$139:$I$159,3,0))</f>
        <v>4</v>
      </c>
      <c r="DB48" s="16">
        <f>IF(ISNA(VLOOKUP(A48,'Données projet'!$A$139:$I$159,4,0)),0,VLOOKUP(A48,'Données projet'!$A$139:$I$159,4,0))</f>
        <v>50.638900462962958</v>
      </c>
      <c r="DC48" s="17">
        <f>IF(ISNA(VLOOKUP(A48,'Données projet'!$A$139:$I$159,5,0)),0%,VLOOKUP(A48,'Données projet'!$A$139:$I$159,5,0)*VLOOKUP('Données projet'!$B$13,Paramètres!$A$1:$I$89,7,0))</f>
        <v>0.30099999999999999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21.22986985054937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21.22986985054937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303.83340277777774</v>
      </c>
      <c r="DM48" s="13">
        <f>VLOOKUP(A48,'Données projet'!$A$165:$I$185,9,0)</f>
        <v>11.926499999999994</v>
      </c>
      <c r="DN48" s="13">
        <f t="array" ref="DN48">INDEX(DM:DM,MIN(IF(ISNUMBER(DM48:DM244),ROW(DM48:DM244),"")))</f>
        <v>11.926499999999994</v>
      </c>
      <c r="DO48" s="13">
        <f>IF('Données projet'!$A$166&gt;35,DO47+DN48-DW47,IF(A48&lt;'Données projet'!$A$166,$DL$205^A48,IF(A48='Données projet'!$A$166,'Données projet'!$B$166,DO47+DN48-DW47)))</f>
        <v>303.83340277777774</v>
      </c>
      <c r="DP48" s="18">
        <f>DO48*VLOOKUP('Données projet'!$B$14,Paramètres!$A$1:$I$89,3,0)*VLOOKUP('Données projet'!$B$14,Paramètres!$A$1:$I$89,5,0)</f>
        <v>241.72985524999999</v>
      </c>
      <c r="DQ48" s="14">
        <f t="shared" si="43"/>
        <v>58.811561554642985</v>
      </c>
      <c r="DR48" s="22">
        <f t="shared" si="16"/>
        <v>523.44296760141981</v>
      </c>
      <c r="DS48" s="62">
        <f t="shared" si="17"/>
        <v>816.77630093475318</v>
      </c>
      <c r="DT48" s="62">
        <f ca="1">AVERAGE(OFFSET($DS$3,0,0,'Données projet'!$E$14+1,1))-AVERAGE(OFFSET($H$3,0,0,'Données projet'!$E$14+1,1))</f>
        <v>248.15263300983543</v>
      </c>
      <c r="DU48" s="62">
        <f t="shared" si="44"/>
        <v>266.46511459244618</v>
      </c>
      <c r="DV48" s="16">
        <f>IF(ISNA(VLOOKUP(A48,'Données projet'!$A$165:$I$185,3,0)),0,VLOOKUP(A48,'Données projet'!$A$165:$I$185,3,0))</f>
        <v>4</v>
      </c>
      <c r="DW48" s="16">
        <f>IF(ISNA(VLOOKUP(A48,'Données projet'!$A$165:$I$185,4,0)),0,VLOOKUP(A48,'Données projet'!$A$165:$I$185,4,0))</f>
        <v>50.638900462962958</v>
      </c>
      <c r="DX48" s="17">
        <f>IF(ISNA(VLOOKUP(A48,'Données projet'!$A$165:$I$185,5,0)),0%,VLOOKUP(A48,'Données projet'!$A$165:$I$185,5,0)*VLOOKUP('Données projet'!$B$14,Paramètres!$A$1:$I$89,7,0))</f>
        <v>0.371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31.774273646752462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31.774273646752462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303.83340277777774</v>
      </c>
      <c r="EH48" s="13">
        <f>VLOOKUP(A48,'Données projet'!$A$191:$I$211,9,0)</f>
        <v>11.926499999999994</v>
      </c>
      <c r="EI48" s="13">
        <f t="array" ref="EI48">INDEX(EH:EH,MIN(IF(ISNUMBER(EH48:EH244),ROW(EH48:EH244),"")))</f>
        <v>11.926499999999994</v>
      </c>
      <c r="EJ48" s="13">
        <f>IF('Données projet'!$A$192&gt;35,EJ47+EI48-ER47,IF(A48&lt;'Données projet'!$A$192,$EG$205^A48,IF(A48='Données projet'!$A$192,'Données projet'!$B$192,EJ47+EI48-ER47)))</f>
        <v>303.83340277777774</v>
      </c>
      <c r="EK48" s="18">
        <f>EJ48*VLOOKUP('Données projet'!$B$15,Paramètres!$A$1:$I$89,3,0)*VLOOKUP('Données projet'!$B$15,Paramètres!$A$1:$I$89,5,0)</f>
        <v>203.81144658333329</v>
      </c>
      <c r="EL48" s="14">
        <f t="shared" si="45"/>
        <v>50.580885793302279</v>
      </c>
      <c r="EM48" s="22">
        <f t="shared" si="19"/>
        <v>443.06664555597359</v>
      </c>
      <c r="EN48" s="62">
        <f t="shared" si="20"/>
        <v>736.39997888930691</v>
      </c>
      <c r="EO48" s="62">
        <f ca="1">AVERAGE(OFFSET($EN$3,0,0,'Données projet'!$E$15+1,1))-AVERAGE(OFFSET($H$3,0,0,'Données projet'!$E$15+1,1))</f>
        <v>205.35893113421139</v>
      </c>
      <c r="EP48" s="62">
        <f t="shared" si="46"/>
        <v>220.4399811285175</v>
      </c>
      <c r="EQ48" s="16">
        <f>IF(ISNA(VLOOKUP(A48,'Données projet'!$A$191:$I$211,3,0)),0,VLOOKUP(A48,'Données projet'!$A$191:$I$211,3,0))</f>
        <v>4</v>
      </c>
      <c r="ER48" s="16">
        <f>IF(ISNA(VLOOKUP(A48,'Données projet'!$A$191:$I$211,4,0)),0,VLOOKUP(A48,'Données projet'!$A$191:$I$211,4,0))</f>
        <v>50.638900462962958</v>
      </c>
      <c r="ES48" s="17">
        <f>IF(ISNA(VLOOKUP(A48,'Données projet'!$A$191:$I$211,5,0)),0%,VLOOKUP(A48,'Données projet'!$A$191:$I$211,5,0)*VLOOKUP('Données projet'!$B$15,Paramètres!$A$1:$I$89,7,0))</f>
        <v>0.371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26.790073859026592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26.790073859026592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17.8</v>
      </c>
      <c r="N49" s="14">
        <f>IF('Données projet'!$A$36&gt;35,N48+M49-V48,IF(A49&lt;'Données projet'!$A$36,$K$205^A49,IF(A49='Données projet'!$A$36,'Données projet'!$B$36,N48+M49-V48)))</f>
        <v>557.79999999999995</v>
      </c>
      <c r="O49" s="14">
        <f>N49*VLOOKUP('Données projet'!$B$9,Paramètres!$A$1:$I$89,3,0)*VLOOKUP('Données projet'!$B$9,Paramètres!$A$1:$I$89,5,0)</f>
        <v>311.81020000000001</v>
      </c>
      <c r="P49" s="14">
        <f t="shared" si="33"/>
        <v>73.646743780370684</v>
      </c>
      <c r="Q49" s="22">
        <f t="shared" si="53"/>
        <v>671.33751041747894</v>
      </c>
      <c r="R49" s="62">
        <f t="shared" si="0"/>
        <v>964.67084375081231</v>
      </c>
      <c r="S49" s="62">
        <f ca="1">AVERAGE(OFFSET($R$3,0,0,'Données projet'!$E$9+1,1))-AVERAGE(OFFSET($H$3,0,0,'Données projet'!$E$9+1,1))</f>
        <v>382.55387448074327</v>
      </c>
      <c r="T49" s="62">
        <f t="shared" si="34"/>
        <v>476.29465646955543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63.799170879839998</v>
      </c>
      <c r="AA49" s="23">
        <f>EXP(-LN(2)/25)*AA48+(1-EXP(-LN(2)/25))/(LN(2)/25)*Calculateur!V49*Calculateur!X49*VLOOKUP('Données projet'!$B$9,Paramètres!$A$1:$I$89,3,0)*0.475*44/12</f>
        <v>21.241361460397428</v>
      </c>
      <c r="AB49" s="23">
        <f>EXP(-LN(2)/2)*AB48+(1-EXP(-LN(2)/2))/(LN(2)/2)*V49*Y49*VLOOKUP('Données projet'!$B$9,Paramètres!$A$1:$I$89,3,0)*0.475*44/12</f>
        <v>4.8062676670411211</v>
      </c>
      <c r="AC49" s="24">
        <f t="shared" si="3"/>
        <v>89.84680000727856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15.546666666666662</v>
      </c>
      <c r="AI49" s="14">
        <f>IF('Données projet'!$A$62&gt;35,AI48+AH49-AQ48,IF(A49&lt;'Données projet'!$A$62,$AF$205^A49,IF(A49='Données projet'!$A$62,'Données projet'!$B$62,AI48+AH49-AQ48)))</f>
        <v>496.90666666666647</v>
      </c>
      <c r="AJ49" s="14">
        <f>AI49*VLOOKUP('Données projet'!$B$10,Paramètres!$A$1:$I$89,3,0)*VLOOKUP('Données projet'!$B$10,Paramètres!$A$1:$I$89,5,0)</f>
        <v>310.06975999999992</v>
      </c>
      <c r="AK49" s="14">
        <f t="shared" si="35"/>
        <v>73.28339864551721</v>
      </c>
      <c r="AL49" s="22">
        <f t="shared" si="4"/>
        <v>667.67341797427559</v>
      </c>
      <c r="AM49" s="62">
        <f t="shared" si="5"/>
        <v>961.00675130760897</v>
      </c>
      <c r="AN49" s="62">
        <f ca="1">AVERAGE(OFFSET($AM$3,0,0,'Données projet'!$E$10+1,1))-AVERAGE(OFFSET($H$3,0,0,'Données projet'!$E$10+1,1))</f>
        <v>420.68062999212015</v>
      </c>
      <c r="AO49" s="62">
        <f t="shared" si="36"/>
        <v>655.24090633185676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87.912456662630078</v>
      </c>
      <c r="AV49" s="23">
        <f>EXP(-LN(2)/25)*AV48+(1-EXP(-LN(2)/25))/(LN(2)/25)*Calculateur!AQ49*Calculateur!AS49*VLOOKUP('Données projet'!$B$10,Paramètres!$A$1:$I$89,3,0)*0.475*44/12</f>
        <v>19.538544459447483</v>
      </c>
      <c r="AW49" s="23">
        <f>EXP(-LN(2)/2)*AW48+(1-EXP(-LN(2)/2))/(LN(2)/2)*AQ49*AT49*VLOOKUP('Données projet'!$B$10,Paramètres!$A$1:$I$89,3,0)*0.475*44/12</f>
        <v>2.8220679647086291</v>
      </c>
      <c r="AX49" s="23">
        <f t="shared" si="6"/>
        <v>110.27306908678618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</v>
      </c>
      <c r="BD49" s="13">
        <f>IF('Données projet'!$A$88&gt;35,BD48+BC49-BL48,IF(A49&lt;'Données projet'!$A$88,$BA$205^A49,IF(A49='Données projet'!$A$88,'Données projet'!$B$88,BD48+BC49-BL48)))</f>
        <v>92</v>
      </c>
      <c r="BE49" s="14">
        <f>BD49*VLOOKUP('Données projet'!$B$11,Paramètres!$A$1:$I$89,3,0)*VLOOKUP('Données projet'!$B$11,Paramètres!$A$1:$I$89,5,0)</f>
        <v>83.241600000000005</v>
      </c>
      <c r="BF49" s="14">
        <f t="shared" si="37"/>
        <v>22.927930643846508</v>
      </c>
      <c r="BG49" s="22">
        <f t="shared" si="7"/>
        <v>184.91193253803269</v>
      </c>
      <c r="BH49" s="62">
        <f t="shared" si="8"/>
        <v>478.24526587136597</v>
      </c>
      <c r="BI49" s="62">
        <f ca="1">AVERAGE(OFFSET($BH$3,0,0,'Données projet'!$E$11+1,1))-AVERAGE(OFFSET($H$3,0,0,'Données projet'!$E$11+1,1))</f>
        <v>138.3429338270858</v>
      </c>
      <c r="BJ49" s="62">
        <f t="shared" si="38"/>
        <v>88.30225651635925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2</v>
      </c>
      <c r="BY49" s="13">
        <f>IF('Données projet'!$A$114&gt;35,BY48+BX49-CG48,IF(A49&lt;'Données projet'!$A$114,$BV$205^A49,IF(A49='Données projet'!$A$114,'Données projet'!$B$114,BY48+BX49-CG48)))</f>
        <v>92</v>
      </c>
      <c r="BZ49" s="14">
        <f>BY49*VLOOKUP('Données projet'!$B$12,Paramètres!$A$1:$I$89,3,0)*VLOOKUP('Données projet'!$B$12,Paramètres!$A$1:$I$89,5,0)</f>
        <v>77.500800000000012</v>
      </c>
      <c r="CA49" s="14">
        <f t="shared" si="39"/>
        <v>21.524992579009275</v>
      </c>
      <c r="CB49" s="22">
        <f t="shared" si="10"/>
        <v>172.46992207510786</v>
      </c>
      <c r="CC49" s="62">
        <f t="shared" si="11"/>
        <v>465.80325540844115</v>
      </c>
      <c r="CD49" s="62">
        <f ca="1">AVERAGE(OFFSET($CC$3,0,0,'Données projet'!$E$12+1,1))-AVERAGE(OFFSET($H$3,0,0,'Données projet'!$E$12+1,1))</f>
        <v>122.57815304102127</v>
      </c>
      <c r="CE49" s="62">
        <f t="shared" si="40"/>
        <v>80.106609825870578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13.93250000000001</v>
      </c>
      <c r="CT49" s="13">
        <f>IF('Données projet'!$A$140&gt;35,CT48+CS49-DB48,IF(A49&lt;'Données projet'!$A$140,$CQ$205^A49,IF(A49='Données projet'!$A$140,'Données projet'!$B$140,CT48+CS49-DB48)))</f>
        <v>267.12700231481477</v>
      </c>
      <c r="CU49" s="18">
        <f>CT49*VLOOKUP('Données projet'!$B$13,Paramètres!$A$1:$I$89,3,0)*VLOOKUP('Données projet'!$B$13,Paramètres!$A$1:$I$89,5,0)</f>
        <v>175.02161191666664</v>
      </c>
      <c r="CV49" s="14">
        <f t="shared" si="41"/>
        <v>44.212785036446277</v>
      </c>
      <c r="CW49" s="22">
        <f t="shared" si="13"/>
        <v>381.83324136000505</v>
      </c>
      <c r="CX49" s="62">
        <f t="shared" si="14"/>
        <v>675.16657469333836</v>
      </c>
      <c r="CY49" s="62">
        <f ca="1">AVERAGE(OFFSET($CX$3,0,0,'Données projet'!$E$13+1,1))-AVERAGE(OFFSET($H$3,0,0,'Données projet'!$E$13+1,1))</f>
        <v>199.99826357281154</v>
      </c>
      <c r="CZ49" s="62">
        <f t="shared" si="42"/>
        <v>214.67424457475136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20.813565051722104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20.813565051722104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13.93250000000001</v>
      </c>
      <c r="DO49" s="13">
        <f>IF('Données projet'!$A$166&gt;35,DO48+DN49-DW48,IF(A49&lt;'Données projet'!$A$166,$DL$205^A49,IF(A49='Données projet'!$A$166,'Données projet'!$B$166,DO48+DN49-DW48)))</f>
        <v>267.12700231481477</v>
      </c>
      <c r="DP49" s="18">
        <f>DO49*VLOOKUP('Données projet'!$B$14,Paramètres!$A$1:$I$89,3,0)*VLOOKUP('Données projet'!$B$14,Paramètres!$A$1:$I$89,5,0)</f>
        <v>212.52624304166662</v>
      </c>
      <c r="DQ49" s="14">
        <f t="shared" si="43"/>
        <v>52.487248576327396</v>
      </c>
      <c r="DR49" s="22">
        <f t="shared" si="16"/>
        <v>461.5651645680062</v>
      </c>
      <c r="DS49" s="62">
        <f t="shared" si="17"/>
        <v>754.89849790133951</v>
      </c>
      <c r="DT49" s="62">
        <f ca="1">AVERAGE(OFFSET($DS$3,0,0,'Données projet'!$E$14+1,1))-AVERAGE(OFFSET($H$3,0,0,'Données projet'!$E$14+1,1))</f>
        <v>248.15263300983543</v>
      </c>
      <c r="DU49" s="62">
        <f t="shared" si="44"/>
        <v>266.46511459244618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31.151199520932916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31.151199520932916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13.93250000000001</v>
      </c>
      <c r="EJ49" s="13">
        <f>IF('Données projet'!$A$192&gt;35,EJ48+EI49-ER48,IF(A49&lt;'Données projet'!$A$192,$EG$205^A49,IF(A49='Données projet'!$A$192,'Données projet'!$B$192,EJ48+EI49-ER48)))</f>
        <v>267.12700231481477</v>
      </c>
      <c r="EK49" s="18">
        <f>EJ49*VLOOKUP('Données projet'!$B$15,Paramètres!$A$1:$I$89,3,0)*VLOOKUP('Données projet'!$B$15,Paramètres!$A$1:$I$89,5,0)</f>
        <v>179.18879315277775</v>
      </c>
      <c r="EL49" s="14">
        <f t="shared" si="45"/>
        <v>45.141660171311834</v>
      </c>
      <c r="EM49" s="22">
        <f t="shared" si="19"/>
        <v>390.7088728727893</v>
      </c>
      <c r="EN49" s="62">
        <f t="shared" si="20"/>
        <v>684.04220620612261</v>
      </c>
      <c r="EO49" s="62">
        <f ca="1">AVERAGE(OFFSET($EN$3,0,0,'Données projet'!$E$15+1,1))-AVERAGE(OFFSET($H$3,0,0,'Données projet'!$E$15+1,1))</f>
        <v>205.35893113421139</v>
      </c>
      <c r="EP49" s="62">
        <f t="shared" si="46"/>
        <v>220.4399811285175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26.264736850982661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26.264736850982661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17.8</v>
      </c>
      <c r="N50" s="14">
        <f>IF('Données projet'!$A$36&gt;35,N49+M50-V49,IF(A50&lt;'Données projet'!$A$36,$K$205^A50,IF(A50='Données projet'!$A$36,'Données projet'!$B$36,N49+M50-V49)))</f>
        <v>575.59999999999991</v>
      </c>
      <c r="O50" s="14">
        <f>N50*VLOOKUP('Données projet'!$B$9,Paramètres!$A$1:$I$89,3,0)*VLOOKUP('Données projet'!$B$9,Paramètres!$A$1:$I$89,5,0)</f>
        <v>321.76039999999995</v>
      </c>
      <c r="P50" s="14">
        <f t="shared" si="33"/>
        <v>75.719522083505169</v>
      </c>
      <c r="Q50" s="22">
        <f t="shared" si="53"/>
        <v>692.27753096210472</v>
      </c>
      <c r="R50" s="62">
        <f t="shared" si="0"/>
        <v>985.61086429543798</v>
      </c>
      <c r="S50" s="62">
        <f ca="1">AVERAGE(OFFSET($R$3,0,0,'Données projet'!$E$9+1,1))-AVERAGE(OFFSET($H$3,0,0,'Données projet'!$E$9+1,1))</f>
        <v>382.55387448074327</v>
      </c>
      <c r="T50" s="62">
        <f t="shared" si="34"/>
        <v>476.29465646955543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62.548108052538169</v>
      </c>
      <c r="AA50" s="23">
        <f>EXP(-LN(2)/25)*AA49+(1-EXP(-LN(2)/25))/(LN(2)/25)*Calculateur!V50*Calculateur!X50*VLOOKUP('Données projet'!$B$9,Paramètres!$A$1:$I$89,3,0)*0.475*44/12</f>
        <v>20.66051531422821</v>
      </c>
      <c r="AB50" s="23">
        <f>EXP(-LN(2)/2)*AB49+(1-EXP(-LN(2)/2))/(LN(2)/2)*V50*Y50*VLOOKUP('Données projet'!$B$9,Paramètres!$A$1:$I$89,3,0)*0.475*44/12</f>
        <v>3.3985444595624243</v>
      </c>
      <c r="AC50" s="24">
        <f t="shared" si="3"/>
        <v>86.607167826328805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15.546666666666662</v>
      </c>
      <c r="AI50" s="14">
        <f>IF('Données projet'!$A$62&gt;35,AI49+AH50-AQ49,IF(A50&lt;'Données projet'!$A$62,$AF$205^A50,IF(A50='Données projet'!$A$62,'Données projet'!$B$62,AI49+AH50-AQ49)))</f>
        <v>512.45333333333315</v>
      </c>
      <c r="AJ50" s="14">
        <f>AI50*VLOOKUP('Données projet'!$B$10,Paramètres!$A$1:$I$89,3,0)*VLOOKUP('Données projet'!$B$10,Paramètres!$A$1:$I$89,5,0)</f>
        <v>319.77087999999992</v>
      </c>
      <c r="AK50" s="14">
        <f t="shared" si="35"/>
        <v>75.305678803833544</v>
      </c>
      <c r="AL50" s="22">
        <f t="shared" si="4"/>
        <v>688.09167325000988</v>
      </c>
      <c r="AM50" s="62">
        <f t="shared" si="5"/>
        <v>981.42500658334325</v>
      </c>
      <c r="AN50" s="62">
        <f ca="1">AVERAGE(OFFSET($AM$3,0,0,'Données projet'!$E$10+1,1))-AVERAGE(OFFSET($H$3,0,0,'Données projet'!$E$10+1,1))</f>
        <v>420.68062999212015</v>
      </c>
      <c r="AO50" s="62">
        <f t="shared" si="36"/>
        <v>655.24090633185676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86.188547008779807</v>
      </c>
      <c r="AV50" s="23">
        <f>EXP(-LN(2)/25)*AV49+(1-EXP(-LN(2)/25))/(LN(2)/25)*Calculateur!AQ50*Calculateur!AS50*VLOOKUP('Données projet'!$B$10,Paramètres!$A$1:$I$89,3,0)*0.475*44/12</f>
        <v>19.004261933716496</v>
      </c>
      <c r="AW50" s="23">
        <f>EXP(-LN(2)/2)*AW49+(1-EXP(-LN(2)/2))/(LN(2)/2)*AQ50*AT50*VLOOKUP('Données projet'!$B$10,Paramètres!$A$1:$I$89,3,0)*0.475*44/12</f>
        <v>1.9955033948147902</v>
      </c>
      <c r="AX50" s="23">
        <f t="shared" si="6"/>
        <v>107.18831233731109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</v>
      </c>
      <c r="BD50" s="13">
        <f>IF('Données projet'!$A$88&gt;35,BD49+BC50-BL49,IF(A50&lt;'Données projet'!$A$88,$BA$205^A50,IF(A50='Données projet'!$A$88,'Données projet'!$B$88,BD49+BC50-BL49)))</f>
        <v>94</v>
      </c>
      <c r="BE50" s="14">
        <f>BD50*VLOOKUP('Données projet'!$B$11,Paramètres!$A$1:$I$89,3,0)*VLOOKUP('Données projet'!$B$11,Paramètres!$A$1:$I$89,5,0)</f>
        <v>85.051199999999994</v>
      </c>
      <c r="BF50" s="14">
        <f t="shared" si="37"/>
        <v>23.367793520672731</v>
      </c>
      <c r="BG50" s="22">
        <f t="shared" si="7"/>
        <v>188.82974704850497</v>
      </c>
      <c r="BH50" s="62">
        <f t="shared" si="8"/>
        <v>482.16308038183831</v>
      </c>
      <c r="BI50" s="62">
        <f ca="1">AVERAGE(OFFSET($BH$3,0,0,'Données projet'!$E$11+1,1))-AVERAGE(OFFSET($H$3,0,0,'Données projet'!$E$11+1,1))</f>
        <v>138.3429338270858</v>
      </c>
      <c r="BJ50" s="62">
        <f t="shared" si="38"/>
        <v>88.30225651635925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</v>
      </c>
      <c r="BY50" s="13">
        <f>IF('Données projet'!$A$114&gt;35,BY49+BX50-CG49,IF(A50&lt;'Données projet'!$A$114,$BV$205^A50,IF(A50='Données projet'!$A$114,'Données projet'!$B$114,BY49+BX50-CG49)))</f>
        <v>94</v>
      </c>
      <c r="BZ50" s="14">
        <f>BY50*VLOOKUP('Données projet'!$B$12,Paramètres!$A$1:$I$89,3,0)*VLOOKUP('Données projet'!$B$12,Paramètres!$A$1:$I$89,5,0)</f>
        <v>79.185600000000008</v>
      </c>
      <c r="CA50" s="14">
        <f t="shared" si="39"/>
        <v>21.937940668679424</v>
      </c>
      <c r="CB50" s="22">
        <f t="shared" si="10"/>
        <v>176.12349999795001</v>
      </c>
      <c r="CC50" s="62">
        <f t="shared" si="11"/>
        <v>469.45683333128329</v>
      </c>
      <c r="CD50" s="62">
        <f ca="1">AVERAGE(OFFSET($CC$3,0,0,'Données projet'!$E$12+1,1))-AVERAGE(OFFSET($H$3,0,0,'Données projet'!$E$12+1,1))</f>
        <v>122.57815304102127</v>
      </c>
      <c r="CE50" s="62">
        <f t="shared" si="40"/>
        <v>80.106609825870578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13.93250000000001</v>
      </c>
      <c r="CT50" s="13">
        <f>IF('Données projet'!$A$140&gt;35,CT49+CS50-DB49,IF(A50&lt;'Données projet'!$A$140,$CQ$205^A50,IF(A50='Données projet'!$A$140,'Données projet'!$B$140,CT49+CS50-DB49)))</f>
        <v>281.05950231481478</v>
      </c>
      <c r="CU50" s="18">
        <f>CT50*VLOOKUP('Données projet'!$B$13,Paramètres!$A$1:$I$89,3,0)*VLOOKUP('Données projet'!$B$13,Paramètres!$A$1:$I$89,5,0)</f>
        <v>184.15018591666666</v>
      </c>
      <c r="CV50" s="14">
        <f t="shared" si="41"/>
        <v>46.24429754974188</v>
      </c>
      <c r="CW50" s="22">
        <f t="shared" si="13"/>
        <v>401.27039203732812</v>
      </c>
      <c r="CX50" s="62">
        <f t="shared" si="14"/>
        <v>694.60372537066144</v>
      </c>
      <c r="CY50" s="62">
        <f ca="1">AVERAGE(OFFSET($CX$3,0,0,'Données projet'!$E$13+1,1))-AVERAGE(OFFSET($H$3,0,0,'Données projet'!$E$13+1,1))</f>
        <v>199.99826357281154</v>
      </c>
      <c r="CZ50" s="62">
        <f t="shared" si="42"/>
        <v>214.67424457475136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20.405423736078987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20.405423736078987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13.93250000000001</v>
      </c>
      <c r="DO50" s="13">
        <f>IF('Données projet'!$A$166&gt;35,DO49+DN50-DW49,IF(A50&lt;'Données projet'!$A$166,$DL$205^A50,IF(A50='Données projet'!$A$166,'Données projet'!$B$166,DO49+DN50-DW49)))</f>
        <v>281.05950231481478</v>
      </c>
      <c r="DP50" s="18">
        <f>DO50*VLOOKUP('Données projet'!$B$14,Paramètres!$A$1:$I$89,3,0)*VLOOKUP('Données projet'!$B$14,Paramètres!$A$1:$I$89,5,0)</f>
        <v>223.61094004166665</v>
      </c>
      <c r="DQ50" s="14">
        <f t="shared" si="43"/>
        <v>54.89896053211951</v>
      </c>
      <c r="DR50" s="22">
        <f t="shared" si="16"/>
        <v>485.07141016601082</v>
      </c>
      <c r="DS50" s="62">
        <f t="shared" si="17"/>
        <v>778.40474349934414</v>
      </c>
      <c r="DT50" s="62">
        <f ca="1">AVERAGE(OFFSET($DS$3,0,0,'Données projet'!$E$14+1,1))-AVERAGE(OFFSET($H$3,0,0,'Données projet'!$E$14+1,1))</f>
        <v>248.15263300983543</v>
      </c>
      <c r="DU50" s="62">
        <f t="shared" si="44"/>
        <v>266.46511459244618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30.540343498683001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30.540343498683001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13.93250000000001</v>
      </c>
      <c r="EJ50" s="13">
        <f>IF('Données projet'!$A$192&gt;35,EJ49+EI50-ER49,IF(A50&lt;'Données projet'!$A$192,$EG$205^A50,IF(A50='Données projet'!$A$192,'Données projet'!$B$192,EJ49+EI50-ER49)))</f>
        <v>281.05950231481478</v>
      </c>
      <c r="EK50" s="18">
        <f>EJ50*VLOOKUP('Données projet'!$B$15,Paramètres!$A$1:$I$89,3,0)*VLOOKUP('Données projet'!$B$15,Paramètres!$A$1:$I$89,5,0)</f>
        <v>188.53471415277775</v>
      </c>
      <c r="EL50" s="14">
        <f t="shared" si="45"/>
        <v>47.215853132315338</v>
      </c>
      <c r="EM50" s="22">
        <f t="shared" si="19"/>
        <v>410.59890468820385</v>
      </c>
      <c r="EN50" s="62">
        <f t="shared" si="20"/>
        <v>703.93223802153716</v>
      </c>
      <c r="EO50" s="62">
        <f ca="1">AVERAGE(OFFSET($EN$3,0,0,'Données projet'!$E$15+1,1))-AVERAGE(OFFSET($H$3,0,0,'Données projet'!$E$15+1,1))</f>
        <v>205.35893113421139</v>
      </c>
      <c r="EP50" s="62">
        <f t="shared" si="46"/>
        <v>220.4399811285175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25.749701381242534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25.749701381242534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17.8</v>
      </c>
      <c r="N51" s="14">
        <f>IF('Données projet'!$A$36&gt;35,N50+M51-V50,IF(A51&lt;'Données projet'!$A$36,$K$205^A51,IF(A51='Données projet'!$A$36,'Données projet'!$B$36,N50+M51-V50)))</f>
        <v>593.39999999999986</v>
      </c>
      <c r="O51" s="14">
        <f>N51*VLOOKUP('Données projet'!$B$9,Paramètres!$A$1:$I$89,3,0)*VLOOKUP('Données projet'!$B$9,Paramètres!$A$1:$I$89,5,0)</f>
        <v>331.71059999999994</v>
      </c>
      <c r="P51" s="14">
        <f t="shared" si="33"/>
        <v>77.784851407016433</v>
      </c>
      <c r="Q51" s="22">
        <f t="shared" si="53"/>
        <v>713.20457786722011</v>
      </c>
      <c r="R51" s="62">
        <f t="shared" si="0"/>
        <v>1006.5379112005535</v>
      </c>
      <c r="S51" s="62">
        <f ca="1">AVERAGE(OFFSET($R$3,0,0,'Données projet'!$E$9+1,1))-AVERAGE(OFFSET($H$3,0,0,'Données projet'!$E$9+1,1))</f>
        <v>382.55387448074327</v>
      </c>
      <c r="T51" s="62">
        <f t="shared" si="34"/>
        <v>476.29465646955543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61.321577804206747</v>
      </c>
      <c r="AA51" s="23">
        <f>EXP(-LN(2)/25)*AA50+(1-EXP(-LN(2)/25))/(LN(2)/25)*Calculateur!V51*Calculateur!X51*VLOOKUP('Données projet'!$B$9,Paramètres!$A$1:$I$89,3,0)*0.475*44/12</f>
        <v>20.095552436471358</v>
      </c>
      <c r="AB51" s="23">
        <f>EXP(-LN(2)/2)*AB50+(1-EXP(-LN(2)/2))/(LN(2)/2)*V51*Y51*VLOOKUP('Données projet'!$B$9,Paramètres!$A$1:$I$89,3,0)*0.475*44/12</f>
        <v>2.403133833520561</v>
      </c>
      <c r="AC51" s="24">
        <f t="shared" si="3"/>
        <v>83.820264074198661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528</v>
      </c>
      <c r="AG51" s="13">
        <f>VLOOKUP(A51,'Données projet'!$A$61:$I$81,9,0)</f>
        <v>15.546666666666662</v>
      </c>
      <c r="AH51" s="13">
        <f t="array" ref="AH51">INDEX(AG:AG,MIN(IF(ISNUMBER(AG51:AG247),ROW(AG51:AG247),"")))</f>
        <v>15.546666666666662</v>
      </c>
      <c r="AI51" s="14">
        <f>IF('Données projet'!$A$62&gt;35,AI50+AH51-AQ50,IF(A51&lt;'Données projet'!$A$62,$AF$205^A51,IF(A51='Données projet'!$A$62,'Données projet'!$B$62,AI50+AH51-AQ50)))</f>
        <v>527.99999999999977</v>
      </c>
      <c r="AJ51" s="14">
        <f>AI51*VLOOKUP('Données projet'!$B$10,Paramètres!$A$1:$I$89,3,0)*VLOOKUP('Données projet'!$B$10,Paramètres!$A$1:$I$89,5,0)</f>
        <v>329.47199999999987</v>
      </c>
      <c r="AK51" s="14">
        <f t="shared" si="35"/>
        <v>77.320829101031876</v>
      </c>
      <c r="AL51" s="22">
        <f t="shared" si="4"/>
        <v>708.49751068429703</v>
      </c>
      <c r="AM51" s="62">
        <f t="shared" si="5"/>
        <v>1001.8308440176304</v>
      </c>
      <c r="AN51" s="62">
        <f ca="1">AVERAGE(OFFSET($AM$3,0,0,'Données projet'!$E$10+1,1))-AVERAGE(OFFSET($H$3,0,0,'Données projet'!$E$10+1,1))</f>
        <v>420.68062999212015</v>
      </c>
      <c r="AO51" s="62">
        <f t="shared" si="36"/>
        <v>655.24090633185676</v>
      </c>
      <c r="AP51" s="16">
        <f>IF(ISNA(VLOOKUP(A51,'Données projet'!$A$61:$I$81,3,0)),0,VLOOKUP(A51,'Données projet'!$A$61:$I$81,3,0))</f>
        <v>4</v>
      </c>
      <c r="AQ51" s="16">
        <f>IF(ISNA(VLOOKUP(A51,'Données projet'!$A$61:$I$81,4,0)),0,VLOOKUP(A51,'Données projet'!$A$61:$I$81,4,0))</f>
        <v>108.24</v>
      </c>
      <c r="AR51" s="17">
        <f>IF(ISNA(VLOOKUP(A51,'Données projet'!$A$61:$I$81,5,0)),0%,VLOOKUP(A51,'Données projet'!$A$61:$I$81,5,0)*VLOOKUP('Données projet'!$B$10,Paramètres!$A$1:$I$89,7,0))</f>
        <v>0.42</v>
      </c>
      <c r="AS51" s="17">
        <f>IF(ISNA(VLOOKUP(A51,'Données projet'!$A$61:$I$81,6,0)),0%,VLOOKUP(A51,'Données projet'!$A$61:$I$81,6,0)*VLOOKUP('Données projet'!$B$10,Paramètres!$A$1:$I$89,7,0))</f>
        <v>0.1008</v>
      </c>
      <c r="AT51" s="17">
        <f>IF(ISNA(VLOOKUP(A51,'Données projet'!$A$61:$I$81,7,0)),0%,VLOOKUP(A51,'Données projet'!$A$61:$I$81,7,0))</f>
        <v>0.13200000000000001</v>
      </c>
      <c r="AU51" s="23">
        <f>EXP(-LN(2)/35)*AU50+(1-EXP(-LN(2)/35))/(LN(2)/35)*AQ51*AR51*VLOOKUP('Données projet'!$B$10,Paramètres!$A$1:$I$89,3,0)*0.475*44/12</f>
        <v>122.12981136276828</v>
      </c>
      <c r="AV51" s="23">
        <f>EXP(-LN(2)/25)*AV50+(1-EXP(-LN(2)/25))/(LN(2)/25)*Calculateur!AQ51*Calculateur!AS51*VLOOKUP('Données projet'!$B$10,Paramètres!$A$1:$I$89,3,0)*0.475*44/12</f>
        <v>27.480557428186803</v>
      </c>
      <c r="AW51" s="23">
        <f>EXP(-LN(2)/2)*AW50+(1-EXP(-LN(2)/2))/(LN(2)/2)*AQ51*AT51*VLOOKUP('Données projet'!$B$10,Paramètres!$A$1:$I$89,3,0)*0.475*44/12</f>
        <v>11.505464980053429</v>
      </c>
      <c r="AX51" s="23">
        <f t="shared" si="6"/>
        <v>161.11583377100851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</v>
      </c>
      <c r="BD51" s="13">
        <f>IF('Données projet'!$A$88&gt;35,BD50+BC51-BL50,IF(A51&lt;'Données projet'!$A$88,$BA$205^A51,IF(A51='Données projet'!$A$88,'Données projet'!$B$88,BD50+BC51-BL50)))</f>
        <v>96</v>
      </c>
      <c r="BE51" s="14">
        <f>BD51*VLOOKUP('Données projet'!$B$11,Paramètres!$A$1:$I$89,3,0)*VLOOKUP('Données projet'!$B$11,Paramètres!$A$1:$I$89,5,0)</f>
        <v>86.860799999999998</v>
      </c>
      <c r="BF51" s="14">
        <f t="shared" si="37"/>
        <v>23.806568296036275</v>
      </c>
      <c r="BG51" s="22">
        <f t="shared" si="7"/>
        <v>192.74566644892982</v>
      </c>
      <c r="BH51" s="62">
        <f t="shared" si="8"/>
        <v>486.07899978226317</v>
      </c>
      <c r="BI51" s="62">
        <f ca="1">AVERAGE(OFFSET($BH$3,0,0,'Données projet'!$E$11+1,1))-AVERAGE(OFFSET($H$3,0,0,'Données projet'!$E$11+1,1))</f>
        <v>138.3429338270858</v>
      </c>
      <c r="BJ51" s="62">
        <f t="shared" si="38"/>
        <v>88.30225651635925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2</v>
      </c>
      <c r="BY51" s="13">
        <f>IF('Données projet'!$A$114&gt;35,BY50+BX51-CG50,IF(A51&lt;'Données projet'!$A$114,$BV$205^A51,IF(A51='Données projet'!$A$114,'Données projet'!$B$114,BY50+BX51-CG50)))</f>
        <v>96</v>
      </c>
      <c r="BZ51" s="14">
        <f>BY51*VLOOKUP('Données projet'!$B$12,Paramètres!$A$1:$I$89,3,0)*VLOOKUP('Données projet'!$B$12,Paramètres!$A$1:$I$89,5,0)</f>
        <v>80.870400000000004</v>
      </c>
      <c r="CA51" s="14">
        <f t="shared" si="39"/>
        <v>22.349867236770798</v>
      </c>
      <c r="CB51" s="22">
        <f t="shared" si="10"/>
        <v>179.77529877070916</v>
      </c>
      <c r="CC51" s="62">
        <f t="shared" si="11"/>
        <v>473.1086321040425</v>
      </c>
      <c r="CD51" s="62">
        <f ca="1">AVERAGE(OFFSET($CC$3,0,0,'Données projet'!$E$12+1,1))-AVERAGE(OFFSET($H$3,0,0,'Données projet'!$E$12+1,1))</f>
        <v>122.57815304102127</v>
      </c>
      <c r="CE51" s="62">
        <f t="shared" si="40"/>
        <v>80.106609825870578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13.93250000000001</v>
      </c>
      <c r="CT51" s="13">
        <f>IF('Données projet'!$A$140&gt;35,CT50+CS51-DB50,IF(A51&lt;'Données projet'!$A$140,$CQ$205^A51,IF(A51='Données projet'!$A$140,'Données projet'!$B$140,CT50+CS51-DB50)))</f>
        <v>294.99200231481478</v>
      </c>
      <c r="CU51" s="18">
        <f>CT51*VLOOKUP('Données projet'!$B$13,Paramètres!$A$1:$I$89,3,0)*VLOOKUP('Données projet'!$B$13,Paramètres!$A$1:$I$89,5,0)</f>
        <v>193.27875991666664</v>
      </c>
      <c r="CV51" s="14">
        <f t="shared" si="41"/>
        <v>48.264116718949118</v>
      </c>
      <c r="CW51" s="22">
        <f t="shared" si="13"/>
        <v>420.68717680703077</v>
      </c>
      <c r="CX51" s="62">
        <f t="shared" si="14"/>
        <v>714.02051014036408</v>
      </c>
      <c r="CY51" s="62">
        <f ca="1">AVERAGE(OFFSET($CX$3,0,0,'Données projet'!$E$13+1,1))-AVERAGE(OFFSET($H$3,0,0,'Données projet'!$E$13+1,1))</f>
        <v>199.99826357281154</v>
      </c>
      <c r="CZ51" s="62">
        <f t="shared" si="42"/>
        <v>214.67424457475136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20.00528582269401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20.00528582269401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13.93250000000001</v>
      </c>
      <c r="DO51" s="13">
        <f>IF('Données projet'!$A$166&gt;35,DO50+DN51-DW50,IF(A51&lt;'Données projet'!$A$166,$DL$205^A51,IF(A51='Données projet'!$A$166,'Données projet'!$B$166,DO50+DN51-DW50)))</f>
        <v>294.99200231481478</v>
      </c>
      <c r="DP51" s="18">
        <f>DO51*VLOOKUP('Données projet'!$B$14,Paramètres!$A$1:$I$89,3,0)*VLOOKUP('Données projet'!$B$14,Paramètres!$A$1:$I$89,5,0)</f>
        <v>234.69563704166663</v>
      </c>
      <c r="DQ51" s="14">
        <f t="shared" si="43"/>
        <v>57.296790723681049</v>
      </c>
      <c r="DR51" s="22">
        <f t="shared" si="16"/>
        <v>508.55347835798051</v>
      </c>
      <c r="DS51" s="62">
        <f t="shared" si="17"/>
        <v>801.88681169131382</v>
      </c>
      <c r="DT51" s="62">
        <f ca="1">AVERAGE(OFFSET($DS$3,0,0,'Données projet'!$E$14+1,1))-AVERAGE(OFFSET($H$3,0,0,'Données projet'!$E$14+1,1))</f>
        <v>248.15263300983543</v>
      </c>
      <c r="DU51" s="62">
        <f t="shared" si="44"/>
        <v>266.46511459244618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29.941465990444023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29.941465990444023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13.93250000000001</v>
      </c>
      <c r="EJ51" s="13">
        <f>IF('Données projet'!$A$192&gt;35,EJ50+EI51-ER50,IF(A51&lt;'Données projet'!$A$192,$EG$205^A51,IF(A51='Données projet'!$A$192,'Données projet'!$B$192,EJ50+EI51-ER50)))</f>
        <v>294.99200231481478</v>
      </c>
      <c r="EK51" s="18">
        <f>EJ51*VLOOKUP('Données projet'!$B$15,Paramètres!$A$1:$I$89,3,0)*VLOOKUP('Données projet'!$B$15,Paramètres!$A$1:$I$89,5,0)</f>
        <v>197.88063515277776</v>
      </c>
      <c r="EL51" s="14">
        <f t="shared" si="45"/>
        <v>49.27810708145455</v>
      </c>
      <c r="EM51" s="22">
        <f t="shared" si="19"/>
        <v>430.4681427246212</v>
      </c>
      <c r="EN51" s="62">
        <f t="shared" si="20"/>
        <v>723.80147605795446</v>
      </c>
      <c r="EO51" s="62">
        <f ca="1">AVERAGE(OFFSET($EN$3,0,0,'Données projet'!$E$15+1,1))-AVERAGE(OFFSET($H$3,0,0,'Données projet'!$E$15+1,1))</f>
        <v>205.35893113421139</v>
      </c>
      <c r="EP51" s="62">
        <f t="shared" si="46"/>
        <v>220.4399811285175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25.244765442923395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25.244765442923395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17.8</v>
      </c>
      <c r="N52" s="14">
        <f>IF('Données projet'!$A$36&gt;35,N51+M52-V51,IF(A52&lt;'Données projet'!$A$36,$K$205^A52,IF(A52='Données projet'!$A$36,'Données projet'!$B$36,N51+M52-V51)))</f>
        <v>611.19999999999982</v>
      </c>
      <c r="O52" s="14">
        <f>N52*VLOOKUP('Données projet'!$B$9,Paramètres!$A$1:$I$89,3,0)*VLOOKUP('Données projet'!$B$9,Paramètres!$A$1:$I$89,5,0)</f>
        <v>341.66079999999988</v>
      </c>
      <c r="P52" s="14">
        <f t="shared" si="33"/>
        <v>79.842980844864144</v>
      </c>
      <c r="Q52" s="22">
        <f t="shared" si="53"/>
        <v>734.11908497147158</v>
      </c>
      <c r="R52" s="62">
        <f t="shared" si="0"/>
        <v>1027.452418304805</v>
      </c>
      <c r="S52" s="62">
        <f ca="1">AVERAGE(OFFSET($R$3,0,0,'Données projet'!$E$9+1,1))-AVERAGE(OFFSET($H$3,0,0,'Données projet'!$E$9+1,1))</f>
        <v>382.55387448074327</v>
      </c>
      <c r="T52" s="62">
        <f t="shared" si="34"/>
        <v>476.29465646955543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60.119099065935529</v>
      </c>
      <c r="AA52" s="23">
        <f>EXP(-LN(2)/25)*AA51+(1-EXP(-LN(2)/25))/(LN(2)/25)*Calculateur!V52*Calculateur!X52*VLOOKUP('Données projet'!$B$9,Paramètres!$A$1:$I$89,3,0)*0.475*44/12</f>
        <v>19.546038498316875</v>
      </c>
      <c r="AB52" s="23">
        <f>EXP(-LN(2)/2)*AB51+(1-EXP(-LN(2)/2))/(LN(2)/2)*V52*Y52*VLOOKUP('Données projet'!$B$9,Paramètres!$A$1:$I$89,3,0)*0.475*44/12</f>
        <v>1.6992722297812126</v>
      </c>
      <c r="AC52" s="24">
        <f t="shared" si="3"/>
        <v>81.36440979403362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14.080000000000004</v>
      </c>
      <c r="AI52" s="14">
        <f>IF('Données projet'!$A$62&gt;35,AI51+AH52-AQ51,IF(A52&lt;'Données projet'!$A$62,$AF$205^A52,IF(A52='Données projet'!$A$62,'Données projet'!$B$62,AI51+AH52-AQ51)))</f>
        <v>433.8399999999998</v>
      </c>
      <c r="AJ52" s="14">
        <f>AI52*VLOOKUP('Données projet'!$B$10,Paramètres!$A$1:$I$89,3,0)*VLOOKUP('Données projet'!$B$10,Paramètres!$A$1:$I$89,5,0)</f>
        <v>270.71615999999989</v>
      </c>
      <c r="AK52" s="14">
        <f t="shared" si="35"/>
        <v>65.001233075018177</v>
      </c>
      <c r="AL52" s="22">
        <f t="shared" si="4"/>
        <v>584.70779293898988</v>
      </c>
      <c r="AM52" s="62">
        <f t="shared" si="5"/>
        <v>878.04112627232325</v>
      </c>
      <c r="AN52" s="62">
        <f ca="1">AVERAGE(OFFSET($AM$3,0,0,'Données projet'!$E$10+1,1))-AVERAGE(OFFSET($H$3,0,0,'Données projet'!$E$10+1,1))</f>
        <v>420.68062999212015</v>
      </c>
      <c r="AO52" s="62">
        <f t="shared" si="36"/>
        <v>655.24090633185676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119.73492025377386</v>
      </c>
      <c r="AV52" s="23">
        <f>EXP(-LN(2)/25)*AV51+(1-EXP(-LN(2)/25))/(LN(2)/25)*Calculateur!AQ52*Calculateur!AS52*VLOOKUP('Données projet'!$B$10,Paramètres!$A$1:$I$89,3,0)*0.475*44/12</f>
        <v>26.729100140173326</v>
      </c>
      <c r="AW52" s="23">
        <f>EXP(-LN(2)/2)*AW51+(1-EXP(-LN(2)/2))/(LN(2)/2)*AQ52*AT52*VLOOKUP('Données projet'!$B$10,Paramètres!$A$1:$I$89,3,0)*0.475*44/12</f>
        <v>8.1355923081001258</v>
      </c>
      <c r="AX52" s="23">
        <f t="shared" si="6"/>
        <v>154.5996127020473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</v>
      </c>
      <c r="BD52" s="13">
        <f>IF('Données projet'!$A$88&gt;35,BD51+BC52-BL51,IF(A52&lt;'Données projet'!$A$88,$BA$205^A52,IF(A52='Données projet'!$A$88,'Données projet'!$B$88,BD51+BC52-BL51)))</f>
        <v>98</v>
      </c>
      <c r="BE52" s="14">
        <f>BD52*VLOOKUP('Données projet'!$B$11,Paramètres!$A$1:$I$89,3,0)*VLOOKUP('Données projet'!$B$11,Paramètres!$A$1:$I$89,5,0)</f>
        <v>88.670400000000001</v>
      </c>
      <c r="BF52" s="14">
        <f t="shared" si="37"/>
        <v>24.244280250395512</v>
      </c>
      <c r="BG52" s="22">
        <f t="shared" si="7"/>
        <v>196.65973476943884</v>
      </c>
      <c r="BH52" s="62">
        <f t="shared" si="8"/>
        <v>489.99306810277216</v>
      </c>
      <c r="BI52" s="62">
        <f ca="1">AVERAGE(OFFSET($BH$3,0,0,'Données projet'!$E$11+1,1))-AVERAGE(OFFSET($H$3,0,0,'Données projet'!$E$11+1,1))</f>
        <v>138.3429338270858</v>
      </c>
      <c r="BJ52" s="62">
        <f t="shared" si="38"/>
        <v>88.30225651635925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</v>
      </c>
      <c r="BY52" s="13">
        <f>IF('Données projet'!$A$114&gt;35,BY51+BX52-CG51,IF(A52&lt;'Données projet'!$A$114,$BV$205^A52,IF(A52='Données projet'!$A$114,'Données projet'!$B$114,BY51+BX52-CG51)))</f>
        <v>98</v>
      </c>
      <c r="BZ52" s="14">
        <f>BY52*VLOOKUP('Données projet'!$B$12,Paramètres!$A$1:$I$89,3,0)*VLOOKUP('Données projet'!$B$12,Paramètres!$A$1:$I$89,5,0)</f>
        <v>82.555199999999999</v>
      </c>
      <c r="CA52" s="14">
        <f t="shared" si="39"/>
        <v>22.760796016854769</v>
      </c>
      <c r="CB52" s="22">
        <f t="shared" si="10"/>
        <v>183.42535972935536</v>
      </c>
      <c r="CC52" s="62">
        <f t="shared" si="11"/>
        <v>476.75869306268868</v>
      </c>
      <c r="CD52" s="62">
        <f ca="1">AVERAGE(OFFSET($CC$3,0,0,'Données projet'!$E$12+1,1))-AVERAGE(OFFSET($H$3,0,0,'Données projet'!$E$12+1,1))</f>
        <v>122.57815304102127</v>
      </c>
      <c r="CE52" s="62">
        <f t="shared" si="40"/>
        <v>80.106609825870578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13.93250000000001</v>
      </c>
      <c r="CT52" s="13">
        <f>IF('Données projet'!$A$140&gt;35,CT51+CS52-DB51,IF(A52&lt;'Données projet'!$A$140,$CQ$205^A52,IF(A52='Données projet'!$A$140,'Données projet'!$B$140,CT51+CS52-DB51)))</f>
        <v>308.92450231481479</v>
      </c>
      <c r="CU52" s="18">
        <f>CT52*VLOOKUP('Données projet'!$B$13,Paramètres!$A$1:$I$89,3,0)*VLOOKUP('Données projet'!$B$13,Paramètres!$A$1:$I$89,5,0)</f>
        <v>202.40733391666666</v>
      </c>
      <c r="CV52" s="14">
        <f t="shared" si="41"/>
        <v>50.272857883138961</v>
      </c>
      <c r="CW52" s="22">
        <f t="shared" si="13"/>
        <v>440.08466738466149</v>
      </c>
      <c r="CX52" s="62">
        <f t="shared" si="14"/>
        <v>733.4180007179948</v>
      </c>
      <c r="CY52" s="62">
        <f ca="1">AVERAGE(OFFSET($CX$3,0,0,'Données projet'!$E$13+1,1))-AVERAGE(OFFSET($H$3,0,0,'Données projet'!$E$13+1,1))</f>
        <v>199.99826357281154</v>
      </c>
      <c r="CZ52" s="62">
        <f t="shared" si="42"/>
        <v>214.67424457475136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19.612994369730483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19.612994369730483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13.93250000000001</v>
      </c>
      <c r="DO52" s="13">
        <f>IF('Données projet'!$A$166&gt;35,DO51+DN52-DW51,IF(A52&lt;'Données projet'!$A$166,$DL$205^A52,IF(A52='Données projet'!$A$166,'Données projet'!$B$166,DO51+DN52-DW51)))</f>
        <v>308.92450231481479</v>
      </c>
      <c r="DP52" s="18">
        <f>DO52*VLOOKUP('Données projet'!$B$14,Paramètres!$A$1:$I$89,3,0)*VLOOKUP('Données projet'!$B$14,Paramètres!$A$1:$I$89,5,0)</f>
        <v>245.78033404166666</v>
      </c>
      <c r="DQ52" s="14">
        <f t="shared" si="43"/>
        <v>59.681469651358206</v>
      </c>
      <c r="DR52" s="22">
        <f t="shared" si="16"/>
        <v>532.01264143201831</v>
      </c>
      <c r="DS52" s="62">
        <f t="shared" si="17"/>
        <v>825.34597476535168</v>
      </c>
      <c r="DT52" s="62">
        <f ca="1">AVERAGE(OFFSET($DS$3,0,0,'Données projet'!$E$14+1,1))-AVERAGE(OFFSET($H$3,0,0,'Données projet'!$E$14+1,1))</f>
        <v>248.15263300983543</v>
      </c>
      <c r="DU52" s="62">
        <f t="shared" si="44"/>
        <v>266.46511459244618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29.354332104862397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29.354332104862397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13.93250000000001</v>
      </c>
      <c r="EJ52" s="13">
        <f>IF('Données projet'!$A$192&gt;35,EJ51+EI52-ER51,IF(A52&lt;'Données projet'!$A$192,$EG$205^A52,IF(A52='Données projet'!$A$192,'Données projet'!$B$192,EJ51+EI52-ER51)))</f>
        <v>308.92450231481479</v>
      </c>
      <c r="EK52" s="18">
        <f>EJ52*VLOOKUP('Données projet'!$B$15,Paramètres!$A$1:$I$89,3,0)*VLOOKUP('Données projet'!$B$15,Paramètres!$A$1:$I$89,5,0)</f>
        <v>207.22655615277776</v>
      </c>
      <c r="EL52" s="14">
        <f t="shared" si="45"/>
        <v>51.32905028558055</v>
      </c>
      <c r="EM52" s="22">
        <f t="shared" si="19"/>
        <v>450.31768121347403</v>
      </c>
      <c r="EN52" s="62">
        <f t="shared" si="20"/>
        <v>743.65101454680735</v>
      </c>
      <c r="EO52" s="62">
        <f ca="1">AVERAGE(OFFSET($EN$3,0,0,'Données projet'!$E$15+1,1))-AVERAGE(OFFSET($H$3,0,0,'Données projet'!$E$15+1,1))</f>
        <v>205.35893113421139</v>
      </c>
      <c r="EP52" s="62">
        <f t="shared" si="46"/>
        <v>220.4399811285175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24.749730990374182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24.749730990374182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629</v>
      </c>
      <c r="L53" s="13">
        <f>VLOOKUP(A53,'Données projet'!$A$35:$I$55,9,0)</f>
        <v>17.8</v>
      </c>
      <c r="M53" s="13">
        <f t="array" ref="M53">INDEX(L:L,MIN(IF(ISNUMBER(L53:L249),ROW(L53:L249),"")))</f>
        <v>17.8</v>
      </c>
      <c r="N53" s="14">
        <f>IF('Données projet'!$A$36&gt;35,N52+M53-V52,IF(A53&lt;'Données projet'!$A$36,$K$205^A53,IF(A53='Données projet'!$A$36,'Données projet'!$B$36,N52+M53-V52)))</f>
        <v>628.99999999999977</v>
      </c>
      <c r="O53" s="14">
        <f>N53*VLOOKUP('Données projet'!$B$9,Paramètres!$A$1:$I$89,3,0)*VLOOKUP('Données projet'!$B$9,Paramètres!$A$1:$I$89,5,0)</f>
        <v>351.61099999999988</v>
      </c>
      <c r="P53" s="14">
        <f t="shared" si="33"/>
        <v>81.89414415728541</v>
      </c>
      <c r="Q53" s="22">
        <f t="shared" si="53"/>
        <v>755.02145940727178</v>
      </c>
      <c r="R53" s="62">
        <f t="shared" si="0"/>
        <v>1048.354792740605</v>
      </c>
      <c r="S53" s="62">
        <f ca="1">AVERAGE(OFFSET($R$3,0,0,'Données projet'!$E$9+1,1))-AVERAGE(OFFSET($H$3,0,0,'Données projet'!$E$9+1,1))</f>
        <v>382.55387448074327</v>
      </c>
      <c r="T53" s="62">
        <f t="shared" si="34"/>
        <v>476.29465646955543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48</v>
      </c>
      <c r="W53" s="17">
        <f>IF(ISNA(VLOOKUP(A53,'Données projet'!$A$35:$I$55,5,0)),0%,VLOOKUP(A53,'Données projet'!$A$35:$I$55,5,0)*VLOOKUP('Données projet'!$B$9,Paramètres!$A$1:$I$89,7,0))</f>
        <v>0.38500000000000001</v>
      </c>
      <c r="X53" s="17">
        <f>IF(ISNA(VLOOKUP(A53,'Données projet'!$A$35:$I$55,6,0)),0%,VLOOKUP(A53,'Données projet'!$A$35:$I$55,6,0)*VLOOKUP('Données projet'!$B$9,Paramètres!$A$1:$I$89,7,0))</f>
        <v>9.240000000000001E-2</v>
      </c>
      <c r="Y53" s="17">
        <f>IF(ISNA(VLOOKUP(A53,'Données projet'!$A$35:$I$55,7,0)),0%,VLOOKUP(A53,'Données projet'!$A$35:$I$55,7,0))</f>
        <v>0.13200000000000001</v>
      </c>
      <c r="Z53" s="23">
        <f>EXP(-LN(2)/35)*Z52+(1-EXP(-LN(2)/35))/(LN(2)/35)*V53*W53*VLOOKUP('Données projet'!$B$9,Paramètres!$A$1:$I$89,3,0)*0.475*44/12</f>
        <v>72.64403552759839</v>
      </c>
      <c r="AA53" s="23">
        <f>EXP(-LN(2)/25)*AA52+(1-EXP(-LN(2)/25))/(LN(2)/25)*Calculateur!V53*Calculateur!X53*VLOOKUP('Données projet'!$B$9,Paramètres!$A$1:$I$89,3,0)*0.475*44/12</f>
        <v>22.287521792675662</v>
      </c>
      <c r="AB53" s="23">
        <f>EXP(-LN(2)/2)*AB52+(1-EXP(-LN(2)/2))/(LN(2)/2)*V53*Y53*VLOOKUP('Données projet'!$B$9,Paramètres!$A$1:$I$89,3,0)*0.475*44/12</f>
        <v>5.2117344417146576</v>
      </c>
      <c r="AC53" s="24">
        <f t="shared" si="3"/>
        <v>100.14329176198871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14.080000000000004</v>
      </c>
      <c r="AI53" s="14">
        <f>IF('Données projet'!$A$62&gt;35,AI52+AH53-AQ52,IF(A53&lt;'Données projet'!$A$62,$AF$205^A53,IF(A53='Données projet'!$A$62,'Données projet'!$B$62,AI52+AH53-AQ52)))</f>
        <v>447.91999999999979</v>
      </c>
      <c r="AJ53" s="14">
        <f>AI53*VLOOKUP('Données projet'!$B$10,Paramètres!$A$1:$I$89,3,0)*VLOOKUP('Données projet'!$B$10,Paramètres!$A$1:$I$89,5,0)</f>
        <v>279.50207999999986</v>
      </c>
      <c r="AK53" s="14">
        <f t="shared" si="35"/>
        <v>66.8617731740175</v>
      </c>
      <c r="AL53" s="22">
        <f t="shared" si="4"/>
        <v>603.25037761141357</v>
      </c>
      <c r="AM53" s="62">
        <f t="shared" si="5"/>
        <v>896.58371094474683</v>
      </c>
      <c r="AN53" s="62">
        <f ca="1">AVERAGE(OFFSET($AM$3,0,0,'Données projet'!$E$10+1,1))-AVERAGE(OFFSET($H$3,0,0,'Données projet'!$E$10+1,1))</f>
        <v>420.68062999212015</v>
      </c>
      <c r="AO53" s="62">
        <f t="shared" si="36"/>
        <v>655.24090633185676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117.38699149868749</v>
      </c>
      <c r="AV53" s="23">
        <f>EXP(-LN(2)/25)*AV52+(1-EXP(-LN(2)/25))/(LN(2)/25)*Calculateur!AQ53*Calculateur!AS53*VLOOKUP('Données projet'!$B$10,Paramètres!$A$1:$I$89,3,0)*0.475*44/12</f>
        <v>25.998191491218002</v>
      </c>
      <c r="AW53" s="23">
        <f>EXP(-LN(2)/2)*AW52+(1-EXP(-LN(2)/2))/(LN(2)/2)*AQ53*AT53*VLOOKUP('Données projet'!$B$10,Paramètres!$A$1:$I$89,3,0)*0.475*44/12</f>
        <v>5.7527324900267152</v>
      </c>
      <c r="AX53" s="23">
        <f t="shared" si="6"/>
        <v>149.13791547993222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2</v>
      </c>
      <c r="BD53" s="13">
        <f>IF('Données projet'!$A$88&gt;35,BD52+BC53-BL52,IF(A53&lt;'Données projet'!$A$88,$BA$205^A53,IF(A53='Données projet'!$A$88,'Données projet'!$B$88,BD52+BC53-BL52)))</f>
        <v>100</v>
      </c>
      <c r="BE53" s="14">
        <f>BD53*VLOOKUP('Données projet'!$B$11,Paramètres!$A$1:$I$89,3,0)*VLOOKUP('Données projet'!$B$11,Paramètres!$A$1:$I$89,5,0)</f>
        <v>90.47999999999999</v>
      </c>
      <c r="BF53" s="14">
        <f t="shared" si="37"/>
        <v>24.680953573367994</v>
      </c>
      <c r="BG53" s="22">
        <f t="shared" si="7"/>
        <v>200.57199414028256</v>
      </c>
      <c r="BH53" s="62">
        <f t="shared" si="8"/>
        <v>493.9053274736159</v>
      </c>
      <c r="BI53" s="62">
        <f ca="1">AVERAGE(OFFSET($BH$3,0,0,'Données projet'!$E$11+1,1))-AVERAGE(OFFSET($H$3,0,0,'Données projet'!$E$11+1,1))</f>
        <v>138.3429338270858</v>
      </c>
      <c r="BJ53" s="62">
        <f t="shared" si="38"/>
        <v>88.30225651635925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2</v>
      </c>
      <c r="BY53" s="13">
        <f>IF('Données projet'!$A$114&gt;35,BY52+BX53-CG52,IF(A53&lt;'Données projet'!$A$114,$BV$205^A53,IF(A53='Données projet'!$A$114,'Données projet'!$B$114,BY52+BX53-CG52)))</f>
        <v>100</v>
      </c>
      <c r="BZ53" s="14">
        <f>BY53*VLOOKUP('Données projet'!$B$12,Paramètres!$A$1:$I$89,3,0)*VLOOKUP('Données projet'!$B$12,Paramètres!$A$1:$I$89,5,0)</f>
        <v>84.240000000000009</v>
      </c>
      <c r="CA53" s="14">
        <f t="shared" si="39"/>
        <v>23.170749718409468</v>
      </c>
      <c r="CB53" s="22">
        <f t="shared" si="10"/>
        <v>187.07372242622981</v>
      </c>
      <c r="CC53" s="62">
        <f t="shared" si="11"/>
        <v>480.40705575956315</v>
      </c>
      <c r="CD53" s="62">
        <f ca="1">AVERAGE(OFFSET($CC$3,0,0,'Données projet'!$E$12+1,1))-AVERAGE(OFFSET($H$3,0,0,'Données projet'!$E$12+1,1))</f>
        <v>122.57815304102127</v>
      </c>
      <c r="CE53" s="62">
        <f t="shared" si="40"/>
        <v>80.106609825870578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13.93250000000001</v>
      </c>
      <c r="CT53" s="13">
        <f>IF('Données projet'!$A$140&gt;35,CT52+CS53-DB52,IF(A53&lt;'Données projet'!$A$140,$CQ$205^A53,IF(A53='Données projet'!$A$140,'Données projet'!$B$140,CT52+CS53-DB52)))</f>
        <v>322.85700231481479</v>
      </c>
      <c r="CU53" s="18">
        <f>CT53*VLOOKUP('Données projet'!$B$13,Paramètres!$A$1:$I$89,3,0)*VLOOKUP('Données projet'!$B$13,Paramètres!$A$1:$I$89,5,0)</f>
        <v>211.53590791666667</v>
      </c>
      <c r="CV53" s="14">
        <f t="shared" si="41"/>
        <v>52.271077740148982</v>
      </c>
      <c r="CW53" s="22">
        <f t="shared" si="13"/>
        <v>459.46383335228717</v>
      </c>
      <c r="CX53" s="62">
        <f t="shared" si="14"/>
        <v>752.79716668562048</v>
      </c>
      <c r="CY53" s="62">
        <f ca="1">AVERAGE(OFFSET($CX$3,0,0,'Données projet'!$E$13+1,1))-AVERAGE(OFFSET($H$3,0,0,'Données projet'!$E$13+1,1))</f>
        <v>199.99826357281154</v>
      </c>
      <c r="CZ53" s="62">
        <f t="shared" si="42"/>
        <v>214.67424457475136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19.22839551288541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19.22839551288541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13.93250000000001</v>
      </c>
      <c r="DO53" s="13">
        <f>IF('Données projet'!$A$166&gt;35,DO52+DN53-DW52,IF(A53&lt;'Données projet'!$A$166,$DL$205^A53,IF(A53='Données projet'!$A$166,'Données projet'!$B$166,DO52+DN53-DW52)))</f>
        <v>322.85700231481479</v>
      </c>
      <c r="DP53" s="18">
        <f>DO53*VLOOKUP('Données projet'!$B$14,Paramètres!$A$1:$I$89,3,0)*VLOOKUP('Données projet'!$B$14,Paramètres!$A$1:$I$89,5,0)</f>
        <v>256.86503104166667</v>
      </c>
      <c r="DQ53" s="14">
        <f t="shared" si="43"/>
        <v>62.053658199502841</v>
      </c>
      <c r="DR53" s="22">
        <f t="shared" si="16"/>
        <v>555.45005042837022</v>
      </c>
      <c r="DS53" s="62">
        <f t="shared" si="17"/>
        <v>848.78338376170359</v>
      </c>
      <c r="DT53" s="62">
        <f ca="1">AVERAGE(OFFSET($DS$3,0,0,'Données projet'!$E$14+1,1))-AVERAGE(OFFSET($H$3,0,0,'Données projet'!$E$14+1,1))</f>
        <v>248.15263300983543</v>
      </c>
      <c r="DU53" s="62">
        <f t="shared" si="44"/>
        <v>266.46511459244618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28.778711556660721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28.778711556660721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13.93250000000001</v>
      </c>
      <c r="EJ53" s="13">
        <f>IF('Données projet'!$A$192&gt;35,EJ52+EI53-ER52,IF(A53&lt;'Données projet'!$A$192,$EG$205^A53,IF(A53='Données projet'!$A$192,'Données projet'!$B$192,EJ52+EI53-ER52)))</f>
        <v>322.85700231481479</v>
      </c>
      <c r="EK53" s="18">
        <f>EJ53*VLOOKUP('Données projet'!$B$15,Paramètres!$A$1:$I$89,3,0)*VLOOKUP('Données projet'!$B$15,Paramètres!$A$1:$I$89,5,0)</f>
        <v>216.57247715277776</v>
      </c>
      <c r="EL53" s="14">
        <f t="shared" si="45"/>
        <v>53.3692511383057</v>
      </c>
      <c r="EM53" s="22">
        <f t="shared" si="19"/>
        <v>470.14851010697026</v>
      </c>
      <c r="EN53" s="62">
        <f t="shared" si="20"/>
        <v>763.48184344030358</v>
      </c>
      <c r="EO53" s="62">
        <f ca="1">AVERAGE(OFFSET($EN$3,0,0,'Données projet'!$E$15+1,1))-AVERAGE(OFFSET($H$3,0,0,'Données projet'!$E$15+1,1))</f>
        <v>205.35893113421139</v>
      </c>
      <c r="EP53" s="62">
        <f t="shared" si="46"/>
        <v>220.4399811285175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24.264403861498259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24.264403861498259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13.8</v>
      </c>
      <c r="N54" s="14">
        <f>IF('Données projet'!$A$36&gt;35,N53+M54-V53,IF(A54&lt;'Données projet'!$A$36,$K$205^A54,IF(A54='Données projet'!$A$36,'Données projet'!$B$36,N53+M54-V53)))</f>
        <v>594.79999999999973</v>
      </c>
      <c r="O54" s="14">
        <f>N54*VLOOKUP('Données projet'!$B$9,Paramètres!$A$1:$I$89,3,0)*VLOOKUP('Données projet'!$B$9,Paramètres!$A$1:$I$89,5,0)</f>
        <v>332.49319999999983</v>
      </c>
      <c r="P54" s="14">
        <f t="shared" si="33"/>
        <v>77.946984490524827</v>
      </c>
      <c r="Q54" s="22">
        <f t="shared" si="53"/>
        <v>714.84998798766367</v>
      </c>
      <c r="R54" s="62">
        <f t="shared" si="0"/>
        <v>1008.183321320997</v>
      </c>
      <c r="S54" s="62">
        <f ca="1">AVERAGE(OFFSET($R$3,0,0,'Données projet'!$E$9+1,1))-AVERAGE(OFFSET($H$3,0,0,'Données projet'!$E$9+1,1))</f>
        <v>382.55387448074327</v>
      </c>
      <c r="T54" s="62">
        <f t="shared" si="34"/>
        <v>476.29465646955543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71.219530299388765</v>
      </c>
      <c r="AA54" s="23">
        <f>EXP(-LN(2)/25)*AA53+(1-EXP(-LN(2)/25))/(LN(2)/25)*Calculateur!V54*Calculateur!X54*VLOOKUP('Données projet'!$B$9,Paramètres!$A$1:$I$89,3,0)*0.475*44/12</f>
        <v>21.678068337205115</v>
      </c>
      <c r="AB54" s="23">
        <f>EXP(-LN(2)/2)*AB53+(1-EXP(-LN(2)/2))/(LN(2)/2)*V54*Y54*VLOOKUP('Données projet'!$B$9,Paramètres!$A$1:$I$89,3,0)*0.475*44/12</f>
        <v>3.6852527654799201</v>
      </c>
      <c r="AC54" s="24">
        <f t="shared" si="3"/>
        <v>96.5828514020738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14.080000000000004</v>
      </c>
      <c r="AI54" s="14">
        <f>IF('Données projet'!$A$62&gt;35,AI53+AH54-AQ53,IF(A54&lt;'Données projet'!$A$62,$AF$205^A54,IF(A54='Données projet'!$A$62,'Données projet'!$B$62,AI53+AH54-AQ53)))</f>
        <v>461.99999999999977</v>
      </c>
      <c r="AJ54" s="14">
        <f>AI54*VLOOKUP('Données projet'!$B$10,Paramètres!$A$1:$I$89,3,0)*VLOOKUP('Données projet'!$B$10,Paramètres!$A$1:$I$89,5,0)</f>
        <v>288.28799999999984</v>
      </c>
      <c r="AK54" s="14">
        <f t="shared" si="35"/>
        <v>68.715516926722387</v>
      </c>
      <c r="AL54" s="22">
        <f t="shared" si="4"/>
        <v>621.78112531404122</v>
      </c>
      <c r="AM54" s="62">
        <f t="shared" si="5"/>
        <v>915.11445864737448</v>
      </c>
      <c r="AN54" s="62">
        <f ca="1">AVERAGE(OFFSET($AM$3,0,0,'Données projet'!$E$10+1,1))-AVERAGE(OFFSET($H$3,0,0,'Données projet'!$E$10+1,1))</f>
        <v>420.68062999212015</v>
      </c>
      <c r="AO54" s="62">
        <f t="shared" si="36"/>
        <v>655.24090633185676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115.08510419439324</v>
      </c>
      <c r="AV54" s="23">
        <f>EXP(-LN(2)/25)*AV53+(1-EXP(-LN(2)/25))/(LN(2)/25)*Calculateur!AQ54*Calculateur!AS54*VLOOKUP('Données projet'!$B$10,Paramètres!$A$1:$I$89,3,0)*0.475*44/12</f>
        <v>25.287269577705175</v>
      </c>
      <c r="AW54" s="23">
        <f>EXP(-LN(2)/2)*AW53+(1-EXP(-LN(2)/2))/(LN(2)/2)*AQ54*AT54*VLOOKUP('Données projet'!$B$10,Paramètres!$A$1:$I$89,3,0)*0.475*44/12</f>
        <v>4.0677961540500638</v>
      </c>
      <c r="AX54" s="23">
        <f t="shared" si="6"/>
        <v>144.44016992614846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</v>
      </c>
      <c r="BD54" s="13">
        <f>IF('Données projet'!$A$88&gt;35,BD53+BC54-BL53,IF(A54&lt;'Données projet'!$A$88,$BA$205^A54,IF(A54='Données projet'!$A$88,'Données projet'!$B$88,BD53+BC54-BL53)))</f>
        <v>102</v>
      </c>
      <c r="BE54" s="14">
        <f>BD54*VLOOKUP('Données projet'!$B$11,Paramètres!$A$1:$I$89,3,0)*VLOOKUP('Données projet'!$B$11,Paramètres!$A$1:$I$89,5,0)</f>
        <v>92.289599999999993</v>
      </c>
      <c r="BF54" s="14">
        <f t="shared" si="37"/>
        <v>25.116611431659546</v>
      </c>
      <c r="BG54" s="22">
        <f t="shared" si="7"/>
        <v>204.48248491014036</v>
      </c>
      <c r="BH54" s="62">
        <f t="shared" si="8"/>
        <v>497.8158182434737</v>
      </c>
      <c r="BI54" s="62">
        <f ca="1">AVERAGE(OFFSET($BH$3,0,0,'Données projet'!$E$11+1,1))-AVERAGE(OFFSET($H$3,0,0,'Données projet'!$E$11+1,1))</f>
        <v>138.3429338270858</v>
      </c>
      <c r="BJ54" s="62">
        <f t="shared" si="38"/>
        <v>88.30225651635925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2</v>
      </c>
      <c r="BY54" s="13">
        <f>IF('Données projet'!$A$114&gt;35,BY53+BX54-CG53,IF(A54&lt;'Données projet'!$A$114,$BV$205^A54,IF(A54='Données projet'!$A$114,'Données projet'!$B$114,BY53+BX54-CG53)))</f>
        <v>102</v>
      </c>
      <c r="BZ54" s="14">
        <f>BY54*VLOOKUP('Données projet'!$B$12,Paramètres!$A$1:$I$89,3,0)*VLOOKUP('Données projet'!$B$12,Paramètres!$A$1:$I$89,5,0)</f>
        <v>85.924800000000005</v>
      </c>
      <c r="CA54" s="14">
        <f t="shared" si="39"/>
        <v>23.579750090592171</v>
      </c>
      <c r="CB54" s="22">
        <f t="shared" si="10"/>
        <v>190.7204247411147</v>
      </c>
      <c r="CC54" s="62">
        <f t="shared" si="11"/>
        <v>484.05375807444801</v>
      </c>
      <c r="CD54" s="62">
        <f ca="1">AVERAGE(OFFSET($CC$3,0,0,'Données projet'!$E$12+1,1))-AVERAGE(OFFSET($H$3,0,0,'Données projet'!$E$12+1,1))</f>
        <v>122.57815304102127</v>
      </c>
      <c r="CE54" s="62">
        <f t="shared" si="40"/>
        <v>80.106609825870578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13.93250000000001</v>
      </c>
      <c r="CT54" s="13">
        <f>IF('Données projet'!$A$140&gt;35,CT53+CS54-DB53,IF(A54&lt;'Données projet'!$A$140,$CQ$205^A54,IF(A54='Données projet'!$A$140,'Données projet'!$B$140,CT53+CS54-DB53)))</f>
        <v>336.7895023148148</v>
      </c>
      <c r="CU54" s="18">
        <f>CT54*VLOOKUP('Données projet'!$B$13,Paramètres!$A$1:$I$89,3,0)*VLOOKUP('Données projet'!$B$13,Paramètres!$A$1:$I$89,5,0)</f>
        <v>220.66448191666666</v>
      </c>
      <c r="CV54" s="14">
        <f t="shared" si="41"/>
        <v>54.259282223302897</v>
      </c>
      <c r="CW54" s="22">
        <f t="shared" si="13"/>
        <v>478.82555587711357</v>
      </c>
      <c r="CX54" s="62">
        <f t="shared" si="14"/>
        <v>772.15888921044689</v>
      </c>
      <c r="CY54" s="62">
        <f ca="1">AVERAGE(OFFSET($CX$3,0,0,'Données projet'!$E$13+1,1))-AVERAGE(OFFSET($H$3,0,0,'Données projet'!$E$13+1,1))</f>
        <v>199.99826357281154</v>
      </c>
      <c r="CZ54" s="62">
        <f t="shared" si="42"/>
        <v>214.67424457475136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18.851338405040931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18.851338405040931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13.93250000000001</v>
      </c>
      <c r="DO54" s="13">
        <f>IF('Données projet'!$A$166&gt;35,DO53+DN54-DW53,IF(A54&lt;'Données projet'!$A$166,$DL$205^A54,IF(A54='Données projet'!$A$166,'Données projet'!$B$166,DO53+DN54-DW53)))</f>
        <v>336.7895023148148</v>
      </c>
      <c r="DP54" s="18">
        <f>DO54*VLOOKUP('Données projet'!$B$14,Paramètres!$A$1:$I$89,3,0)*VLOOKUP('Données projet'!$B$14,Paramètres!$A$1:$I$89,5,0)</f>
        <v>267.94972804166667</v>
      </c>
      <c r="DQ54" s="14">
        <f t="shared" si="43"/>
        <v>64.413956987327367</v>
      </c>
      <c r="DR54" s="22">
        <f t="shared" si="16"/>
        <v>578.86675142549791</v>
      </c>
      <c r="DS54" s="62">
        <f t="shared" si="17"/>
        <v>872.20008475883128</v>
      </c>
      <c r="DT54" s="62">
        <f ca="1">AVERAGE(OFFSET($DS$3,0,0,'Données projet'!$E$14+1,1))-AVERAGE(OFFSET($H$3,0,0,'Données projet'!$E$14+1,1))</f>
        <v>248.15263300983543</v>
      </c>
      <c r="DU54" s="62">
        <f t="shared" si="44"/>
        <v>266.46511459244618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28.214378576315411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28.214378576315411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13.93250000000001</v>
      </c>
      <c r="EJ54" s="13">
        <f>IF('Données projet'!$A$192&gt;35,EJ53+EI54-ER53,IF(A54&lt;'Données projet'!$A$192,$EG$205^A54,IF(A54='Données projet'!$A$192,'Données projet'!$B$192,EJ53+EI54-ER53)))</f>
        <v>336.7895023148148</v>
      </c>
      <c r="EK54" s="18">
        <f>EJ54*VLOOKUP('Données projet'!$B$15,Paramètres!$A$1:$I$89,3,0)*VLOOKUP('Données projet'!$B$15,Paramètres!$A$1:$I$89,5,0)</f>
        <v>225.9183981527778</v>
      </c>
      <c r="EL54" s="14">
        <f t="shared" si="45"/>
        <v>55.399226202207011</v>
      </c>
      <c r="EM54" s="22">
        <f t="shared" si="19"/>
        <v>489.96152908493178</v>
      </c>
      <c r="EN54" s="62">
        <f t="shared" si="20"/>
        <v>783.2948624182651</v>
      </c>
      <c r="EO54" s="62">
        <f ca="1">AVERAGE(OFFSET($EN$3,0,0,'Données projet'!$E$15+1,1))-AVERAGE(OFFSET($H$3,0,0,'Données projet'!$E$15+1,1))</f>
        <v>205.35893113421139</v>
      </c>
      <c r="EP54" s="62">
        <f t="shared" si="46"/>
        <v>220.4399811285175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23.788593701599272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23.788593701599272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13.8</v>
      </c>
      <c r="N55" s="14">
        <f>IF('Données projet'!$A$36&gt;35,N54+M55-V54,IF(A55&lt;'Données projet'!$A$36,$K$205^A55,IF(A55='Données projet'!$A$36,'Données projet'!$B$36,N54+M55-V54)))</f>
        <v>608.59999999999968</v>
      </c>
      <c r="O55" s="14">
        <f>N55*VLOOKUP('Données projet'!$B$9,Paramètres!$A$1:$I$89,3,0)*VLOOKUP('Données projet'!$B$9,Paramètres!$A$1:$I$89,5,0)</f>
        <v>340.20739999999984</v>
      </c>
      <c r="P55" s="14">
        <f t="shared" si="33"/>
        <v>79.542795053996059</v>
      </c>
      <c r="Q55" s="22">
        <f t="shared" si="53"/>
        <v>731.06492305237623</v>
      </c>
      <c r="R55" s="62">
        <f t="shared" si="0"/>
        <v>1024.3982563857096</v>
      </c>
      <c r="S55" s="62">
        <f ca="1">AVERAGE(OFFSET($R$3,0,0,'Données projet'!$E$9+1,1))-AVERAGE(OFFSET($H$3,0,0,'Données projet'!$E$9+1,1))</f>
        <v>382.55387448074327</v>
      </c>
      <c r="T55" s="62">
        <f t="shared" si="34"/>
        <v>476.29465646955543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69.822958749841931</v>
      </c>
      <c r="AA55" s="23">
        <f>EXP(-LN(2)/25)*AA54+(1-EXP(-LN(2)/25))/(LN(2)/25)*Calculateur!V55*Calculateur!X55*VLOOKUP('Données projet'!$B$9,Paramètres!$A$1:$I$89,3,0)*0.475*44/12</f>
        <v>21.085280418524174</v>
      </c>
      <c r="AB55" s="23">
        <f>EXP(-LN(2)/2)*AB54+(1-EXP(-LN(2)/2))/(LN(2)/2)*V55*Y55*VLOOKUP('Données projet'!$B$9,Paramètres!$A$1:$I$89,3,0)*0.475*44/12</f>
        <v>2.6058672208573292</v>
      </c>
      <c r="AC55" s="24">
        <f t="shared" si="3"/>
        <v>93.514106389223443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14.080000000000004</v>
      </c>
      <c r="AI55" s="14">
        <f>IF('Données projet'!$A$62&gt;35,AI54+AH55-AQ54,IF(A55&lt;'Données projet'!$A$62,$AF$205^A55,IF(A55='Données projet'!$A$62,'Données projet'!$B$62,AI54+AH55-AQ54)))</f>
        <v>476.07999999999976</v>
      </c>
      <c r="AJ55" s="14">
        <f>AI55*VLOOKUP('Données projet'!$B$10,Paramètres!$A$1:$I$89,3,0)*VLOOKUP('Données projet'!$B$10,Paramètres!$A$1:$I$89,5,0)</f>
        <v>297.07391999999982</v>
      </c>
      <c r="AK55" s="14">
        <f t="shared" si="35"/>
        <v>70.56269523226662</v>
      </c>
      <c r="AL55" s="22">
        <f t="shared" si="4"/>
        <v>640.30043819619732</v>
      </c>
      <c r="AM55" s="62">
        <f t="shared" si="5"/>
        <v>933.63377152953058</v>
      </c>
      <c r="AN55" s="62">
        <f ca="1">AVERAGE(OFFSET($AM$3,0,0,'Données projet'!$E$10+1,1))-AVERAGE(OFFSET($H$3,0,0,'Données projet'!$E$10+1,1))</f>
        <v>420.68062999212015</v>
      </c>
      <c r="AO55" s="62">
        <f t="shared" si="36"/>
        <v>655.24090633185676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112.82835549612356</v>
      </c>
      <c r="AV55" s="23">
        <f>EXP(-LN(2)/25)*AV54+(1-EXP(-LN(2)/25))/(LN(2)/25)*Calculateur!AQ55*Calculateur!AS55*VLOOKUP('Données projet'!$B$10,Paramètres!$A$1:$I$89,3,0)*0.475*44/12</f>
        <v>24.595787861303116</v>
      </c>
      <c r="AW55" s="23">
        <f>EXP(-LN(2)/2)*AW54+(1-EXP(-LN(2)/2))/(LN(2)/2)*AQ55*AT55*VLOOKUP('Données projet'!$B$10,Paramètres!$A$1:$I$89,3,0)*0.475*44/12</f>
        <v>2.876366245013358</v>
      </c>
      <c r="AX55" s="23">
        <f t="shared" si="6"/>
        <v>140.30050960244006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</v>
      </c>
      <c r="BD55" s="13">
        <f>IF('Données projet'!$A$88&gt;35,BD54+BC55-BL54,IF(A55&lt;'Données projet'!$A$88,$BA$205^A55,IF(A55='Données projet'!$A$88,'Données projet'!$B$88,BD54+BC55-BL54)))</f>
        <v>104</v>
      </c>
      <c r="BE55" s="14">
        <f>BD55*VLOOKUP('Données projet'!$B$11,Paramètres!$A$1:$I$89,3,0)*VLOOKUP('Données projet'!$B$11,Paramètres!$A$1:$I$89,5,0)</f>
        <v>94.099199999999996</v>
      </c>
      <c r="BF55" s="14">
        <f t="shared" si="37"/>
        <v>25.551276031514817</v>
      </c>
      <c r="BG55" s="22">
        <f t="shared" si="7"/>
        <v>208.39124575488827</v>
      </c>
      <c r="BH55" s="62">
        <f t="shared" si="8"/>
        <v>501.72457908822162</v>
      </c>
      <c r="BI55" s="62">
        <f ca="1">AVERAGE(OFFSET($BH$3,0,0,'Données projet'!$E$11+1,1))-AVERAGE(OFFSET($H$3,0,0,'Données projet'!$E$11+1,1))</f>
        <v>138.3429338270858</v>
      </c>
      <c r="BJ55" s="62">
        <f t="shared" si="38"/>
        <v>88.30225651635925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2</v>
      </c>
      <c r="BY55" s="13">
        <f>IF('Données projet'!$A$114&gt;35,BY54+BX55-CG54,IF(A55&lt;'Données projet'!$A$114,$BV$205^A55,IF(A55='Données projet'!$A$114,'Données projet'!$B$114,BY54+BX55-CG54)))</f>
        <v>104</v>
      </c>
      <c r="BZ55" s="14">
        <f>BY55*VLOOKUP('Données projet'!$B$12,Paramètres!$A$1:$I$89,3,0)*VLOOKUP('Données projet'!$B$12,Paramètres!$A$1:$I$89,5,0)</f>
        <v>87.609600000000015</v>
      </c>
      <c r="CA55" s="14">
        <f t="shared" si="39"/>
        <v>23.987817980868787</v>
      </c>
      <c r="CB55" s="22">
        <f t="shared" si="10"/>
        <v>194.36550298334649</v>
      </c>
      <c r="CC55" s="62">
        <f t="shared" si="11"/>
        <v>487.69883631667983</v>
      </c>
      <c r="CD55" s="62">
        <f ca="1">AVERAGE(OFFSET($CC$3,0,0,'Données projet'!$E$12+1,1))-AVERAGE(OFFSET($H$3,0,0,'Données projet'!$E$12+1,1))</f>
        <v>122.57815304102127</v>
      </c>
      <c r="CE55" s="62">
        <f t="shared" si="40"/>
        <v>80.106609825870578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13.93250000000001</v>
      </c>
      <c r="CT55" s="13">
        <f>IF('Données projet'!$A$140&gt;35,CT54+CS55-DB54,IF(A55&lt;'Données projet'!$A$140,$CQ$205^A55,IF(A55='Données projet'!$A$140,'Données projet'!$B$140,CT54+CS55-DB54)))</f>
        <v>350.7220023148148</v>
      </c>
      <c r="CU55" s="18">
        <f>CT55*VLOOKUP('Données projet'!$B$13,Paramètres!$A$1:$I$89,3,0)*VLOOKUP('Données projet'!$B$13,Paramètres!$A$1:$I$89,5,0)</f>
        <v>229.79305591666665</v>
      </c>
      <c r="CV55" s="14">
        <f t="shared" si="41"/>
        <v>56.237933038015726</v>
      </c>
      <c r="CW55" s="22">
        <f t="shared" si="13"/>
        <v>498.17063909607168</v>
      </c>
      <c r="CX55" s="62">
        <f t="shared" si="14"/>
        <v>791.50397242940494</v>
      </c>
      <c r="CY55" s="62">
        <f ca="1">AVERAGE(OFFSET($CX$3,0,0,'Données projet'!$E$13+1,1))-AVERAGE(OFFSET($H$3,0,0,'Données projet'!$E$13+1,1))</f>
        <v>199.99826357281154</v>
      </c>
      <c r="CZ55" s="62">
        <f t="shared" si="42"/>
        <v>214.67424457475136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18.481675157099154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18.481675157099154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13.93250000000001</v>
      </c>
      <c r="DO55" s="13">
        <f>IF('Données projet'!$A$166&gt;35,DO54+DN55-DW54,IF(A55&lt;'Données projet'!$A$166,$DL$205^A55,IF(A55='Données projet'!$A$166,'Données projet'!$B$166,DO54+DN55-DW54)))</f>
        <v>350.7220023148148</v>
      </c>
      <c r="DP55" s="18">
        <f>DO55*VLOOKUP('Données projet'!$B$14,Paramètres!$A$1:$I$89,3,0)*VLOOKUP('Données projet'!$B$14,Paramètres!$A$1:$I$89,5,0)</f>
        <v>279.03442504166668</v>
      </c>
      <c r="DQ55" s="14">
        <f t="shared" si="43"/>
        <v>66.762914128841388</v>
      </c>
      <c r="DR55" s="22">
        <f t="shared" si="16"/>
        <v>602.26369905530157</v>
      </c>
      <c r="DS55" s="62">
        <f t="shared" si="17"/>
        <v>895.59703238863494</v>
      </c>
      <c r="DT55" s="62">
        <f ca="1">AVERAGE(OFFSET($DS$3,0,0,'Données projet'!$E$14+1,1))-AVERAGE(OFFSET($H$3,0,0,'Données projet'!$E$14+1,1))</f>
        <v>248.15263300983543</v>
      </c>
      <c r="DU55" s="62">
        <f t="shared" si="44"/>
        <v>266.46511459244618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27.661111821505543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27.661111821505543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13.93250000000001</v>
      </c>
      <c r="EJ55" s="13">
        <f>IF('Données projet'!$A$192&gt;35,EJ54+EI55-ER54,IF(A55&lt;'Données projet'!$A$192,$EG$205^A55,IF(A55='Données projet'!$A$192,'Données projet'!$B$192,EJ54+EI55-ER54)))</f>
        <v>350.7220023148148</v>
      </c>
      <c r="EK55" s="18">
        <f>EJ55*VLOOKUP('Données projet'!$B$15,Paramètres!$A$1:$I$89,3,0)*VLOOKUP('Données projet'!$B$15,Paramètres!$A$1:$I$89,5,0)</f>
        <v>235.26431915277777</v>
      </c>
      <c r="EL55" s="14">
        <f t="shared" si="45"/>
        <v>57.419446882759672</v>
      </c>
      <c r="EM55" s="22">
        <f t="shared" si="19"/>
        <v>509.75755917856105</v>
      </c>
      <c r="EN55" s="62">
        <f t="shared" si="20"/>
        <v>803.09089251189437</v>
      </c>
      <c r="EO55" s="62">
        <f ca="1">AVERAGE(OFFSET($EN$3,0,0,'Données projet'!$E$15+1,1))-AVERAGE(OFFSET($H$3,0,0,'Données projet'!$E$15+1,1))</f>
        <v>205.35893113421139</v>
      </c>
      <c r="EP55" s="62">
        <f t="shared" si="46"/>
        <v>220.4399811285175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23.322113888720363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23.322113888720363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13.8</v>
      </c>
      <c r="N56" s="14">
        <f>IF('Données projet'!$A$36&gt;35,N55+M56-V55,IF(A56&lt;'Données projet'!$A$36,$K$205^A56,IF(A56='Données projet'!$A$36,'Données projet'!$B$36,N55+M56-V55)))</f>
        <v>622.39999999999964</v>
      </c>
      <c r="O56" s="14">
        <f>N56*VLOOKUP('Données projet'!$B$9,Paramètres!$A$1:$I$89,3,0)*VLOOKUP('Données projet'!$B$9,Paramètres!$A$1:$I$89,5,0)</f>
        <v>347.92159999999978</v>
      </c>
      <c r="P56" s="14">
        <f t="shared" si="33"/>
        <v>81.134398856989449</v>
      </c>
      <c r="Q56" s="22">
        <f t="shared" si="53"/>
        <v>747.27253134258956</v>
      </c>
      <c r="R56" s="62">
        <f t="shared" si="0"/>
        <v>1040.6058646759229</v>
      </c>
      <c r="S56" s="62">
        <f ca="1">AVERAGE(OFFSET($R$3,0,0,'Données projet'!$E$9+1,1))-AVERAGE(OFFSET($H$3,0,0,'Données projet'!$E$9+1,1))</f>
        <v>382.55387448074327</v>
      </c>
      <c r="T56" s="62">
        <f t="shared" si="34"/>
        <v>476.29465646955543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68.453773116557173</v>
      </c>
      <c r="AA56" s="23">
        <f>EXP(-LN(2)/25)*AA55+(1-EXP(-LN(2)/25))/(LN(2)/25)*Calculateur!V56*Calculateur!X56*VLOOKUP('Données projet'!$B$9,Paramètres!$A$1:$I$89,3,0)*0.475*44/12</f>
        <v>20.508702316652926</v>
      </c>
      <c r="AB56" s="23">
        <f>EXP(-LN(2)/2)*AB55+(1-EXP(-LN(2)/2))/(LN(2)/2)*V56*Y56*VLOOKUP('Données projet'!$B$9,Paramètres!$A$1:$I$89,3,0)*0.475*44/12</f>
        <v>1.8426263827399603</v>
      </c>
      <c r="AC56" s="24">
        <f t="shared" si="3"/>
        <v>90.805101815950067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14.080000000000004</v>
      </c>
      <c r="AI56" s="14">
        <f>IF('Données projet'!$A$62&gt;35,AI55+AH56-AQ55,IF(A56&lt;'Données projet'!$A$62,$AF$205^A56,IF(A56='Données projet'!$A$62,'Données projet'!$B$62,AI55+AH56-AQ55)))</f>
        <v>490.15999999999974</v>
      </c>
      <c r="AJ56" s="14">
        <f>AI56*VLOOKUP('Données projet'!$B$10,Paramètres!$A$1:$I$89,3,0)*VLOOKUP('Données projet'!$B$10,Paramètres!$A$1:$I$89,5,0)</f>
        <v>305.85983999999985</v>
      </c>
      <c r="AK56" s="14">
        <f t="shared" si="35"/>
        <v>72.403524555765557</v>
      </c>
      <c r="AL56" s="22">
        <f t="shared" si="4"/>
        <v>658.80869326795812</v>
      </c>
      <c r="AM56" s="62">
        <f t="shared" si="5"/>
        <v>952.14202660129149</v>
      </c>
      <c r="AN56" s="62">
        <f ca="1">AVERAGE(OFFSET($AM$3,0,0,'Données projet'!$E$10+1,1))-AVERAGE(OFFSET($H$3,0,0,'Données projet'!$E$10+1,1))</f>
        <v>420.68062999212015</v>
      </c>
      <c r="AO56" s="62">
        <f t="shared" si="36"/>
        <v>655.24090633185676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110.61586026334616</v>
      </c>
      <c r="AV56" s="23">
        <f>EXP(-LN(2)/25)*AV55+(1-EXP(-LN(2)/25))/(LN(2)/25)*Calculateur!AQ56*Calculateur!AS56*VLOOKUP('Données projet'!$B$10,Paramètres!$A$1:$I$89,3,0)*0.475*44/12</f>
        <v>23.923214748799513</v>
      </c>
      <c r="AW56" s="23">
        <f>EXP(-LN(2)/2)*AW55+(1-EXP(-LN(2)/2))/(LN(2)/2)*AQ56*AT56*VLOOKUP('Données projet'!$B$10,Paramètres!$A$1:$I$89,3,0)*0.475*44/12</f>
        <v>2.0338980770250319</v>
      </c>
      <c r="AX56" s="23">
        <f t="shared" si="6"/>
        <v>136.57297308917072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</v>
      </c>
      <c r="BD56" s="13">
        <f>IF('Données projet'!$A$88&gt;35,BD55+BC56-BL55,IF(A56&lt;'Données projet'!$A$88,$BA$205^A56,IF(A56='Données projet'!$A$88,'Données projet'!$B$88,BD55+BC56-BL55)))</f>
        <v>106</v>
      </c>
      <c r="BE56" s="14">
        <f>BD56*VLOOKUP('Données projet'!$B$11,Paramètres!$A$1:$I$89,3,0)*VLOOKUP('Données projet'!$B$11,Paramètres!$A$1:$I$89,5,0)</f>
        <v>95.908799999999999</v>
      </c>
      <c r="BF56" s="14">
        <f t="shared" si="37"/>
        <v>25.984968676228334</v>
      </c>
      <c r="BG56" s="22">
        <f t="shared" si="7"/>
        <v>212.29831377776432</v>
      </c>
      <c r="BH56" s="62">
        <f t="shared" si="8"/>
        <v>505.63164711109766</v>
      </c>
      <c r="BI56" s="62">
        <f ca="1">AVERAGE(OFFSET($BH$3,0,0,'Données projet'!$E$11+1,1))-AVERAGE(OFFSET($H$3,0,0,'Données projet'!$E$11+1,1))</f>
        <v>138.3429338270858</v>
      </c>
      <c r="BJ56" s="62">
        <f t="shared" si="38"/>
        <v>88.30225651635925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2</v>
      </c>
      <c r="BY56" s="13">
        <f>IF('Données projet'!$A$114&gt;35,BY55+BX56-CG55,IF(A56&lt;'Données projet'!$A$114,$BV$205^A56,IF(A56='Données projet'!$A$114,'Données projet'!$B$114,BY55+BX56-CG55)))</f>
        <v>106</v>
      </c>
      <c r="BZ56" s="14">
        <f>BY56*VLOOKUP('Données projet'!$B$12,Paramètres!$A$1:$I$89,3,0)*VLOOKUP('Données projet'!$B$12,Paramètres!$A$1:$I$89,5,0)</f>
        <v>89.29440000000001</v>
      </c>
      <c r="CA56" s="14">
        <f t="shared" si="39"/>
        <v>24.394973389005663</v>
      </c>
      <c r="CB56" s="22">
        <f t="shared" si="10"/>
        <v>198.00899198585157</v>
      </c>
      <c r="CC56" s="62">
        <f t="shared" si="11"/>
        <v>491.34232531918485</v>
      </c>
      <c r="CD56" s="62">
        <f ca="1">AVERAGE(OFFSET($CC$3,0,0,'Données projet'!$E$12+1,1))-AVERAGE(OFFSET($H$3,0,0,'Données projet'!$E$12+1,1))</f>
        <v>122.57815304102127</v>
      </c>
      <c r="CE56" s="62">
        <f t="shared" si="40"/>
        <v>80.106609825870578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13.93250000000001</v>
      </c>
      <c r="CT56" s="13">
        <f>IF('Données projet'!$A$140&gt;35,CT55+CS56-DB55,IF(A56&lt;'Données projet'!$A$140,$CQ$205^A56,IF(A56='Données projet'!$A$140,'Données projet'!$B$140,CT55+CS56-DB55)))</f>
        <v>364.65450231481481</v>
      </c>
      <c r="CU56" s="18">
        <f>CT56*VLOOKUP('Données projet'!$B$13,Paramètres!$A$1:$I$89,3,0)*VLOOKUP('Données projet'!$B$13,Paramètres!$A$1:$I$89,5,0)</f>
        <v>238.92162991666666</v>
      </c>
      <c r="CV56" s="14">
        <f t="shared" si="41"/>
        <v>58.207453130493946</v>
      </c>
      <c r="CW56" s="22">
        <f t="shared" si="13"/>
        <v>517.4998196404714</v>
      </c>
      <c r="CX56" s="62">
        <f t="shared" si="14"/>
        <v>810.83315297380477</v>
      </c>
      <c r="CY56" s="62">
        <f ca="1">AVERAGE(OFFSET($CX$3,0,0,'Données projet'!$E$13+1,1))-AVERAGE(OFFSET($H$3,0,0,'Données projet'!$E$13+1,1))</f>
        <v>199.99826357281154</v>
      </c>
      <c r="CZ56" s="62">
        <f t="shared" si="42"/>
        <v>214.67424457475136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18.119260779977196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18.119260779977196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13.93250000000001</v>
      </c>
      <c r="DO56" s="13">
        <f>IF('Données projet'!$A$166&gt;35,DO55+DN56-DW55,IF(A56&lt;'Données projet'!$A$166,$DL$205^A56,IF(A56='Données projet'!$A$166,'Données projet'!$B$166,DO55+DN56-DW55)))</f>
        <v>364.65450231481481</v>
      </c>
      <c r="DP56" s="18">
        <f>DO56*VLOOKUP('Données projet'!$B$14,Paramètres!$A$1:$I$89,3,0)*VLOOKUP('Données projet'!$B$14,Paramètres!$A$1:$I$89,5,0)</f>
        <v>290.11912204166669</v>
      </c>
      <c r="DQ56" s="14">
        <f t="shared" si="43"/>
        <v>69.101031725024427</v>
      </c>
      <c r="DR56" s="22">
        <f t="shared" si="16"/>
        <v>625.64176781032029</v>
      </c>
      <c r="DS56" s="62">
        <f t="shared" si="17"/>
        <v>918.97510114365355</v>
      </c>
      <c r="DT56" s="62">
        <f ca="1">AVERAGE(OFFSET($DS$3,0,0,'Données projet'!$E$14+1,1))-AVERAGE(OFFSET($H$3,0,0,'Données projet'!$E$14+1,1))</f>
        <v>248.15263300983543</v>
      </c>
      <c r="DU56" s="62">
        <f t="shared" si="44"/>
        <v>266.46511459244618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27.118694290298098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27.118694290298098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13.93250000000001</v>
      </c>
      <c r="EJ56" s="13">
        <f>IF('Données projet'!$A$192&gt;35,EJ55+EI56-ER55,IF(A56&lt;'Données projet'!$A$192,$EG$205^A56,IF(A56='Données projet'!$A$192,'Données projet'!$B$192,EJ55+EI56-ER55)))</f>
        <v>364.65450231481481</v>
      </c>
      <c r="EK56" s="18">
        <f>EJ56*VLOOKUP('Données projet'!$B$15,Paramètres!$A$1:$I$89,3,0)*VLOOKUP('Données projet'!$B$15,Paramètres!$A$1:$I$89,5,0)</f>
        <v>244.61024015277775</v>
      </c>
      <c r="EL56" s="14">
        <f t="shared" si="45"/>
        <v>59.430345011930463</v>
      </c>
      <c r="EM56" s="22">
        <f t="shared" si="19"/>
        <v>529.53735249520003</v>
      </c>
      <c r="EN56" s="62">
        <f t="shared" si="20"/>
        <v>822.8706858285334</v>
      </c>
      <c r="EO56" s="62">
        <f ca="1">AVERAGE(OFFSET($EN$3,0,0,'Données projet'!$E$15+1,1))-AVERAGE(OFFSET($H$3,0,0,'Données projet'!$E$15+1,1))</f>
        <v>205.35893113421139</v>
      </c>
      <c r="EP56" s="62">
        <f t="shared" si="46"/>
        <v>220.4399811285175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22.864781460447418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22.864781460447418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13.8</v>
      </c>
      <c r="N57" s="14">
        <f>IF('Données projet'!$A$36&gt;35,N56+M57-V56,IF(A57&lt;'Données projet'!$A$36,$K$205^A57,IF(A57='Données projet'!$A$36,'Données projet'!$B$36,N56+M57-V56)))</f>
        <v>636.19999999999959</v>
      </c>
      <c r="O57" s="14">
        <f>N57*VLOOKUP('Données projet'!$B$9,Paramètres!$A$1:$I$89,3,0)*VLOOKUP('Données projet'!$B$9,Paramètres!$A$1:$I$89,5,0)</f>
        <v>355.63579999999973</v>
      </c>
      <c r="P57" s="14">
        <f t="shared" si="33"/>
        <v>82.721899912765039</v>
      </c>
      <c r="Q57" s="22">
        <f t="shared" si="53"/>
        <v>763.47299401473185</v>
      </c>
      <c r="R57" s="62">
        <f t="shared" si="0"/>
        <v>1056.8063273480652</v>
      </c>
      <c r="S57" s="62">
        <f ca="1">AVERAGE(OFFSET($R$3,0,0,'Données projet'!$E$9+1,1))-AVERAGE(OFFSET($H$3,0,0,'Données projet'!$E$9+1,1))</f>
        <v>382.55387448074327</v>
      </c>
      <c r="T57" s="62">
        <f t="shared" si="34"/>
        <v>476.29465646955543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67.11143637842035</v>
      </c>
      <c r="AA57" s="23">
        <f>EXP(-LN(2)/25)*AA56+(1-EXP(-LN(2)/25))/(LN(2)/25)*Calculateur!V57*Calculateur!X57*VLOOKUP('Données projet'!$B$9,Paramètres!$A$1:$I$89,3,0)*0.475*44/12</f>
        <v>19.947890773298269</v>
      </c>
      <c r="AB57" s="23">
        <f>EXP(-LN(2)/2)*AB56+(1-EXP(-LN(2)/2))/(LN(2)/2)*V57*Y57*VLOOKUP('Données projet'!$B$9,Paramètres!$A$1:$I$89,3,0)*0.475*44/12</f>
        <v>1.3029336104286648</v>
      </c>
      <c r="AC57" s="24">
        <f t="shared" si="3"/>
        <v>88.362260762147287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504.24</v>
      </c>
      <c r="AG57" s="13">
        <f>VLOOKUP(A57,'Données projet'!$A$61:$I$81,9,0)</f>
        <v>14.080000000000004</v>
      </c>
      <c r="AH57" s="13">
        <f t="array" ref="AH57">INDEX(AG:AG,MIN(IF(ISNUMBER(AG57:AG253),ROW(AG57:AG253),"")))</f>
        <v>14.080000000000004</v>
      </c>
      <c r="AI57" s="14">
        <f>IF('Données projet'!$A$62&gt;35,AI56+AH57-AQ56,IF(A57&lt;'Données projet'!$A$62,$AF$205^A57,IF(A57='Données projet'!$A$62,'Données projet'!$B$62,AI56+AH57-AQ56)))</f>
        <v>504.23999999999972</v>
      </c>
      <c r="AJ57" s="14">
        <f>AI57*VLOOKUP('Données projet'!$B$10,Paramètres!$A$1:$I$89,3,0)*VLOOKUP('Données projet'!$B$10,Paramètres!$A$1:$I$89,5,0)</f>
        <v>314.64575999999983</v>
      </c>
      <c r="AK57" s="14">
        <f t="shared" si="35"/>
        <v>74.238208219005188</v>
      </c>
      <c r="AL57" s="22">
        <f t="shared" si="4"/>
        <v>677.30624464810035</v>
      </c>
      <c r="AM57" s="62">
        <f t="shared" si="5"/>
        <v>970.6395779814336</v>
      </c>
      <c r="AN57" s="62">
        <f ca="1">AVERAGE(OFFSET($AM$3,0,0,'Données projet'!$E$10+1,1))-AVERAGE(OFFSET($H$3,0,0,'Données projet'!$E$10+1,1))</f>
        <v>420.68062999212015</v>
      </c>
      <c r="AO57" s="62">
        <f t="shared" si="36"/>
        <v>655.24090633185676</v>
      </c>
      <c r="AP57" s="16">
        <f>IF(ISNA(VLOOKUP(A57,'Données projet'!$A$61:$I$81,3,0)),0,VLOOKUP(A57,'Données projet'!$A$61:$I$81,3,0))</f>
        <v>5</v>
      </c>
      <c r="AQ57" s="16">
        <f>IF(ISNA(VLOOKUP(A57,'Données projet'!$A$61:$I$81,4,0)),0,VLOOKUP(A57,'Données projet'!$A$61:$I$81,4,0))</f>
        <v>104.72</v>
      </c>
      <c r="AR57" s="17">
        <f>IF(ISNA(VLOOKUP(A57,'Données projet'!$A$61:$I$81,5,0)),0%,VLOOKUP(A57,'Données projet'!$A$61:$I$81,5,0)*VLOOKUP('Données projet'!$B$10,Paramètres!$A$1:$I$89,7,0))</f>
        <v>0.42</v>
      </c>
      <c r="AS57" s="17">
        <f>IF(ISNA(VLOOKUP(A57,'Données projet'!$A$61:$I$81,6,0)),0%,VLOOKUP(A57,'Données projet'!$A$61:$I$81,6,0)*VLOOKUP('Données projet'!$B$10,Paramètres!$A$1:$I$89,7,0))</f>
        <v>0.1008</v>
      </c>
      <c r="AT57" s="17">
        <f>IF(ISNA(VLOOKUP(A57,'Données projet'!$A$61:$I$81,7,0)),0%,VLOOKUP(A57,'Données projet'!$A$61:$I$81,7,0))</f>
        <v>0.13200000000000001</v>
      </c>
      <c r="AU57" s="23">
        <f>EXP(-LN(2)/35)*AU56+(1-EXP(-LN(2)/35))/(LN(2)/35)*AQ57*AR57*VLOOKUP('Données projet'!$B$10,Paramètres!$A$1:$I$89,3,0)*0.475*44/12</f>
        <v>144.85433553966729</v>
      </c>
      <c r="AV57" s="23">
        <f>EXP(-LN(2)/25)*AV56+(1-EXP(-LN(2)/25))/(LN(2)/25)*Calculateur!AQ57*Calculateur!AS57*VLOOKUP('Données projet'!$B$10,Paramètres!$A$1:$I$89,3,0)*0.475*44/12</f>
        <v>31.972449413801847</v>
      </c>
      <c r="AW57" s="23">
        <f>EXP(-LN(2)/2)*AW56+(1-EXP(-LN(2)/2))/(LN(2)/2)*AQ57*AT57*VLOOKUP('Données projet'!$B$10,Paramètres!$A$1:$I$89,3,0)*0.475*44/12</f>
        <v>11.204339941418828</v>
      </c>
      <c r="AX57" s="23">
        <f t="shared" si="6"/>
        <v>188.03112489488797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</v>
      </c>
      <c r="BD57" s="13">
        <f>IF('Données projet'!$A$88&gt;35,BD56+BC57-BL56,IF(A57&lt;'Données projet'!$A$88,$BA$205^A57,IF(A57='Données projet'!$A$88,'Données projet'!$B$88,BD56+BC57-BL56)))</f>
        <v>108</v>
      </c>
      <c r="BE57" s="14">
        <f>BD57*VLOOKUP('Données projet'!$B$11,Paramètres!$A$1:$I$89,3,0)*VLOOKUP('Données projet'!$B$11,Paramètres!$A$1:$I$89,5,0)</f>
        <v>97.718399999999988</v>
      </c>
      <c r="BF57" s="14">
        <f t="shared" si="37"/>
        <v>26.417709819192194</v>
      </c>
      <c r="BG57" s="22">
        <f t="shared" si="7"/>
        <v>216.20372460175972</v>
      </c>
      <c r="BH57" s="62">
        <f t="shared" si="8"/>
        <v>509.537057935093</v>
      </c>
      <c r="BI57" s="62">
        <f ca="1">AVERAGE(OFFSET($BH$3,0,0,'Données projet'!$E$11+1,1))-AVERAGE(OFFSET($H$3,0,0,'Données projet'!$E$11+1,1))</f>
        <v>138.3429338270858</v>
      </c>
      <c r="BJ57" s="62">
        <f t="shared" si="38"/>
        <v>88.30225651635925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2</v>
      </c>
      <c r="BY57" s="13">
        <f>IF('Données projet'!$A$114&gt;35,BY56+BX57-CG56,IF(A57&lt;'Données projet'!$A$114,$BV$205^A57,IF(A57='Données projet'!$A$114,'Données projet'!$B$114,BY56+BX57-CG56)))</f>
        <v>108</v>
      </c>
      <c r="BZ57" s="14">
        <f>BY57*VLOOKUP('Données projet'!$B$12,Paramètres!$A$1:$I$89,3,0)*VLOOKUP('Données projet'!$B$12,Paramètres!$A$1:$I$89,5,0)</f>
        <v>90.97920000000002</v>
      </c>
      <c r="CA57" s="14">
        <f t="shared" si="39"/>
        <v>24.801235516871511</v>
      </c>
      <c r="CB57" s="22">
        <f t="shared" si="10"/>
        <v>201.65092519188457</v>
      </c>
      <c r="CC57" s="62">
        <f t="shared" si="11"/>
        <v>494.98425852521791</v>
      </c>
      <c r="CD57" s="62">
        <f ca="1">AVERAGE(OFFSET($CC$3,0,0,'Données projet'!$E$12+1,1))-AVERAGE(OFFSET($H$3,0,0,'Données projet'!$E$12+1,1))</f>
        <v>122.57815304102127</v>
      </c>
      <c r="CE57" s="62">
        <f t="shared" si="40"/>
        <v>80.106609825870578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13.93250000000001</v>
      </c>
      <c r="CT57" s="13">
        <f>IF('Données projet'!$A$140&gt;35,CT56+CS57-DB56,IF(A57&lt;'Données projet'!$A$140,$CQ$205^A57,IF(A57='Données projet'!$A$140,'Données projet'!$B$140,CT56+CS57-DB56)))</f>
        <v>378.58700231481481</v>
      </c>
      <c r="CU57" s="18">
        <f>CT57*VLOOKUP('Données projet'!$B$13,Paramètres!$A$1:$I$89,3,0)*VLOOKUP('Données projet'!$B$13,Paramètres!$A$1:$I$89,5,0)</f>
        <v>248.05020391666665</v>
      </c>
      <c r="CV57" s="14">
        <f t="shared" si="41"/>
        <v>60.168231297151074</v>
      </c>
      <c r="CW57" s="22">
        <f t="shared" si="13"/>
        <v>536.81377466406582</v>
      </c>
      <c r="CX57" s="62">
        <f t="shared" si="14"/>
        <v>830.14710799739919</v>
      </c>
      <c r="CY57" s="62">
        <f ca="1">AVERAGE(OFFSET($CX$3,0,0,'Données projet'!$E$13+1,1))-AVERAGE(OFFSET($H$3,0,0,'Données projet'!$E$13+1,1))</f>
        <v>199.99826357281154</v>
      </c>
      <c r="CZ57" s="62">
        <f t="shared" si="42"/>
        <v>214.67424457475136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17.763953127739658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17.763953127739658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13.93250000000001</v>
      </c>
      <c r="DO57" s="13">
        <f>IF('Données projet'!$A$166&gt;35,DO56+DN57-DW56,IF(A57&lt;'Données projet'!$A$166,$DL$205^A57,IF(A57='Données projet'!$A$166,'Données projet'!$B$166,DO56+DN57-DW56)))</f>
        <v>378.58700231481481</v>
      </c>
      <c r="DP57" s="18">
        <f>DO57*VLOOKUP('Données projet'!$B$14,Paramètres!$A$1:$I$89,3,0)*VLOOKUP('Données projet'!$B$14,Paramètres!$A$1:$I$89,5,0)</f>
        <v>301.20381904166669</v>
      </c>
      <c r="DQ57" s="14">
        <f t="shared" si="43"/>
        <v>71.428771335897864</v>
      </c>
      <c r="DR57" s="22">
        <f t="shared" si="16"/>
        <v>649.00176157425824</v>
      </c>
      <c r="DS57" s="62">
        <f t="shared" si="17"/>
        <v>942.33509490759161</v>
      </c>
      <c r="DT57" s="62">
        <f ca="1">AVERAGE(OFFSET($DS$3,0,0,'Données projet'!$E$14+1,1))-AVERAGE(OFFSET($H$3,0,0,'Données projet'!$E$14+1,1))</f>
        <v>248.15263300983543</v>
      </c>
      <c r="DU57" s="62">
        <f t="shared" si="44"/>
        <v>266.46511459244618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26.586913236035603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26.586913236035603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13.93250000000001</v>
      </c>
      <c r="EJ57" s="13">
        <f>IF('Données projet'!$A$192&gt;35,EJ56+EI57-ER56,IF(A57&lt;'Données projet'!$A$192,$EG$205^A57,IF(A57='Données projet'!$A$192,'Données projet'!$B$192,EJ56+EI57-ER56)))</f>
        <v>378.58700231481481</v>
      </c>
      <c r="EK57" s="18">
        <f>EJ57*VLOOKUP('Données projet'!$B$15,Paramètres!$A$1:$I$89,3,0)*VLOOKUP('Données projet'!$B$15,Paramètres!$A$1:$I$89,5,0)</f>
        <v>253.95616115277778</v>
      </c>
      <c r="EL57" s="14">
        <f t="shared" si="45"/>
        <v>61.432317554433659</v>
      </c>
      <c r="EM57" s="22">
        <f t="shared" si="19"/>
        <v>549.30160041505997</v>
      </c>
      <c r="EN57" s="62">
        <f t="shared" si="20"/>
        <v>842.63493374839322</v>
      </c>
      <c r="EO57" s="62">
        <f ca="1">AVERAGE(OFFSET($EN$3,0,0,'Données projet'!$E$15+1,1))-AVERAGE(OFFSET($H$3,0,0,'Données projet'!$E$15+1,1))</f>
        <v>205.35893113421139</v>
      </c>
      <c r="EP57" s="62">
        <f t="shared" si="46"/>
        <v>220.4399811285175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22.416417042147668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22.416417042147668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650</v>
      </c>
      <c r="L58" s="13">
        <f>VLOOKUP(A58,'Données projet'!$A$35:$I$55,9,0)</f>
        <v>13.8</v>
      </c>
      <c r="M58" s="13">
        <f t="array" ref="M58">INDEX(L:L,MIN(IF(ISNUMBER(L58:L254),ROW(L58:L254),"")))</f>
        <v>13.8</v>
      </c>
      <c r="N58" s="14">
        <f>IF('Données projet'!$A$36&gt;35,N57+M58-V57,IF(A58&lt;'Données projet'!$A$36,$K$205^A58,IF(A58='Données projet'!$A$36,'Données projet'!$B$36,N57+M58-V57)))</f>
        <v>649.99999999999955</v>
      </c>
      <c r="O58" s="14">
        <f>N58*VLOOKUP('Données projet'!$B$9,Paramètres!$A$1:$I$89,3,0)*VLOOKUP('Données projet'!$B$9,Paramètres!$A$1:$I$89,5,0)</f>
        <v>363.34999999999974</v>
      </c>
      <c r="P58" s="14">
        <f t="shared" si="33"/>
        <v>84.305397464498199</v>
      </c>
      <c r="Q58" s="22">
        <f t="shared" si="53"/>
        <v>779.66648391733395</v>
      </c>
      <c r="R58" s="62">
        <f t="shared" si="0"/>
        <v>1072.9998172506673</v>
      </c>
      <c r="S58" s="62">
        <f ca="1">AVERAGE(OFFSET($R$3,0,0,'Données projet'!$E$9+1,1))-AVERAGE(OFFSET($H$3,0,0,'Données projet'!$E$9+1,1))</f>
        <v>382.55387448074327</v>
      </c>
      <c r="T58" s="62">
        <f t="shared" si="34"/>
        <v>476.29465646955543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35</v>
      </c>
      <c r="W58" s="17">
        <f>IF(ISNA(VLOOKUP(A58,'Données projet'!$A$35:$I$55,5,0)),0%,VLOOKUP(A58,'Données projet'!$A$35:$I$55,5,0)*VLOOKUP('Données projet'!$B$9,Paramètres!$A$1:$I$89,7,0))</f>
        <v>0.38500000000000001</v>
      </c>
      <c r="X58" s="17">
        <f>IF(ISNA(VLOOKUP(A58,'Données projet'!$A$35:$I$55,6,0)),0%,VLOOKUP(A58,'Données projet'!$A$35:$I$55,6,0)*VLOOKUP('Données projet'!$B$9,Paramètres!$A$1:$I$89,7,0))</f>
        <v>9.240000000000001E-2</v>
      </c>
      <c r="Y58" s="17">
        <f>IF(ISNA(VLOOKUP(A58,'Données projet'!$A$35:$I$55,7,0)),0%,VLOOKUP(A58,'Données projet'!$A$35:$I$55,7,0))</f>
        <v>0.13200000000000001</v>
      </c>
      <c r="Z58" s="23">
        <f>EXP(-LN(2)/35)*Z57+(1-EXP(-LN(2)/35))/(LN(2)/35)*V58*W58*VLOOKUP('Données projet'!$B$9,Paramètres!$A$1:$I$89,3,0)*0.475*44/12</f>
        <v>75.787801969683557</v>
      </c>
      <c r="AA58" s="23">
        <f>EXP(-LN(2)/25)*AA57+(1-EXP(-LN(2)/25))/(LN(2)/25)*Calculateur!V58*Calculateur!X58*VLOOKUP('Données projet'!$B$9,Paramètres!$A$1:$I$89,3,0)*0.475*44/12</f>
        <v>21.791143319300659</v>
      </c>
      <c r="AB58" s="23">
        <f>EXP(-LN(2)/2)*AB57+(1-EXP(-LN(2)/2))/(LN(2)/2)*V58*Y58*VLOOKUP('Données projet'!$B$9,Paramètres!$A$1:$I$89,3,0)*0.475*44/12</f>
        <v>3.8453936783158809</v>
      </c>
      <c r="AC58" s="24">
        <f t="shared" si="3"/>
        <v>101.4243389673001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11.73333333333334</v>
      </c>
      <c r="AI58" s="14">
        <f>IF('Données projet'!$A$62&gt;35,AI57+AH58-AQ57,IF(A58&lt;'Données projet'!$A$62,$AF$205^A58,IF(A58='Données projet'!$A$62,'Données projet'!$B$62,AI57+AH58-AQ57)))</f>
        <v>411.25333333333299</v>
      </c>
      <c r="AJ58" s="14">
        <f>AI58*VLOOKUP('Données projet'!$B$10,Paramètres!$A$1:$I$89,3,0)*VLOOKUP('Données projet'!$B$10,Paramètres!$A$1:$I$89,5,0)</f>
        <v>256.62207999999981</v>
      </c>
      <c r="AK58" s="14">
        <f t="shared" si="35"/>
        <v>62.001794822486389</v>
      </c>
      <c r="AL58" s="22">
        <f t="shared" si="4"/>
        <v>554.9365819824967</v>
      </c>
      <c r="AM58" s="62">
        <f t="shared" si="5"/>
        <v>848.26991531583008</v>
      </c>
      <c r="AN58" s="62">
        <f ca="1">AVERAGE(OFFSET($AM$3,0,0,'Données projet'!$E$10+1,1))-AVERAGE(OFFSET($H$3,0,0,'Données projet'!$E$10+1,1))</f>
        <v>420.68062999212015</v>
      </c>
      <c r="AO58" s="62">
        <f t="shared" si="36"/>
        <v>655.24090633185676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142.01383037215501</v>
      </c>
      <c r="AV58" s="23">
        <f>EXP(-LN(2)/25)*AV57+(1-EXP(-LN(2)/25))/(LN(2)/25)*Calculateur!AQ58*Calculateur!AS58*VLOOKUP('Données projet'!$B$10,Paramètres!$A$1:$I$89,3,0)*0.475*44/12</f>
        <v>31.098161103223394</v>
      </c>
      <c r="AW58" s="23">
        <f>EXP(-LN(2)/2)*AW57+(1-EXP(-LN(2)/2))/(LN(2)/2)*AQ58*AT58*VLOOKUP('Données projet'!$B$10,Paramètres!$A$1:$I$89,3,0)*0.475*44/12</f>
        <v>7.9226647512965389</v>
      </c>
      <c r="AX58" s="23">
        <f t="shared" si="6"/>
        <v>181.03465622667494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</v>
      </c>
      <c r="BD58" s="13">
        <f>IF('Données projet'!$A$88&gt;35,BD57+BC58-BL57,IF(A58&lt;'Données projet'!$A$88,$BA$205^A58,IF(A58='Données projet'!$A$88,'Données projet'!$B$88,BD57+BC58-BL57)))</f>
        <v>110</v>
      </c>
      <c r="BE58" s="14">
        <f>BD58*VLOOKUP('Données projet'!$B$11,Paramètres!$A$1:$I$89,3,0)*VLOOKUP('Données projet'!$B$11,Paramètres!$A$1:$I$89,5,0)</f>
        <v>99.528000000000006</v>
      </c>
      <c r="BF58" s="14">
        <f t="shared" si="37"/>
        <v>26.849519112903323</v>
      </c>
      <c r="BG58" s="22">
        <f t="shared" si="7"/>
        <v>220.10751245497329</v>
      </c>
      <c r="BH58" s="62">
        <f t="shared" si="8"/>
        <v>513.44084578830666</v>
      </c>
      <c r="BI58" s="62">
        <f ca="1">AVERAGE(OFFSET($BH$3,0,0,'Données projet'!$E$11+1,1))-AVERAGE(OFFSET($H$3,0,0,'Données projet'!$E$11+1,1))</f>
        <v>138.3429338270858</v>
      </c>
      <c r="BJ58" s="62">
        <f t="shared" si="38"/>
        <v>88.30225651635925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2</v>
      </c>
      <c r="BY58" s="13">
        <f>IF('Données projet'!$A$114&gt;35,BY57+BX58-CG57,IF(A58&lt;'Données projet'!$A$114,$BV$205^A58,IF(A58='Données projet'!$A$114,'Données projet'!$B$114,BY57+BX58-CG57)))</f>
        <v>110</v>
      </c>
      <c r="BZ58" s="14">
        <f>BY58*VLOOKUP('Données projet'!$B$12,Paramètres!$A$1:$I$89,3,0)*VLOOKUP('Données projet'!$B$12,Paramètres!$A$1:$I$89,5,0)</f>
        <v>92.664000000000016</v>
      </c>
      <c r="CA58" s="14">
        <f t="shared" si="39"/>
        <v>25.206622814445772</v>
      </c>
      <c r="CB58" s="22">
        <f t="shared" si="10"/>
        <v>205.29133473515978</v>
      </c>
      <c r="CC58" s="62">
        <f t="shared" si="11"/>
        <v>498.62466806849307</v>
      </c>
      <c r="CD58" s="62">
        <f ca="1">AVERAGE(OFFSET($CC$3,0,0,'Données projet'!$E$12+1,1))-AVERAGE(OFFSET($H$3,0,0,'Données projet'!$E$12+1,1))</f>
        <v>122.57815304102127</v>
      </c>
      <c r="CE58" s="62">
        <f t="shared" si="40"/>
        <v>80.106609825870578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392.51950231481487</v>
      </c>
      <c r="CR58" s="13">
        <f>VLOOKUP(A58,'Données projet'!$A$139:$I$159,9,0)</f>
        <v>13.93250000000001</v>
      </c>
      <c r="CS58" s="13">
        <f t="array" ref="CS58">INDEX(CR:CR,MIN(IF(ISNUMBER(CR58:CR254),ROW(CR58:CR254),"")))</f>
        <v>13.93250000000001</v>
      </c>
      <c r="CT58" s="13">
        <f>IF('Données projet'!$A$140&gt;35,CT57+CS58-DB57,IF(A58&lt;'Données projet'!$A$140,$CQ$205^A58,IF(A58='Données projet'!$A$140,'Données projet'!$B$140,CT57+CS58-DB57)))</f>
        <v>392.51950231481482</v>
      </c>
      <c r="CU58" s="18">
        <f>CT58*VLOOKUP('Données projet'!$B$13,Paramètres!$A$1:$I$89,3,0)*VLOOKUP('Données projet'!$B$13,Paramètres!$A$1:$I$89,5,0)</f>
        <v>257.17877791666666</v>
      </c>
      <c r="CV58" s="14">
        <f t="shared" si="41"/>
        <v>62.120626096419947</v>
      </c>
      <c r="CW58" s="22">
        <f t="shared" si="13"/>
        <v>556.1131286561257</v>
      </c>
      <c r="CX58" s="62">
        <f t="shared" si="14"/>
        <v>849.44646198945907</v>
      </c>
      <c r="CY58" s="62">
        <f ca="1">AVERAGE(OFFSET($CX$3,0,0,'Données projet'!$E$13+1,1))-AVERAGE(OFFSET($H$3,0,0,'Données projet'!$E$13+1,1))</f>
        <v>199.99826357281154</v>
      </c>
      <c r="CZ58" s="62">
        <f t="shared" si="42"/>
        <v>214.67424457475136</v>
      </c>
      <c r="DA58" s="16" t="str">
        <f>IF(ISNA(VLOOKUP(A58,'Données projet'!$A$139:$I$159,3,0)),0,VLOOKUP(A58,'Données projet'!$A$139:$I$159,3,0))</f>
        <v>CR</v>
      </c>
      <c r="DB58" s="16">
        <f>IF(ISNA(VLOOKUP(A58,'Données projet'!$A$139:$I$159,4,0)),0,VLOOKUP(A58,'Données projet'!$A$139:$I$159,4,0))</f>
        <v>392.51950231481487</v>
      </c>
      <c r="DC58" s="17">
        <f>IF(ISNA(VLOOKUP(A58,'Données projet'!$A$139:$I$159,5,0)),0%,VLOOKUP(A58,'Données projet'!$A$139:$I$159,5,0)*VLOOKUP('Données projet'!$B$13,Paramètres!$A$1:$I$89,7,0))</f>
        <v>0.30099999999999999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102.99097273248493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102.99097273248493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392.51950231481487</v>
      </c>
      <c r="DM58" s="13">
        <f>VLOOKUP(A58,'Données projet'!$A$165:$I$185,9,0)</f>
        <v>13.93250000000001</v>
      </c>
      <c r="DN58" s="13">
        <f t="array" ref="DN58">INDEX(DM:DM,MIN(IF(ISNUMBER(DM58:DM254),ROW(DM58:DM254),"")))</f>
        <v>13.93250000000001</v>
      </c>
      <c r="DO58" s="13">
        <f>IF('Données projet'!$A$166&gt;35,DO57+DN58-DW57,IF(A58&lt;'Données projet'!$A$166,$DL$205^A58,IF(A58='Données projet'!$A$166,'Données projet'!$B$166,DO57+DN58-DW57)))</f>
        <v>392.51950231481482</v>
      </c>
      <c r="DP58" s="18">
        <f>DO58*VLOOKUP('Données projet'!$B$14,Paramètres!$A$1:$I$89,3,0)*VLOOKUP('Données projet'!$B$14,Paramètres!$A$1:$I$89,5,0)</f>
        <v>312.2885160416667</v>
      </c>
      <c r="DQ58" s="14">
        <f t="shared" si="43"/>
        <v>73.746558624436219</v>
      </c>
      <c r="DR58" s="22">
        <f t="shared" si="16"/>
        <v>672.34442171012915</v>
      </c>
      <c r="DS58" s="62">
        <f t="shared" si="17"/>
        <v>965.67775504346241</v>
      </c>
      <c r="DT58" s="62">
        <f ca="1">AVERAGE(OFFSET($DS$3,0,0,'Données projet'!$E$14+1,1))-AVERAGE(OFFSET($H$3,0,0,'Données projet'!$E$14+1,1))</f>
        <v>248.15263300983543</v>
      </c>
      <c r="DU58" s="62">
        <f t="shared" si="44"/>
        <v>266.46511459244618</v>
      </c>
      <c r="DV58" s="16" t="str">
        <f>IF(ISNA(VLOOKUP(A58,'Données projet'!$A$165:$I$185,3,0)),0,VLOOKUP(A58,'Données projet'!$A$165:$I$185,3,0))</f>
        <v>CR</v>
      </c>
      <c r="DW58" s="16">
        <f>IF(ISNA(VLOOKUP(A58,'Données projet'!$A$165:$I$185,4,0)),0,VLOOKUP(A58,'Données projet'!$A$165:$I$185,4,0))</f>
        <v>392.51950231481487</v>
      </c>
      <c r="DX58" s="17">
        <f>IF(ISNA(VLOOKUP(A58,'Données projet'!$A$165:$I$185,5,0)),0%,VLOOKUP(A58,'Données projet'!$A$165:$I$185,5,0)*VLOOKUP('Données projet'!$B$14,Paramètres!$A$1:$I$89,7,0))</f>
        <v>0.371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154.1442963986195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154.1442963986195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392.51950231481487</v>
      </c>
      <c r="EH58" s="13">
        <f>VLOOKUP(A58,'Données projet'!$A$191:$I$211,9,0)</f>
        <v>13.93250000000001</v>
      </c>
      <c r="EI58" s="13">
        <f t="array" ref="EI58">INDEX(EH:EH,MIN(IF(ISNUMBER(EH58:EH254),ROW(EH58:EH254),"")))</f>
        <v>13.93250000000001</v>
      </c>
      <c r="EJ58" s="13">
        <f>IF('Données projet'!$A$192&gt;35,EJ57+EI58-ER57,IF(A58&lt;'Données projet'!$A$192,$EG$205^A58,IF(A58='Données projet'!$A$192,'Données projet'!$B$192,EJ57+EI58-ER57)))</f>
        <v>392.51950231481482</v>
      </c>
      <c r="EK58" s="18">
        <f>EJ58*VLOOKUP('Données projet'!$B$15,Paramètres!$A$1:$I$89,3,0)*VLOOKUP('Données projet'!$B$15,Paramètres!$A$1:$I$89,5,0)</f>
        <v>263.30208215277776</v>
      </c>
      <c r="EL58" s="14">
        <f t="shared" si="45"/>
        <v>63.425730601727153</v>
      </c>
      <c r="EM58" s="22">
        <f t="shared" si="19"/>
        <v>569.05094054742926</v>
      </c>
      <c r="EN58" s="62">
        <f t="shared" si="20"/>
        <v>862.38427388076252</v>
      </c>
      <c r="EO58" s="62">
        <f ca="1">AVERAGE(OFFSET($EN$3,0,0,'Données projet'!$E$15+1,1))-AVERAGE(OFFSET($H$3,0,0,'Données projet'!$E$15+1,1))</f>
        <v>205.35893113421139</v>
      </c>
      <c r="EP58" s="62">
        <f t="shared" si="46"/>
        <v>220.4399811285175</v>
      </c>
      <c r="EQ58" s="16" t="str">
        <f>IF(ISNA(VLOOKUP(A58,'Données projet'!$A$191:$I$211,3,0)),0,VLOOKUP(A58,'Données projet'!$A$191:$I$211,3,0))</f>
        <v>CR</v>
      </c>
      <c r="ER58" s="16">
        <f>IF(ISNA(VLOOKUP(A58,'Données projet'!$A$191:$I$211,4,0)),0,VLOOKUP(A58,'Données projet'!$A$191:$I$211,4,0))</f>
        <v>392.51950231481487</v>
      </c>
      <c r="ES58" s="17">
        <f>IF(ISNA(VLOOKUP(A58,'Données projet'!$A$191:$I$211,5,0)),0%,VLOOKUP(A58,'Données projet'!$A$191:$I$211,5,0)*VLOOKUP('Données projet'!$B$15,Paramètres!$A$1:$I$89,7,0))</f>
        <v>0.371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129.96479892432623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129.96479892432623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10.199999999999999</v>
      </c>
      <c r="N59" s="14">
        <f>IF('Données projet'!$A$36&gt;35,N58+M59-V58,IF(A59&lt;'Données projet'!$A$36,$K$205^A59,IF(A59='Données projet'!$A$36,'Données projet'!$B$36,N58+M59-V58)))</f>
        <v>625.19999999999959</v>
      </c>
      <c r="O59" s="14">
        <f>N59*VLOOKUP('Données projet'!$B$9,Paramètres!$A$1:$I$89,3,0)*VLOOKUP('Données projet'!$B$9,Paramètres!$A$1:$I$89,5,0)</f>
        <v>349.48679999999979</v>
      </c>
      <c r="P59" s="14">
        <f t="shared" si="33"/>
        <v>81.45682900536228</v>
      </c>
      <c r="Q59" s="22">
        <f t="shared" si="53"/>
        <v>750.56015385100557</v>
      </c>
      <c r="R59" s="62">
        <f t="shared" si="0"/>
        <v>1043.8934871843389</v>
      </c>
      <c r="S59" s="62">
        <f ca="1">AVERAGE(OFFSET($R$3,0,0,'Données projet'!$E$9+1,1))-AVERAGE(OFFSET($H$3,0,0,'Données projet'!$E$9+1,1))</f>
        <v>382.55387448074327</v>
      </c>
      <c r="T59" s="62">
        <f t="shared" si="34"/>
        <v>476.29465646955543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74.30164939905282</v>
      </c>
      <c r="AA59" s="23">
        <f>EXP(-LN(2)/25)*AA58+(1-EXP(-LN(2)/25))/(LN(2)/25)*Calculateur!V59*Calculateur!X59*VLOOKUP('Données projet'!$B$9,Paramètres!$A$1:$I$89,3,0)*0.475*44/12</f>
        <v>21.19526335928796</v>
      </c>
      <c r="AB59" s="23">
        <f>EXP(-LN(2)/2)*AB58+(1-EXP(-LN(2)/2))/(LN(2)/2)*V59*Y59*VLOOKUP('Données projet'!$B$9,Paramètres!$A$1:$I$89,3,0)*0.475*44/12</f>
        <v>2.719103946269041</v>
      </c>
      <c r="AC59" s="24">
        <f t="shared" si="3"/>
        <v>98.216016704609828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11.73333333333334</v>
      </c>
      <c r="AI59" s="14">
        <f>IF('Données projet'!$A$62&gt;35,AI58+AH59-AQ58,IF(A59&lt;'Données projet'!$A$62,$AF$205^A59,IF(A59='Données projet'!$A$62,'Données projet'!$B$62,AI58+AH59-AQ58)))</f>
        <v>422.98666666666634</v>
      </c>
      <c r="AJ59" s="14">
        <f>AI59*VLOOKUP('Données projet'!$B$10,Paramètres!$A$1:$I$89,3,0)*VLOOKUP('Données projet'!$B$10,Paramètres!$A$1:$I$89,5,0)</f>
        <v>263.9436799999998</v>
      </c>
      <c r="AK59" s="14">
        <f t="shared" si="35"/>
        <v>63.56227322772984</v>
      </c>
      <c r="AL59" s="22">
        <f t="shared" si="4"/>
        <v>570.40620187162915</v>
      </c>
      <c r="AM59" s="62">
        <f t="shared" si="5"/>
        <v>863.73953520496252</v>
      </c>
      <c r="AN59" s="62">
        <f ca="1">AVERAGE(OFFSET($AM$3,0,0,'Données projet'!$E$10+1,1))-AVERAGE(OFFSET($H$3,0,0,'Données projet'!$E$10+1,1))</f>
        <v>420.68062999212015</v>
      </c>
      <c r="AO59" s="62">
        <f t="shared" si="36"/>
        <v>655.24090633185676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139.22902577844059</v>
      </c>
      <c r="AV59" s="23">
        <f>EXP(-LN(2)/25)*AV58+(1-EXP(-LN(2)/25))/(LN(2)/25)*Calculateur!AQ59*Calculateur!AS59*VLOOKUP('Données projet'!$B$10,Paramètres!$A$1:$I$89,3,0)*0.475*44/12</f>
        <v>30.247780252474534</v>
      </c>
      <c r="AW59" s="23">
        <f>EXP(-LN(2)/2)*AW58+(1-EXP(-LN(2)/2))/(LN(2)/2)*AQ59*AT59*VLOOKUP('Données projet'!$B$10,Paramètres!$A$1:$I$89,3,0)*0.475*44/12</f>
        <v>5.602169970709415</v>
      </c>
      <c r="AX59" s="23">
        <f t="shared" si="6"/>
        <v>175.07897600162454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112</v>
      </c>
      <c r="BB59" s="13">
        <f>VLOOKUP(A59,'Données projet'!$A$87:$I$107,9,0)</f>
        <v>2</v>
      </c>
      <c r="BC59" s="13">
        <f t="array" ref="BC59">INDEX(BB:BB,MIN(IF(ISNUMBER(BB59:BB255),ROW(BB59:BB255),"")))</f>
        <v>2</v>
      </c>
      <c r="BD59" s="13">
        <f>IF('Données projet'!$A$88&gt;35,BD58+BC59-BL58,IF(A59&lt;'Données projet'!$A$88,$BA$205^A59,IF(A59='Données projet'!$A$88,'Données projet'!$B$88,BD58+BC59-BL58)))</f>
        <v>112</v>
      </c>
      <c r="BE59" s="14">
        <f>BD59*VLOOKUP('Données projet'!$B$11,Paramètres!$A$1:$I$89,3,0)*VLOOKUP('Données projet'!$B$11,Paramètres!$A$1:$I$89,5,0)</f>
        <v>101.33759999999999</v>
      </c>
      <c r="BF59" s="14">
        <f t="shared" si="37"/>
        <v>27.280415454305565</v>
      </c>
      <c r="BG59" s="22">
        <f t="shared" si="7"/>
        <v>224.00971024958213</v>
      </c>
      <c r="BH59" s="62">
        <f t="shared" si="8"/>
        <v>517.34304358291547</v>
      </c>
      <c r="BI59" s="62">
        <f ca="1">AVERAGE(OFFSET($BH$3,0,0,'Données projet'!$E$11+1,1))-AVERAGE(OFFSET($H$3,0,0,'Données projet'!$E$11+1,1))</f>
        <v>138.3429338270858</v>
      </c>
      <c r="BJ59" s="62">
        <f t="shared" si="38"/>
        <v>88.30225651635925</v>
      </c>
      <c r="BK59" s="16">
        <f>IF(ISNA(VLOOKUP(A59,'Données projet'!$A$87:$I$107,3,0)),0,VLOOKUP(A59,'Données projet'!$A$87:$I$107,3,0))</f>
        <v>1</v>
      </c>
      <c r="BL59" s="16">
        <f>IF(ISNA(VLOOKUP(A59,'Données projet'!$A$87:$I$107,4,0)),0,VLOOKUP(A59,'Données projet'!$A$87:$I$107,4,0))</f>
        <v>33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>
        <f>VLOOKUP(A59,'Données projet'!$A$113:$I$133,2,0)</f>
        <v>112</v>
      </c>
      <c r="BW59" s="13">
        <f>VLOOKUP(A59,'Données projet'!$A$113:$I$133,9,0)</f>
        <v>2</v>
      </c>
      <c r="BX59" s="13">
        <f t="array" ref="BX59">INDEX(BW:BW,MIN(IF(ISNUMBER(BW59:BW255),ROW(BW59:BW255),"")))</f>
        <v>2</v>
      </c>
      <c r="BY59" s="13">
        <f>IF('Données projet'!$A$114&gt;35,BY58+BX59-CG58,IF(A59&lt;'Données projet'!$A$114,$BV$205^A59,IF(A59='Données projet'!$A$114,'Données projet'!$B$114,BY58+BX59-CG58)))</f>
        <v>112</v>
      </c>
      <c r="BZ59" s="14">
        <f>BY59*VLOOKUP('Données projet'!$B$12,Paramètres!$A$1:$I$89,3,0)*VLOOKUP('Données projet'!$B$12,Paramètres!$A$1:$I$89,5,0)</f>
        <v>94.348800000000011</v>
      </c>
      <c r="CA59" s="14">
        <f t="shared" si="39"/>
        <v>25.611153022386461</v>
      </c>
      <c r="CB59" s="22">
        <f t="shared" si="10"/>
        <v>208.93025151398976</v>
      </c>
      <c r="CC59" s="62">
        <f t="shared" si="11"/>
        <v>502.26358484732305</v>
      </c>
      <c r="CD59" s="62">
        <f ca="1">AVERAGE(OFFSET($CC$3,0,0,'Données projet'!$E$12+1,1))-AVERAGE(OFFSET($H$3,0,0,'Données projet'!$E$12+1,1))</f>
        <v>122.57815304102127</v>
      </c>
      <c r="CE59" s="62">
        <f t="shared" si="40"/>
        <v>80.106609825870578</v>
      </c>
      <c r="CF59" s="16">
        <f>IF(ISNA(VLOOKUP(A59,'Données projet'!$A$113:$I$133,3,0)),0,VLOOKUP(A59,'Données projet'!$A$113:$I$133,3,0))</f>
        <v>1</v>
      </c>
      <c r="CG59" s="16">
        <f>IF(ISNA(VLOOKUP(A59,'Données projet'!$A$113:$I$133,4,0)),0,VLOOKUP(A59,'Données projet'!$A$113:$I$133,4,0))</f>
        <v>33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-5.6843418860808015E-14</v>
      </c>
      <c r="CU59" s="18">
        <f>CT59*VLOOKUP('Données projet'!$B$13,Paramètres!$A$1:$I$89,3,0)*VLOOKUP('Données projet'!$B$13,Paramètres!$A$1:$I$89,5,0)</f>
        <v>-3.7243808037601412E-14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199.99826357281154</v>
      </c>
      <c r="CZ59" s="62">
        <f t="shared" si="42"/>
        <v>214.67424457475136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100.97138257549148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100.97138257549148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-5.6843418860808015E-14</v>
      </c>
      <c r="DP59" s="18">
        <f>DO59*VLOOKUP('Données projet'!$B$14,Paramètres!$A$1:$I$89,3,0)*VLOOKUP('Données projet'!$B$14,Paramètres!$A$1:$I$89,5,0)</f>
        <v>-4.5224624045658861E-14</v>
      </c>
      <c r="DQ59" s="14" t="e">
        <f t="shared" si="43"/>
        <v>#NUM!</v>
      </c>
      <c r="DR59" s="22" t="e">
        <f t="shared" si="16"/>
        <v>#NUM!</v>
      </c>
      <c r="DS59" s="62" t="e">
        <f t="shared" si="17"/>
        <v>#NUM!</v>
      </c>
      <c r="DT59" s="62">
        <f ca="1">AVERAGE(OFFSET($DS$3,0,0,'Données projet'!$E$14+1,1))-AVERAGE(OFFSET($H$3,0,0,'Données projet'!$E$14+1,1))</f>
        <v>248.15263300983543</v>
      </c>
      <c r="DU59" s="62">
        <f t="shared" si="44"/>
        <v>266.46511459244618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151.12162076497981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151.12162076497981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-5.6843418860808015E-14</v>
      </c>
      <c r="EK59" s="18">
        <f>EJ59*VLOOKUP('Données projet'!$B$15,Paramètres!$A$1:$I$89,3,0)*VLOOKUP('Données projet'!$B$15,Paramètres!$A$1:$I$89,5,0)</f>
        <v>-3.813056537183002E-14</v>
      </c>
      <c r="EL59" s="14" t="e">
        <f t="shared" si="45"/>
        <v>#NUM!</v>
      </c>
      <c r="EM59" s="22" t="e">
        <f t="shared" si="19"/>
        <v>#NUM!</v>
      </c>
      <c r="EN59" s="62" t="e">
        <f t="shared" si="20"/>
        <v>#NUM!</v>
      </c>
      <c r="EO59" s="62">
        <f ca="1">AVERAGE(OFFSET($EN$3,0,0,'Données projet'!$E$15+1,1))-AVERAGE(OFFSET($H$3,0,0,'Données projet'!$E$15+1,1))</f>
        <v>205.35893113421139</v>
      </c>
      <c r="EP59" s="62">
        <f t="shared" si="46"/>
        <v>220.4399811285175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127.41626848812021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127.41626848812021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10.199999999999999</v>
      </c>
      <c r="N60" s="14">
        <f>IF('Données projet'!$A$36&gt;35,N59+M60-V59,IF(A60&lt;'Données projet'!$A$36,$K$205^A60,IF(A60='Données projet'!$A$36,'Données projet'!$B$36,N59+M60-V59)))</f>
        <v>635.39999999999964</v>
      </c>
      <c r="O60" s="14">
        <f>N60*VLOOKUP('Données projet'!$B$9,Paramètres!$A$1:$I$89,3,0)*VLOOKUP('Données projet'!$B$9,Paramètres!$A$1:$I$89,5,0)</f>
        <v>355.18859999999984</v>
      </c>
      <c r="P60" s="14">
        <f t="shared" si="33"/>
        <v>82.629981116726043</v>
      </c>
      <c r="Q60" s="22">
        <f t="shared" si="53"/>
        <v>762.53402877829774</v>
      </c>
      <c r="R60" s="62">
        <f t="shared" si="0"/>
        <v>1055.8673621116311</v>
      </c>
      <c r="S60" s="62">
        <f ca="1">AVERAGE(OFFSET($R$3,0,0,'Données projet'!$E$9+1,1))-AVERAGE(OFFSET($H$3,0,0,'Données projet'!$E$9+1,1))</f>
        <v>382.55387448074327</v>
      </c>
      <c r="T60" s="62">
        <f t="shared" si="34"/>
        <v>476.29465646955543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72.844639373868603</v>
      </c>
      <c r="AA60" s="23">
        <f>EXP(-LN(2)/25)*AA59+(1-EXP(-LN(2)/25))/(LN(2)/25)*Calculateur!V60*Calculateur!X60*VLOOKUP('Données projet'!$B$9,Paramètres!$A$1:$I$89,3,0)*0.475*44/12</f>
        <v>20.615677768117774</v>
      </c>
      <c r="AB60" s="23">
        <f>EXP(-LN(2)/2)*AB59+(1-EXP(-LN(2)/2))/(LN(2)/2)*V60*Y60*VLOOKUP('Données projet'!$B$9,Paramètres!$A$1:$I$89,3,0)*0.475*44/12</f>
        <v>1.9226968391579407</v>
      </c>
      <c r="AC60" s="24">
        <f t="shared" si="3"/>
        <v>95.383013981144316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11.73333333333334</v>
      </c>
      <c r="AI60" s="14">
        <f>IF('Données projet'!$A$62&gt;35,AI59+AH60-AQ59,IF(A60&lt;'Données projet'!$A$62,$AF$205^A60,IF(A60='Données projet'!$A$62,'Données projet'!$B$62,AI59+AH60-AQ59)))</f>
        <v>434.71999999999969</v>
      </c>
      <c r="AJ60" s="14">
        <f>AI60*VLOOKUP('Données projet'!$B$10,Paramètres!$A$1:$I$89,3,0)*VLOOKUP('Données projet'!$B$10,Paramètres!$A$1:$I$89,5,0)</f>
        <v>271.26527999999979</v>
      </c>
      <c r="AK60" s="14">
        <f t="shared" si="35"/>
        <v>65.117720527935077</v>
      </c>
      <c r="AL60" s="22">
        <f t="shared" si="4"/>
        <v>585.8670592528199</v>
      </c>
      <c r="AM60" s="62">
        <f t="shared" si="5"/>
        <v>879.20039258615316</v>
      </c>
      <c r="AN60" s="62">
        <f ca="1">AVERAGE(OFFSET($AM$3,0,0,'Données projet'!$E$10+1,1))-AVERAGE(OFFSET($H$3,0,0,'Données projet'!$E$10+1,1))</f>
        <v>420.68062999212015</v>
      </c>
      <c r="AO60" s="62">
        <f t="shared" si="36"/>
        <v>655.24090633185676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136.4988295042458</v>
      </c>
      <c r="AV60" s="23">
        <f>EXP(-LN(2)/25)*AV59+(1-EXP(-LN(2)/25))/(LN(2)/25)*Calculateur!AQ60*Calculateur!AS60*VLOOKUP('Données projet'!$B$10,Paramètres!$A$1:$I$89,3,0)*0.475*44/12</f>
        <v>29.420653110808988</v>
      </c>
      <c r="AW60" s="23">
        <f>EXP(-LN(2)/2)*AW59+(1-EXP(-LN(2)/2))/(LN(2)/2)*AQ60*AT60*VLOOKUP('Données projet'!$B$10,Paramètres!$A$1:$I$89,3,0)*0.475*44/12</f>
        <v>3.9613323756482699</v>
      </c>
      <c r="AX60" s="23">
        <f t="shared" si="6"/>
        <v>169.88081499070307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</v>
      </c>
      <c r="BD60" s="13">
        <f>IF('Données projet'!$A$88&gt;35,BD59+BC60-BL59,IF(A60&lt;'Données projet'!$A$88,$BA$205^A60,IF(A60='Données projet'!$A$88,'Données projet'!$B$88,BD59+BC60-BL59)))</f>
        <v>84</v>
      </c>
      <c r="BE60" s="14">
        <f>BD60*VLOOKUP('Données projet'!$B$11,Paramètres!$A$1:$I$89,3,0)*VLOOKUP('Données projet'!$B$11,Paramètres!$A$1:$I$89,5,0)</f>
        <v>76.003200000000007</v>
      </c>
      <c r="BF60" s="14">
        <f t="shared" si="37"/>
        <v>21.157049992000456</v>
      </c>
      <c r="BG60" s="22">
        <f t="shared" si="7"/>
        <v>169.22076873606747</v>
      </c>
      <c r="BH60" s="62">
        <f t="shared" si="8"/>
        <v>462.55410206940076</v>
      </c>
      <c r="BI60" s="62">
        <f ca="1">AVERAGE(OFFSET($BH$3,0,0,'Données projet'!$E$11+1,1))-AVERAGE(OFFSET($H$3,0,0,'Données projet'!$E$11+1,1))</f>
        <v>138.3429338270858</v>
      </c>
      <c r="BJ60" s="62">
        <f t="shared" si="38"/>
        <v>88.30225651635925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</v>
      </c>
      <c r="BY60" s="13">
        <f>IF('Données projet'!$A$114&gt;35,BY59+BX60-CG59,IF(A60&lt;'Données projet'!$A$114,$BV$205^A60,IF(A60='Données projet'!$A$114,'Données projet'!$B$114,BY59+BX60-CG59)))</f>
        <v>84</v>
      </c>
      <c r="BZ60" s="14">
        <f>BY60*VLOOKUP('Données projet'!$B$12,Paramètres!$A$1:$I$89,3,0)*VLOOKUP('Données projet'!$B$12,Paramètres!$A$1:$I$89,5,0)</f>
        <v>70.761600000000001</v>
      </c>
      <c r="CA60" s="14">
        <f t="shared" si="39"/>
        <v>19.862470414169767</v>
      </c>
      <c r="CB60" s="22">
        <f t="shared" si="10"/>
        <v>157.83692263801234</v>
      </c>
      <c r="CC60" s="62">
        <f t="shared" si="11"/>
        <v>451.17025597134568</v>
      </c>
      <c r="CD60" s="62">
        <f ca="1">AVERAGE(OFFSET($CC$3,0,0,'Données projet'!$E$12+1,1))-AVERAGE(OFFSET($H$3,0,0,'Données projet'!$E$12+1,1))</f>
        <v>122.57815304102127</v>
      </c>
      <c r="CE60" s="62">
        <f t="shared" si="40"/>
        <v>80.106609825870578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-5.6843418860808015E-14</v>
      </c>
      <c r="CU60" s="18">
        <f>CT60*VLOOKUP('Données projet'!$B$13,Paramètres!$A$1:$I$89,3,0)*VLOOKUP('Données projet'!$B$13,Paramètres!$A$1:$I$89,5,0)</f>
        <v>-3.7243808037601412E-14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199.99826357281154</v>
      </c>
      <c r="CZ60" s="62">
        <f t="shared" si="42"/>
        <v>214.67424457475136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98.9913953496483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98.9913953496483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-5.6843418860808015E-14</v>
      </c>
      <c r="DP60" s="18">
        <f>DO60*VLOOKUP('Données projet'!$B$14,Paramètres!$A$1:$I$89,3,0)*VLOOKUP('Données projet'!$B$14,Paramètres!$A$1:$I$89,5,0)</f>
        <v>-4.5224624045658861E-14</v>
      </c>
      <c r="DQ60" s="14" t="e">
        <f t="shared" si="43"/>
        <v>#NUM!</v>
      </c>
      <c r="DR60" s="22" t="e">
        <f t="shared" si="16"/>
        <v>#NUM!</v>
      </c>
      <c r="DS60" s="62" t="e">
        <f t="shared" si="17"/>
        <v>#NUM!</v>
      </c>
      <c r="DT60" s="62">
        <f ca="1">AVERAGE(OFFSET($DS$3,0,0,'Données projet'!$E$14+1,1))-AVERAGE(OFFSET($H$3,0,0,'Données projet'!$E$14+1,1))</f>
        <v>248.15263300983543</v>
      </c>
      <c r="DU60" s="62">
        <f t="shared" si="44"/>
        <v>266.46511459244618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148.15821795686568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148.15821795686568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-5.6843418860808015E-14</v>
      </c>
      <c r="EK60" s="18">
        <f>EJ60*VLOOKUP('Données projet'!$B$15,Paramètres!$A$1:$I$89,3,0)*VLOOKUP('Données projet'!$B$15,Paramètres!$A$1:$I$89,5,0)</f>
        <v>-3.813056537183002E-14</v>
      </c>
      <c r="EL60" s="14" t="e">
        <f t="shared" si="45"/>
        <v>#NUM!</v>
      </c>
      <c r="EM60" s="22" t="e">
        <f t="shared" si="19"/>
        <v>#NUM!</v>
      </c>
      <c r="EN60" s="62" t="e">
        <f t="shared" si="20"/>
        <v>#NUM!</v>
      </c>
      <c r="EO60" s="62">
        <f ca="1">AVERAGE(OFFSET($EN$3,0,0,'Données projet'!$E$15+1,1))-AVERAGE(OFFSET($H$3,0,0,'Données projet'!$E$15+1,1))</f>
        <v>205.35893113421139</v>
      </c>
      <c r="EP60" s="62">
        <f t="shared" si="46"/>
        <v>220.4399811285175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124.91771317931811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124.91771317931811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10.199999999999999</v>
      </c>
      <c r="N61" s="14">
        <f>IF('Données projet'!$A$36&gt;35,N60+M61-V60,IF(A61&lt;'Données projet'!$A$36,$K$205^A61,IF(A61='Données projet'!$A$36,'Données projet'!$B$36,N60+M61-V60)))</f>
        <v>645.59999999999968</v>
      </c>
      <c r="O61" s="14">
        <f>N61*VLOOKUP('Données projet'!$B$9,Paramètres!$A$1:$I$89,3,0)*VLOOKUP('Données projet'!$B$9,Paramètres!$A$1:$I$89,5,0)</f>
        <v>360.89039999999977</v>
      </c>
      <c r="P61" s="14">
        <f t="shared" si="33"/>
        <v>83.800943075865291</v>
      </c>
      <c r="Q61" s="22">
        <f t="shared" si="53"/>
        <v>774.50408919046504</v>
      </c>
      <c r="R61" s="62">
        <f t="shared" si="0"/>
        <v>1067.8374225237983</v>
      </c>
      <c r="S61" s="62">
        <f ca="1">AVERAGE(OFFSET($R$3,0,0,'Données projet'!$E$9+1,1))-AVERAGE(OFFSET($H$3,0,0,'Données projet'!$E$9+1,1))</f>
        <v>382.55387448074327</v>
      </c>
      <c r="T61" s="62">
        <f t="shared" si="34"/>
        <v>476.29465646955543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71.416200426589882</v>
      </c>
      <c r="AA61" s="23">
        <f>EXP(-LN(2)/25)*AA60+(1-EXP(-LN(2)/25))/(LN(2)/25)*Calculateur!V61*Calculateur!X61*VLOOKUP('Données projet'!$B$9,Paramètres!$A$1:$I$89,3,0)*0.475*44/12</f>
        <v>20.051940975417217</v>
      </c>
      <c r="AB61" s="23">
        <f>EXP(-LN(2)/2)*AB60+(1-EXP(-LN(2)/2))/(LN(2)/2)*V61*Y61*VLOOKUP('Données projet'!$B$9,Paramètres!$A$1:$I$89,3,0)*0.475*44/12</f>
        <v>1.3595519731345207</v>
      </c>
      <c r="AC61" s="24">
        <f t="shared" si="3"/>
        <v>92.827693375141607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11.73333333333334</v>
      </c>
      <c r="AI61" s="14">
        <f>IF('Données projet'!$A$62&gt;35,AI60+AH61-AQ60,IF(A61&lt;'Données projet'!$A$62,$AF$205^A61,IF(A61='Données projet'!$A$62,'Données projet'!$B$62,AI60+AH61-AQ60)))</f>
        <v>446.45333333333303</v>
      </c>
      <c r="AJ61" s="14">
        <f>AI61*VLOOKUP('Données projet'!$B$10,Paramètres!$A$1:$I$89,3,0)*VLOOKUP('Données projet'!$B$10,Paramètres!$A$1:$I$89,5,0)</f>
        <v>278.58687999999984</v>
      </c>
      <c r="AK61" s="14">
        <f t="shared" si="35"/>
        <v>66.668288120968711</v>
      </c>
      <c r="AL61" s="22">
        <f t="shared" si="4"/>
        <v>601.3194178106869</v>
      </c>
      <c r="AM61" s="62">
        <f t="shared" si="5"/>
        <v>894.65275114402016</v>
      </c>
      <c r="AN61" s="62">
        <f ca="1">AVERAGE(OFFSET($AM$3,0,0,'Données projet'!$E$10+1,1))-AVERAGE(OFFSET($H$3,0,0,'Données projet'!$E$10+1,1))</f>
        <v>420.68062999212015</v>
      </c>
      <c r="AO61" s="62">
        <f t="shared" si="36"/>
        <v>655.24090633185676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133.82217071373267</v>
      </c>
      <c r="AV61" s="23">
        <f>EXP(-LN(2)/25)*AV60+(1-EXP(-LN(2)/25))/(LN(2)/25)*Calculateur!AQ61*Calculateur!AS61*VLOOKUP('Données projet'!$B$10,Paramètres!$A$1:$I$89,3,0)*0.475*44/12</f>
        <v>28.61614380432901</v>
      </c>
      <c r="AW61" s="23">
        <f>EXP(-LN(2)/2)*AW60+(1-EXP(-LN(2)/2))/(LN(2)/2)*AQ61*AT61*VLOOKUP('Données projet'!$B$10,Paramètres!$A$1:$I$89,3,0)*0.475*44/12</f>
        <v>2.801084985354708</v>
      </c>
      <c r="AX61" s="23">
        <f t="shared" si="6"/>
        <v>165.23939950341639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</v>
      </c>
      <c r="BD61" s="13">
        <f>IF('Données projet'!$A$88&gt;35,BD60+BC61-BL60,IF(A61&lt;'Données projet'!$A$88,$BA$205^A61,IF(A61='Données projet'!$A$88,'Données projet'!$B$88,BD60+BC61-BL60)))</f>
        <v>89</v>
      </c>
      <c r="BE61" s="14">
        <f>BD61*VLOOKUP('Données projet'!$B$11,Paramètres!$A$1:$I$89,3,0)*VLOOKUP('Données projet'!$B$11,Paramètres!$A$1:$I$89,5,0)</f>
        <v>80.527199999999993</v>
      </c>
      <c r="BF61" s="14">
        <f t="shared" si="37"/>
        <v>22.266037950985503</v>
      </c>
      <c r="BG61" s="22">
        <f t="shared" si="7"/>
        <v>179.03155609796639</v>
      </c>
      <c r="BH61" s="62">
        <f t="shared" si="8"/>
        <v>472.36488943129973</v>
      </c>
      <c r="BI61" s="62">
        <f ca="1">AVERAGE(OFFSET($BH$3,0,0,'Données projet'!$E$11+1,1))-AVERAGE(OFFSET($H$3,0,0,'Données projet'!$E$11+1,1))</f>
        <v>138.3429338270858</v>
      </c>
      <c r="BJ61" s="62">
        <f t="shared" si="38"/>
        <v>88.30225651635925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</v>
      </c>
      <c r="BY61" s="13">
        <f>IF('Données projet'!$A$114&gt;35,BY60+BX61-CG60,IF(A61&lt;'Données projet'!$A$114,$BV$205^A61,IF(A61='Données projet'!$A$114,'Données projet'!$B$114,BY60+BX61-CG60)))</f>
        <v>89</v>
      </c>
      <c r="BZ61" s="14">
        <f>BY61*VLOOKUP('Données projet'!$B$12,Paramètres!$A$1:$I$89,3,0)*VLOOKUP('Données projet'!$B$12,Paramètres!$A$1:$I$89,5,0)</f>
        <v>74.973600000000005</v>
      </c>
      <c r="CA61" s="14">
        <f t="shared" si="39"/>
        <v>20.903600464594561</v>
      </c>
      <c r="CB61" s="22">
        <f t="shared" si="10"/>
        <v>166.98612414250221</v>
      </c>
      <c r="CC61" s="62">
        <f t="shared" si="11"/>
        <v>460.31945747583552</v>
      </c>
      <c r="CD61" s="62">
        <f ca="1">AVERAGE(OFFSET($CC$3,0,0,'Données projet'!$E$12+1,1))-AVERAGE(OFFSET($H$3,0,0,'Données projet'!$E$12+1,1))</f>
        <v>122.57815304102127</v>
      </c>
      <c r="CE61" s="62">
        <f t="shared" si="40"/>
        <v>80.106609825870578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-5.6843418860808015E-14</v>
      </c>
      <c r="CU61" s="18">
        <f>CT61*VLOOKUP('Données projet'!$B$13,Paramètres!$A$1:$I$89,3,0)*VLOOKUP('Données projet'!$B$13,Paramètres!$A$1:$I$89,5,0)</f>
        <v>-3.7243808037601412E-14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199.99826357281154</v>
      </c>
      <c r="CZ61" s="62">
        <f t="shared" si="42"/>
        <v>214.67424457475136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97.05023446563095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97.05023446563095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-5.6843418860808015E-14</v>
      </c>
      <c r="DP61" s="18">
        <f>DO61*VLOOKUP('Données projet'!$B$14,Paramètres!$A$1:$I$89,3,0)*VLOOKUP('Données projet'!$B$14,Paramètres!$A$1:$I$89,5,0)</f>
        <v>-4.5224624045658861E-14</v>
      </c>
      <c r="DQ61" s="14" t="e">
        <f t="shared" si="43"/>
        <v>#NUM!</v>
      </c>
      <c r="DR61" s="22" t="e">
        <f t="shared" si="16"/>
        <v>#NUM!</v>
      </c>
      <c r="DS61" s="62" t="e">
        <f t="shared" si="17"/>
        <v>#NUM!</v>
      </c>
      <c r="DT61" s="62">
        <f ca="1">AVERAGE(OFFSET($DS$3,0,0,'Données projet'!$E$14+1,1))-AVERAGE(OFFSET($H$3,0,0,'Données projet'!$E$14+1,1))</f>
        <v>248.15263300983543</v>
      </c>
      <c r="DU61" s="62">
        <f t="shared" si="44"/>
        <v>266.46511459244618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145.25292567032145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145.25292567032145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-5.6843418860808015E-14</v>
      </c>
      <c r="EK61" s="18">
        <f>EJ61*VLOOKUP('Données projet'!$B$15,Paramètres!$A$1:$I$89,3,0)*VLOOKUP('Données projet'!$B$15,Paramètres!$A$1:$I$89,5,0)</f>
        <v>-3.813056537183002E-14</v>
      </c>
      <c r="EL61" s="14" t="e">
        <f t="shared" si="45"/>
        <v>#NUM!</v>
      </c>
      <c r="EM61" s="22" t="e">
        <f t="shared" si="19"/>
        <v>#NUM!</v>
      </c>
      <c r="EN61" s="62" t="e">
        <f t="shared" si="20"/>
        <v>#NUM!</v>
      </c>
      <c r="EO61" s="62">
        <f ca="1">AVERAGE(OFFSET($EN$3,0,0,'Données projet'!$E$15+1,1))-AVERAGE(OFFSET($H$3,0,0,'Données projet'!$E$15+1,1))</f>
        <v>205.35893113421139</v>
      </c>
      <c r="EP61" s="62">
        <f t="shared" si="46"/>
        <v>220.4399811285175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122.46815301615337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122.46815301615337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10.199999999999999</v>
      </c>
      <c r="N62" s="14">
        <f>IF('Données projet'!$A$36&gt;35,N61+M62-V61,IF(A62&lt;'Données projet'!$A$36,$K$205^A62,IF(A62='Données projet'!$A$36,'Données projet'!$B$36,N61+M62-V61)))</f>
        <v>655.79999999999973</v>
      </c>
      <c r="O62" s="14">
        <f>N62*VLOOKUP('Données projet'!$B$9,Paramètres!$A$1:$I$89,3,0)*VLOOKUP('Données projet'!$B$9,Paramètres!$A$1:$I$89,5,0)</f>
        <v>366.59219999999982</v>
      </c>
      <c r="P62" s="14">
        <f t="shared" si="33"/>
        <v>84.969753481055022</v>
      </c>
      <c r="Q62" s="22">
        <f t="shared" si="53"/>
        <v>786.47040231283711</v>
      </c>
      <c r="R62" s="62">
        <f t="shared" si="0"/>
        <v>1079.8037356461705</v>
      </c>
      <c r="S62" s="62">
        <f ca="1">AVERAGE(OFFSET($R$3,0,0,'Données projet'!$E$9+1,1))-AVERAGE(OFFSET($H$3,0,0,'Données projet'!$E$9+1,1))</f>
        <v>382.55387448074327</v>
      </c>
      <c r="T62" s="62">
        <f t="shared" si="34"/>
        <v>476.29465646955543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70.015772295805561</v>
      </c>
      <c r="AA62" s="23">
        <f>EXP(-LN(2)/25)*AA61+(1-EXP(-LN(2)/25))/(LN(2)/25)*Calculateur!V62*Calculateur!X62*VLOOKUP('Données projet'!$B$9,Paramètres!$A$1:$I$89,3,0)*0.475*44/12</f>
        <v>19.503619594958685</v>
      </c>
      <c r="AB62" s="23">
        <f>EXP(-LN(2)/2)*AB61+(1-EXP(-LN(2)/2))/(LN(2)/2)*V62*Y62*VLOOKUP('Données projet'!$B$9,Paramètres!$A$1:$I$89,3,0)*0.475*44/12</f>
        <v>0.96134841957897055</v>
      </c>
      <c r="AC62" s="24">
        <f t="shared" si="3"/>
        <v>90.480740310343208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11.73333333333334</v>
      </c>
      <c r="AI62" s="14">
        <f>IF('Données projet'!$A$62&gt;35,AI61+AH62-AQ61,IF(A62&lt;'Données projet'!$A$62,$AF$205^A62,IF(A62='Données projet'!$A$62,'Données projet'!$B$62,AI61+AH62-AQ61)))</f>
        <v>458.18666666666638</v>
      </c>
      <c r="AJ62" s="14">
        <f>AI62*VLOOKUP('Données projet'!$B$10,Paramètres!$A$1:$I$89,3,0)*VLOOKUP('Données projet'!$B$10,Paramètres!$A$1:$I$89,5,0)</f>
        <v>285.90847999999983</v>
      </c>
      <c r="AK62" s="14">
        <f t="shared" si="35"/>
        <v>68.214118993657436</v>
      </c>
      <c r="AL62" s="22">
        <f t="shared" si="4"/>
        <v>616.76352658061978</v>
      </c>
      <c r="AM62" s="62">
        <f t="shared" si="5"/>
        <v>910.09685991395304</v>
      </c>
      <c r="AN62" s="62">
        <f ca="1">AVERAGE(OFFSET($AM$3,0,0,'Données projet'!$E$10+1,1))-AVERAGE(OFFSET($H$3,0,0,'Données projet'!$E$10+1,1))</f>
        <v>420.68062999212015</v>
      </c>
      <c r="AO62" s="62">
        <f t="shared" si="36"/>
        <v>655.24090633185676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131.19799956950087</v>
      </c>
      <c r="AV62" s="23">
        <f>EXP(-LN(2)/25)*AV61+(1-EXP(-LN(2)/25))/(LN(2)/25)*Calculateur!AQ62*Calculateur!AS62*VLOOKUP('Données projet'!$B$10,Paramètres!$A$1:$I$89,3,0)*0.475*44/12</f>
        <v>27.833633847142032</v>
      </c>
      <c r="AW62" s="23">
        <f>EXP(-LN(2)/2)*AW61+(1-EXP(-LN(2)/2))/(LN(2)/2)*AQ62*AT62*VLOOKUP('Données projet'!$B$10,Paramètres!$A$1:$I$89,3,0)*0.475*44/12</f>
        <v>1.9806661878241354</v>
      </c>
      <c r="AX62" s="23">
        <f t="shared" si="6"/>
        <v>161.01229960446705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</v>
      </c>
      <c r="BD62" s="13">
        <f>IF('Données projet'!$A$88&gt;35,BD61+BC62-BL61,IF(A62&lt;'Données projet'!$A$88,$BA$205^A62,IF(A62='Données projet'!$A$88,'Données projet'!$B$88,BD61+BC62-BL61)))</f>
        <v>94</v>
      </c>
      <c r="BE62" s="14">
        <f>BD62*VLOOKUP('Données projet'!$B$11,Paramètres!$A$1:$I$89,3,0)*VLOOKUP('Données projet'!$B$11,Paramètres!$A$1:$I$89,5,0)</f>
        <v>85.051199999999994</v>
      </c>
      <c r="BF62" s="14">
        <f t="shared" si="37"/>
        <v>23.367793520672731</v>
      </c>
      <c r="BG62" s="22">
        <f t="shared" si="7"/>
        <v>188.82974704850497</v>
      </c>
      <c r="BH62" s="62">
        <f t="shared" si="8"/>
        <v>482.16308038183831</v>
      </c>
      <c r="BI62" s="62">
        <f ca="1">AVERAGE(OFFSET($BH$3,0,0,'Données projet'!$E$11+1,1))-AVERAGE(OFFSET($H$3,0,0,'Données projet'!$E$11+1,1))</f>
        <v>138.3429338270858</v>
      </c>
      <c r="BJ62" s="62">
        <f t="shared" si="38"/>
        <v>88.30225651635925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</v>
      </c>
      <c r="BY62" s="13">
        <f>IF('Données projet'!$A$114&gt;35,BY61+BX62-CG61,IF(A62&lt;'Données projet'!$A$114,$BV$205^A62,IF(A62='Données projet'!$A$114,'Données projet'!$B$114,BY61+BX62-CG61)))</f>
        <v>94</v>
      </c>
      <c r="BZ62" s="14">
        <f>BY62*VLOOKUP('Données projet'!$B$12,Paramètres!$A$1:$I$89,3,0)*VLOOKUP('Données projet'!$B$12,Paramètres!$A$1:$I$89,5,0)</f>
        <v>79.185600000000008</v>
      </c>
      <c r="CA62" s="14">
        <f t="shared" si="39"/>
        <v>21.937940668679424</v>
      </c>
      <c r="CB62" s="22">
        <f t="shared" si="10"/>
        <v>176.12349999795001</v>
      </c>
      <c r="CC62" s="62">
        <f t="shared" si="11"/>
        <v>469.45683333128329</v>
      </c>
      <c r="CD62" s="62">
        <f ca="1">AVERAGE(OFFSET($CC$3,0,0,'Données projet'!$E$12+1,1))-AVERAGE(OFFSET($H$3,0,0,'Données projet'!$E$12+1,1))</f>
        <v>122.57815304102127</v>
      </c>
      <c r="CE62" s="62">
        <f t="shared" si="40"/>
        <v>80.106609825870578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-5.6843418860808015E-14</v>
      </c>
      <c r="CU62" s="18">
        <f>CT62*VLOOKUP('Données projet'!$B$13,Paramètres!$A$1:$I$89,3,0)*VLOOKUP('Données projet'!$B$13,Paramètres!$A$1:$I$89,5,0)</f>
        <v>-3.7243808037601412E-14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199.99826357281154</v>
      </c>
      <c r="CZ62" s="62">
        <f t="shared" si="42"/>
        <v>214.67424457475136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95.147138562557956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95.147138562557956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-5.6843418860808015E-14</v>
      </c>
      <c r="DP62" s="18">
        <f>DO62*VLOOKUP('Données projet'!$B$14,Paramètres!$A$1:$I$89,3,0)*VLOOKUP('Données projet'!$B$14,Paramètres!$A$1:$I$89,5,0)</f>
        <v>-4.5224624045658861E-14</v>
      </c>
      <c r="DQ62" s="14" t="e">
        <f t="shared" si="43"/>
        <v>#NUM!</v>
      </c>
      <c r="DR62" s="22" t="e">
        <f t="shared" si="16"/>
        <v>#NUM!</v>
      </c>
      <c r="DS62" s="62" t="e">
        <f t="shared" si="17"/>
        <v>#NUM!</v>
      </c>
      <c r="DT62" s="62">
        <f ca="1">AVERAGE(OFFSET($DS$3,0,0,'Données projet'!$E$14+1,1))-AVERAGE(OFFSET($H$3,0,0,'Données projet'!$E$14+1,1))</f>
        <v>248.15263300983543</v>
      </c>
      <c r="DU62" s="62">
        <f t="shared" si="44"/>
        <v>266.46511459244618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142.40460439346302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142.40460439346302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-5.6843418860808015E-14</v>
      </c>
      <c r="EK62" s="18">
        <f>EJ62*VLOOKUP('Données projet'!$B$15,Paramètres!$A$1:$I$89,3,0)*VLOOKUP('Données projet'!$B$15,Paramètres!$A$1:$I$89,5,0)</f>
        <v>-3.813056537183002E-14</v>
      </c>
      <c r="EL62" s="14" t="e">
        <f t="shared" si="45"/>
        <v>#NUM!</v>
      </c>
      <c r="EM62" s="22" t="e">
        <f t="shared" si="19"/>
        <v>#NUM!</v>
      </c>
      <c r="EN62" s="62" t="e">
        <f t="shared" si="20"/>
        <v>#NUM!</v>
      </c>
      <c r="EO62" s="62">
        <f ca="1">AVERAGE(OFFSET($EN$3,0,0,'Données projet'!$E$15+1,1))-AVERAGE(OFFSET($H$3,0,0,'Données projet'!$E$15+1,1))</f>
        <v>205.35893113421139</v>
      </c>
      <c r="EP62" s="62">
        <f t="shared" si="46"/>
        <v>220.4399811285175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120.06662723370411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120.06662723370411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666</v>
      </c>
      <c r="L63" s="13">
        <f>VLOOKUP(A63,'Données projet'!$A$35:$I$55,9,0)</f>
        <v>10.199999999999999</v>
      </c>
      <c r="M63" s="13">
        <f t="array" ref="M63">INDEX(L:L,MIN(IF(ISNUMBER(L63:L259),ROW(L63:L259),"")))</f>
        <v>10.199999999999999</v>
      </c>
      <c r="N63" s="14">
        <f>IF('Données projet'!$A$36&gt;35,N62+M63-V62,IF(A63&lt;'Données projet'!$A$36,$K$205^A63,IF(A63='Données projet'!$A$36,'Données projet'!$B$36,N62+M63-V62)))</f>
        <v>665.99999999999977</v>
      </c>
      <c r="O63" s="14">
        <f>N63*VLOOKUP('Données projet'!$B$9,Paramètres!$A$1:$I$89,3,0)*VLOOKUP('Données projet'!$B$9,Paramètres!$A$1:$I$89,5,0)</f>
        <v>372.29399999999987</v>
      </c>
      <c r="P63" s="14">
        <f t="shared" si="33"/>
        <v>86.136449661008839</v>
      </c>
      <c r="Q63" s="22">
        <f t="shared" si="53"/>
        <v>798.43303315959008</v>
      </c>
      <c r="R63" s="62">
        <f t="shared" si="0"/>
        <v>1091.7663664929235</v>
      </c>
      <c r="S63" s="62">
        <f ca="1">AVERAGE(OFFSET($R$3,0,0,'Données projet'!$E$9+1,1))-AVERAGE(OFFSET($H$3,0,0,'Données projet'!$E$9+1,1))</f>
        <v>382.55387448074327</v>
      </c>
      <c r="T63" s="62">
        <f t="shared" si="34"/>
        <v>476.29465646955543</v>
      </c>
      <c r="U63" s="16" t="str">
        <f>IF(ISNA(VLOOKUP(A63,'Données projet'!$A$35:$I$55,3,0)),0,VLOOKUP(A63,'Données projet'!$A$35:$I$55,3,0))</f>
        <v>CR</v>
      </c>
      <c r="V63" s="16">
        <f>IF(ISNA(VLOOKUP(A63,'Données projet'!$A$35:$I$55,4,0)),0,VLOOKUP(A63,'Données projet'!$A$35:$I$55,4,0))</f>
        <v>666</v>
      </c>
      <c r="W63" s="17">
        <f>IF(ISNA(VLOOKUP(A63,'Données projet'!$A$35:$I$55,5,0)),0%,VLOOKUP(A63,'Données projet'!$A$35:$I$55,5,0)*VLOOKUP('Données projet'!$B$9,Paramètres!$A$1:$I$89,7,0))</f>
        <v>0.38500000000000001</v>
      </c>
      <c r="X63" s="17">
        <f>IF(ISNA(VLOOKUP(A63,'Données projet'!$A$35:$I$55,6,0)),0%,VLOOKUP(A63,'Données projet'!$A$35:$I$55,6,0)*VLOOKUP('Données projet'!$B$9,Paramètres!$A$1:$I$89,7,0))</f>
        <v>9.240000000000001E-2</v>
      </c>
      <c r="Y63" s="17">
        <f>IF(ISNA(VLOOKUP(A63,'Données projet'!$A$35:$I$55,7,0)),0%,VLOOKUP(A63,'Données projet'!$A$35:$I$55,7,0))</f>
        <v>0.13200000000000001</v>
      </c>
      <c r="Z63" s="23">
        <f>EXP(-LN(2)/35)*Z62+(1-EXP(-LN(2)/35))/(LN(2)/35)*V63*W63*VLOOKUP('Données projet'!$B$9,Paramètres!$A$1:$I$89,3,0)*0.475*44/12</f>
        <v>258.78352084525125</v>
      </c>
      <c r="AA63" s="23">
        <f>EXP(-LN(2)/25)*AA62+(1-EXP(-LN(2)/25))/(LN(2)/25)*Calculateur!V63*Calculateur!X63*VLOOKUP('Données projet'!$B$9,Paramètres!$A$1:$I$89,3,0)*0.475*44/12</f>
        <v>64.424386178036201</v>
      </c>
      <c r="AB63" s="23">
        <f>EXP(-LN(2)/2)*AB62+(1-EXP(-LN(2)/2))/(LN(2)/2)*V63*Y63*VLOOKUP('Données projet'!$B$9,Paramètres!$A$1:$I$89,3,0)*0.475*44/12</f>
        <v>56.320850395309243</v>
      </c>
      <c r="AC63" s="24">
        <f t="shared" si="3"/>
        <v>379.52875741859674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469.92</v>
      </c>
      <c r="AG63" s="13">
        <f>VLOOKUP(A63,'Données projet'!$A$61:$I$81,9,0)</f>
        <v>11.73333333333334</v>
      </c>
      <c r="AH63" s="13">
        <f t="array" ref="AH63">INDEX(AG:AG,MIN(IF(ISNUMBER(AG63:AG259),ROW(AG63:AG259),"")))</f>
        <v>11.73333333333334</v>
      </c>
      <c r="AI63" s="14">
        <f>IF('Données projet'!$A$62&gt;35,AI62+AH63-AQ62,IF(A63&lt;'Données projet'!$A$62,$AF$205^A63,IF(A63='Données projet'!$A$62,'Données projet'!$B$62,AI62+AH63-AQ62)))</f>
        <v>469.91999999999973</v>
      </c>
      <c r="AJ63" s="14">
        <f>AI63*VLOOKUP('Données projet'!$B$10,Paramètres!$A$1:$I$89,3,0)*VLOOKUP('Données projet'!$B$10,Paramètres!$A$1:$I$89,5,0)</f>
        <v>293.23007999999982</v>
      </c>
      <c r="AK63" s="14">
        <f t="shared" si="35"/>
        <v>69.755348392331385</v>
      </c>
      <c r="AL63" s="22">
        <f t="shared" si="4"/>
        <v>632.19962111664347</v>
      </c>
      <c r="AM63" s="62">
        <f t="shared" si="5"/>
        <v>925.53295444997684</v>
      </c>
      <c r="AN63" s="62">
        <f ca="1">AVERAGE(OFFSET($AM$3,0,0,'Données projet'!$E$10+1,1))-AVERAGE(OFFSET($H$3,0,0,'Données projet'!$E$10+1,1))</f>
        <v>420.68062999212015</v>
      </c>
      <c r="AO63" s="62">
        <f t="shared" si="36"/>
        <v>655.24090633185676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98.56</v>
      </c>
      <c r="AR63" s="17">
        <f>IF(ISNA(VLOOKUP(A63,'Données projet'!$A$61:$I$81,5,0)),0%,VLOOKUP(A63,'Données projet'!$A$61:$I$81,5,0)*VLOOKUP('Données projet'!$B$10,Paramètres!$A$1:$I$89,7,0))</f>
        <v>0.42</v>
      </c>
      <c r="AS63" s="17">
        <f>IF(ISNA(VLOOKUP(A63,'Données projet'!$A$61:$I$81,6,0)),0%,VLOOKUP(A63,'Données projet'!$A$61:$I$81,6,0)*VLOOKUP('Données projet'!$B$10,Paramètres!$A$1:$I$89,7,0))</f>
        <v>0.1008</v>
      </c>
      <c r="AT63" s="17">
        <f>IF(ISNA(VLOOKUP(A63,'Données projet'!$A$61:$I$81,7,0)),0%,VLOOKUP(A63,'Données projet'!$A$61:$I$81,7,0))</f>
        <v>0.13200000000000001</v>
      </c>
      <c r="AU63" s="23">
        <f>EXP(-LN(2)/35)*AU62+(1-EXP(-LN(2)/35))/(LN(2)/35)*AQ63*AR63*VLOOKUP('Données projet'!$B$10,Paramètres!$A$1:$I$89,3,0)*0.475*44/12</f>
        <v>162.89124901100706</v>
      </c>
      <c r="AV63" s="23">
        <f>EXP(-LN(2)/25)*AV62+(1-EXP(-LN(2)/25))/(LN(2)/25)*Calculateur!AQ63*Calculateur!AS63*VLOOKUP('Données projet'!$B$10,Paramètres!$A$1:$I$89,3,0)*0.475*44/12</f>
        <v>35.263972235649867</v>
      </c>
      <c r="AW63" s="23">
        <f>EXP(-LN(2)/2)*AW62+(1-EXP(-LN(2)/2))/(LN(2)/2)*AQ63*AT63*VLOOKUP('Données projet'!$B$10,Paramètres!$A$1:$I$89,3,0)*0.475*44/12</f>
        <v>10.592219498712319</v>
      </c>
      <c r="AX63" s="23">
        <f t="shared" si="6"/>
        <v>208.74744074536926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5</v>
      </c>
      <c r="BD63" s="13">
        <f>IF('Données projet'!$A$88&gt;35,BD62+BC63-BL62,IF(A63&lt;'Données projet'!$A$88,$BA$205^A63,IF(A63='Données projet'!$A$88,'Données projet'!$B$88,BD62+BC63-BL62)))</f>
        <v>99</v>
      </c>
      <c r="BE63" s="14">
        <f>BD63*VLOOKUP('Données projet'!$B$11,Paramètres!$A$1:$I$89,3,0)*VLOOKUP('Données projet'!$B$11,Paramètres!$A$1:$I$89,5,0)</f>
        <v>89.575199999999995</v>
      </c>
      <c r="BF63" s="14">
        <f t="shared" si="37"/>
        <v>24.462745269668691</v>
      </c>
      <c r="BG63" s="22">
        <f t="shared" si="7"/>
        <v>198.6160880113396</v>
      </c>
      <c r="BH63" s="62">
        <f t="shared" si="8"/>
        <v>491.94942134467294</v>
      </c>
      <c r="BI63" s="62">
        <f ca="1">AVERAGE(OFFSET($BH$3,0,0,'Données projet'!$E$11+1,1))-AVERAGE(OFFSET($H$3,0,0,'Données projet'!$E$11+1,1))</f>
        <v>138.3429338270858</v>
      </c>
      <c r="BJ63" s="62">
        <f t="shared" si="38"/>
        <v>88.30225651635925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5</v>
      </c>
      <c r="BY63" s="13">
        <f>IF('Données projet'!$A$114&gt;35,BY62+BX63-CG62,IF(A63&lt;'Données projet'!$A$114,$BV$205^A63,IF(A63='Données projet'!$A$114,'Données projet'!$B$114,BY62+BX63-CG62)))</f>
        <v>99</v>
      </c>
      <c r="BZ63" s="14">
        <f>BY63*VLOOKUP('Données projet'!$B$12,Paramètres!$A$1:$I$89,3,0)*VLOOKUP('Données projet'!$B$12,Paramètres!$A$1:$I$89,5,0)</f>
        <v>83.397600000000011</v>
      </c>
      <c r="CA63" s="14">
        <f t="shared" si="39"/>
        <v>22.965893371329315</v>
      </c>
      <c r="CB63" s="22">
        <f t="shared" si="10"/>
        <v>185.24975095506522</v>
      </c>
      <c r="CC63" s="62">
        <f t="shared" si="11"/>
        <v>478.58308428839854</v>
      </c>
      <c r="CD63" s="62">
        <f ca="1">AVERAGE(OFFSET($CC$3,0,0,'Données projet'!$E$12+1,1))-AVERAGE(OFFSET($H$3,0,0,'Données projet'!$E$12+1,1))</f>
        <v>122.57815304102127</v>
      </c>
      <c r="CE63" s="62">
        <f t="shared" si="40"/>
        <v>80.106609825870578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-5.6843418860808015E-14</v>
      </c>
      <c r="CU63" s="18">
        <f>CT63*VLOOKUP('Données projet'!$B$13,Paramètres!$A$1:$I$89,3,0)*VLOOKUP('Données projet'!$B$13,Paramètres!$A$1:$I$89,5,0)</f>
        <v>-3.7243808037601412E-14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199.99826357281154</v>
      </c>
      <c r="CZ63" s="62">
        <f t="shared" si="42"/>
        <v>214.67424457475136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93.281361209370331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93.281361209370331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-5.6843418860808015E-14</v>
      </c>
      <c r="DP63" s="18">
        <f>DO63*VLOOKUP('Données projet'!$B$14,Paramètres!$A$1:$I$89,3,0)*VLOOKUP('Données projet'!$B$14,Paramètres!$A$1:$I$89,5,0)</f>
        <v>-4.5224624045658861E-14</v>
      </c>
      <c r="DQ63" s="14" t="e">
        <f t="shared" si="43"/>
        <v>#NUM!</v>
      </c>
      <c r="DR63" s="22" t="e">
        <f t="shared" si="16"/>
        <v>#NUM!</v>
      </c>
      <c r="DS63" s="62" t="e">
        <f t="shared" si="17"/>
        <v>#NUM!</v>
      </c>
      <c r="DT63" s="62">
        <f ca="1">AVERAGE(OFFSET($DS$3,0,0,'Données projet'!$E$14+1,1))-AVERAGE(OFFSET($H$3,0,0,'Données projet'!$E$14+1,1))</f>
        <v>248.15263300983543</v>
      </c>
      <c r="DU63" s="62">
        <f t="shared" si="44"/>
        <v>266.46511459244618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139.61213695953936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139.61213695953936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-5.6843418860808015E-14</v>
      </c>
      <c r="EK63" s="18">
        <f>EJ63*VLOOKUP('Données projet'!$B$15,Paramètres!$A$1:$I$89,3,0)*VLOOKUP('Données projet'!$B$15,Paramètres!$A$1:$I$89,5,0)</f>
        <v>-3.813056537183002E-14</v>
      </c>
      <c r="EL63" s="14" t="e">
        <f t="shared" si="45"/>
        <v>#NUM!</v>
      </c>
      <c r="EM63" s="22" t="e">
        <f t="shared" si="19"/>
        <v>#NUM!</v>
      </c>
      <c r="EN63" s="62" t="e">
        <f t="shared" si="20"/>
        <v>#NUM!</v>
      </c>
      <c r="EO63" s="62">
        <f ca="1">AVERAGE(OFFSET($EN$3,0,0,'Données projet'!$E$15+1,1))-AVERAGE(OFFSET($H$3,0,0,'Données projet'!$E$15+1,1))</f>
        <v>205.35893113421139</v>
      </c>
      <c r="EP63" s="62">
        <f t="shared" si="46"/>
        <v>220.4399811285175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117.71219390706258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117.71219390706258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382.55387448074327</v>
      </c>
      <c r="T64" s="62">
        <f t="shared" si="34"/>
        <v>476.29465646955543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253.70893384383794</v>
      </c>
      <c r="AA64" s="23">
        <f>EXP(-LN(2)/25)*AA63+(1-EXP(-LN(2)/25))/(LN(2)/25)*Calculateur!V64*Calculateur!X64*VLOOKUP('Données projet'!$B$9,Paramètres!$A$1:$I$89,3,0)*0.475*44/12</f>
        <v>62.662697950066573</v>
      </c>
      <c r="AB64" s="23">
        <f>EXP(-LN(2)/2)*AB63+(1-EXP(-LN(2)/2))/(LN(2)/2)*V64*Y64*VLOOKUP('Données projet'!$B$9,Paramètres!$A$1:$I$89,3,0)*0.475*44/12</f>
        <v>39.824855236716218</v>
      </c>
      <c r="AC64" s="24">
        <f t="shared" si="3"/>
        <v>356.19648703062069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11.733333333333329</v>
      </c>
      <c r="AI64" s="14">
        <f>IF('Données projet'!$A$62&gt;35,AI63+AH64-AQ63,IF(A64&lt;'Données projet'!$A$62,$AF$205^A64,IF(A64='Données projet'!$A$62,'Données projet'!$B$62,AI63+AH64-AQ63)))</f>
        <v>383.09333333333308</v>
      </c>
      <c r="AJ64" s="14">
        <f>AI64*VLOOKUP('Données projet'!$B$10,Paramètres!$A$1:$I$89,3,0)*VLOOKUP('Données projet'!$B$10,Paramètres!$A$1:$I$89,5,0)</f>
        <v>239.05023999999983</v>
      </c>
      <c r="AK64" s="14">
        <f t="shared" si="35"/>
        <v>58.235137857906885</v>
      </c>
      <c r="AL64" s="22">
        <f t="shared" si="4"/>
        <v>517.77203310252082</v>
      </c>
      <c r="AM64" s="62">
        <f t="shared" si="5"/>
        <v>811.10536643585419</v>
      </c>
      <c r="AN64" s="62">
        <f ca="1">AVERAGE(OFFSET($AM$3,0,0,'Données projet'!$E$10+1,1))-AVERAGE(OFFSET($H$3,0,0,'Données projet'!$E$10+1,1))</f>
        <v>420.68062999212015</v>
      </c>
      <c r="AO64" s="62">
        <f t="shared" si="36"/>
        <v>655.24090633185676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159.69705097175273</v>
      </c>
      <c r="AV64" s="23">
        <f>EXP(-LN(2)/25)*AV63+(1-EXP(-LN(2)/25))/(LN(2)/25)*Calculateur!AQ64*Calculateur!AS64*VLOOKUP('Données projet'!$B$10,Paramètres!$A$1:$I$89,3,0)*0.475*44/12</f>
        <v>34.299677060414318</v>
      </c>
      <c r="AW64" s="23">
        <f>EXP(-LN(2)/2)*AW63+(1-EXP(-LN(2)/2))/(LN(2)/2)*AQ64*AT64*VLOOKUP('Données projet'!$B$10,Paramètres!$A$1:$I$89,3,0)*0.475*44/12</f>
        <v>7.4898302353558543</v>
      </c>
      <c r="AX64" s="23">
        <f t="shared" si="6"/>
        <v>201.48655826752292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</v>
      </c>
      <c r="BD64" s="13">
        <f>IF('Données projet'!$A$88&gt;35,BD63+BC64-BL63,IF(A64&lt;'Données projet'!$A$88,$BA$205^A64,IF(A64='Données projet'!$A$88,'Données projet'!$B$88,BD63+BC64-BL63)))</f>
        <v>104</v>
      </c>
      <c r="BE64" s="14">
        <f>BD64*VLOOKUP('Données projet'!$B$11,Paramètres!$A$1:$I$89,3,0)*VLOOKUP('Données projet'!$B$11,Paramètres!$A$1:$I$89,5,0)</f>
        <v>94.099199999999996</v>
      </c>
      <c r="BF64" s="14">
        <f t="shared" si="37"/>
        <v>25.551276031514817</v>
      </c>
      <c r="BG64" s="22">
        <f t="shared" si="7"/>
        <v>208.39124575488827</v>
      </c>
      <c r="BH64" s="62">
        <f t="shared" si="8"/>
        <v>501.72457908822162</v>
      </c>
      <c r="BI64" s="62">
        <f ca="1">AVERAGE(OFFSET($BH$3,0,0,'Données projet'!$E$11+1,1))-AVERAGE(OFFSET($H$3,0,0,'Données projet'!$E$11+1,1))</f>
        <v>138.3429338270858</v>
      </c>
      <c r="BJ64" s="62">
        <f t="shared" si="38"/>
        <v>88.30225651635925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</v>
      </c>
      <c r="BY64" s="13">
        <f>IF('Données projet'!$A$114&gt;35,BY63+BX64-CG63,IF(A64&lt;'Données projet'!$A$114,$BV$205^A64,IF(A64='Données projet'!$A$114,'Données projet'!$B$114,BY63+BX64-CG63)))</f>
        <v>104</v>
      </c>
      <c r="BZ64" s="14">
        <f>BY64*VLOOKUP('Données projet'!$B$12,Paramètres!$A$1:$I$89,3,0)*VLOOKUP('Données projet'!$B$12,Paramètres!$A$1:$I$89,5,0)</f>
        <v>87.609600000000015</v>
      </c>
      <c r="CA64" s="14">
        <f t="shared" si="39"/>
        <v>23.987817980868787</v>
      </c>
      <c r="CB64" s="22">
        <f t="shared" si="10"/>
        <v>194.36550298334649</v>
      </c>
      <c r="CC64" s="62">
        <f t="shared" si="11"/>
        <v>487.69883631667983</v>
      </c>
      <c r="CD64" s="62">
        <f ca="1">AVERAGE(OFFSET($CC$3,0,0,'Données projet'!$E$12+1,1))-AVERAGE(OFFSET($H$3,0,0,'Données projet'!$E$12+1,1))</f>
        <v>122.57815304102127</v>
      </c>
      <c r="CE64" s="62">
        <f t="shared" si="40"/>
        <v>80.106609825870578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-3.7243808037601412E-14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199.99826357281154</v>
      </c>
      <c r="CZ64" s="62">
        <f t="shared" si="42"/>
        <v>214.67424457475136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91.452170612066908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91.452170612066908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-5.6843418860808015E-14</v>
      </c>
      <c r="DP64" s="18">
        <f>DO64*VLOOKUP('Données projet'!$B$14,Paramètres!$A$1:$I$89,3,0)*VLOOKUP('Données projet'!$B$14,Paramètres!$A$1:$I$89,5,0)</f>
        <v>-4.5224624045658861E-14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248.15263300983543</v>
      </c>
      <c r="DU64" s="62">
        <f t="shared" si="44"/>
        <v>266.46511459244618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136.87442810875797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136.87442810875797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-5.6843418860808015E-14</v>
      </c>
      <c r="EK64" s="18">
        <f>EJ64*VLOOKUP('Données projet'!$B$15,Paramètres!$A$1:$I$89,3,0)*VLOOKUP('Données projet'!$B$15,Paramètres!$A$1:$I$89,5,0)</f>
        <v>-3.813056537183002E-14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205.35893113421139</v>
      </c>
      <c r="EP64" s="62">
        <f t="shared" si="46"/>
        <v>220.4399811285175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115.40392958189398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115.40392958189398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382.55387448074327</v>
      </c>
      <c r="T65" s="62">
        <f t="shared" si="34"/>
        <v>476.29465646955543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248.73385639832992</v>
      </c>
      <c r="AA65" s="23">
        <f>EXP(-LN(2)/25)*AA64+(1-EXP(-LN(2)/25))/(LN(2)/25)*Calculateur!V65*Calculateur!X65*VLOOKUP('Données projet'!$B$9,Paramètres!$A$1:$I$89,3,0)*0.475*44/12</f>
        <v>60.949183179333936</v>
      </c>
      <c r="AB65" s="23">
        <f>EXP(-LN(2)/2)*AB64+(1-EXP(-LN(2)/2))/(LN(2)/2)*V65*Y65*VLOOKUP('Données projet'!$B$9,Paramètres!$A$1:$I$89,3,0)*0.475*44/12</f>
        <v>28.160425197654629</v>
      </c>
      <c r="AC65" s="24">
        <f t="shared" si="3"/>
        <v>337.84346477531847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11.733333333333329</v>
      </c>
      <c r="AI65" s="14">
        <f>IF('Données projet'!$A$62&gt;35,AI64+AH65-AQ64,IF(A65&lt;'Données projet'!$A$62,$AF$205^A65,IF(A65='Données projet'!$A$62,'Données projet'!$B$62,AI64+AH65-AQ64)))</f>
        <v>394.82666666666643</v>
      </c>
      <c r="AJ65" s="14">
        <f>AI65*VLOOKUP('Données projet'!$B$10,Paramètres!$A$1:$I$89,3,0)*VLOOKUP('Données projet'!$B$10,Paramètres!$A$1:$I$89,5,0)</f>
        <v>246.37183999999985</v>
      </c>
      <c r="AK65" s="14">
        <f t="shared" si="35"/>
        <v>59.808365212269422</v>
      </c>
      <c r="AL65" s="22">
        <f t="shared" si="4"/>
        <v>533.26385741136892</v>
      </c>
      <c r="AM65" s="62">
        <f t="shared" si="5"/>
        <v>826.59719074470217</v>
      </c>
      <c r="AN65" s="62">
        <f ca="1">AVERAGE(OFFSET($AM$3,0,0,'Données projet'!$E$10+1,1))-AVERAGE(OFFSET($H$3,0,0,'Données projet'!$E$10+1,1))</f>
        <v>420.68062999212015</v>
      </c>
      <c r="AO65" s="62">
        <f t="shared" si="36"/>
        <v>655.24090633185676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156.56548920777976</v>
      </c>
      <c r="AV65" s="23">
        <f>EXP(-LN(2)/25)*AV64+(1-EXP(-LN(2)/25))/(LN(2)/25)*Calculateur!AQ65*Calculateur!AS65*VLOOKUP('Données projet'!$B$10,Paramètres!$A$1:$I$89,3,0)*0.475*44/12</f>
        <v>33.361750587455667</v>
      </c>
      <c r="AW65" s="23">
        <f>EXP(-LN(2)/2)*AW64+(1-EXP(-LN(2)/2))/(LN(2)/2)*AQ65*AT65*VLOOKUP('Données projet'!$B$10,Paramètres!$A$1:$I$89,3,0)*0.475*44/12</f>
        <v>5.2961097493561606</v>
      </c>
      <c r="AX65" s="23">
        <f t="shared" si="6"/>
        <v>195.2233495445916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</v>
      </c>
      <c r="BD65" s="13">
        <f>IF('Données projet'!$A$88&gt;35,BD64+BC65-BL64,IF(A65&lt;'Données projet'!$A$88,$BA$205^A65,IF(A65='Données projet'!$A$88,'Données projet'!$B$88,BD64+BC65-BL64)))</f>
        <v>109</v>
      </c>
      <c r="BE65" s="14">
        <f>BD65*VLOOKUP('Données projet'!$B$11,Paramètres!$A$1:$I$89,3,0)*VLOOKUP('Données projet'!$B$11,Paramètres!$A$1:$I$89,5,0)</f>
        <v>98.623199999999997</v>
      </c>
      <c r="BF65" s="14">
        <f t="shared" si="37"/>
        <v>26.633729748944909</v>
      </c>
      <c r="BG65" s="22">
        <f t="shared" si="7"/>
        <v>218.15581931274573</v>
      </c>
      <c r="BH65" s="62">
        <f t="shared" si="8"/>
        <v>511.48915264607905</v>
      </c>
      <c r="BI65" s="62">
        <f ca="1">AVERAGE(OFFSET($BH$3,0,0,'Données projet'!$E$11+1,1))-AVERAGE(OFFSET($H$3,0,0,'Données projet'!$E$11+1,1))</f>
        <v>138.3429338270858</v>
      </c>
      <c r="BJ65" s="62">
        <f t="shared" si="38"/>
        <v>88.30225651635925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</v>
      </c>
      <c r="BY65" s="13">
        <f>IF('Données projet'!$A$114&gt;35,BY64+BX65-CG64,IF(A65&lt;'Données projet'!$A$114,$BV$205^A65,IF(A65='Données projet'!$A$114,'Données projet'!$B$114,BY64+BX65-CG64)))</f>
        <v>109</v>
      </c>
      <c r="BZ65" s="14">
        <f>BY65*VLOOKUP('Données projet'!$B$12,Paramètres!$A$1:$I$89,3,0)*VLOOKUP('Données projet'!$B$12,Paramètres!$A$1:$I$89,5,0)</f>
        <v>91.821600000000018</v>
      </c>
      <c r="CA65" s="14">
        <f t="shared" si="39"/>
        <v>25.004037394505982</v>
      </c>
      <c r="CB65" s="22">
        <f t="shared" si="10"/>
        <v>203.47131846209797</v>
      </c>
      <c r="CC65" s="62">
        <f t="shared" si="11"/>
        <v>496.80465179543125</v>
      </c>
      <c r="CD65" s="62">
        <f ca="1">AVERAGE(OFFSET($CC$3,0,0,'Données projet'!$E$12+1,1))-AVERAGE(OFFSET($H$3,0,0,'Données projet'!$E$12+1,1))</f>
        <v>122.57815304102127</v>
      </c>
      <c r="CE65" s="62">
        <f t="shared" si="40"/>
        <v>80.106609825870578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-3.7243808037601412E-14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199.99826357281154</v>
      </c>
      <c r="CZ65" s="62">
        <f t="shared" si="42"/>
        <v>214.67424457475136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89.658849326680496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89.658849326680496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-5.6843418860808015E-14</v>
      </c>
      <c r="DP65" s="18">
        <f>DO65*VLOOKUP('Données projet'!$B$14,Paramètres!$A$1:$I$89,3,0)*VLOOKUP('Données projet'!$B$14,Paramètres!$A$1:$I$89,5,0)</f>
        <v>-4.5224624045658861E-14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248.15263300983543</v>
      </c>
      <c r="DU65" s="62">
        <f t="shared" si="44"/>
        <v>266.46511459244618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134.19040405870291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134.19040405870291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-5.6843418860808015E-14</v>
      </c>
      <c r="EK65" s="18">
        <f>EJ65*VLOOKUP('Données projet'!$B$15,Paramètres!$A$1:$I$89,3,0)*VLOOKUP('Données projet'!$B$15,Paramètres!$A$1:$I$89,5,0)</f>
        <v>-3.813056537183002E-14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205.35893113421139</v>
      </c>
      <c r="EP65" s="62">
        <f t="shared" si="46"/>
        <v>220.4399811285175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113.1409289122397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113.1409289122397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382.55387448074327</v>
      </c>
      <c r="T66" s="62">
        <f t="shared" si="34"/>
        <v>476.29465646955543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243.8563371870307</v>
      </c>
      <c r="AA66" s="23">
        <f>EXP(-LN(2)/25)*AA65+(1-EXP(-LN(2)/25))/(LN(2)/25)*Calculateur!V66*Calculateur!X66*VLOOKUP('Données projet'!$B$9,Paramètres!$A$1:$I$89,3,0)*0.475*44/12</f>
        <v>59.282524560116805</v>
      </c>
      <c r="AB66" s="23">
        <f>EXP(-LN(2)/2)*AB65+(1-EXP(-LN(2)/2))/(LN(2)/2)*V66*Y66*VLOOKUP('Données projet'!$B$9,Paramètres!$A$1:$I$89,3,0)*0.475*44/12</f>
        <v>19.912427618358112</v>
      </c>
      <c r="AC66" s="24">
        <f t="shared" si="3"/>
        <v>323.05128936550562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11.733333333333329</v>
      </c>
      <c r="AI66" s="14">
        <f>IF('Données projet'!$A$62&gt;35,AI65+AH66-AQ65,IF(A66&lt;'Données projet'!$A$62,$AF$205^A66,IF(A66='Données projet'!$A$62,'Données projet'!$B$62,AI65+AH66-AQ65)))</f>
        <v>406.55999999999977</v>
      </c>
      <c r="AJ66" s="14">
        <f>AI66*VLOOKUP('Données projet'!$B$10,Paramètres!$A$1:$I$89,3,0)*VLOOKUP('Données projet'!$B$10,Paramètres!$A$1:$I$89,5,0)</f>
        <v>253.69343999999987</v>
      </c>
      <c r="AK66" s="14">
        <f t="shared" si="35"/>
        <v>61.376159112289358</v>
      </c>
      <c r="AL66" s="22">
        <f t="shared" si="4"/>
        <v>548.74621845390368</v>
      </c>
      <c r="AM66" s="62">
        <f t="shared" si="5"/>
        <v>842.07955178723705</v>
      </c>
      <c r="AN66" s="62">
        <f ca="1">AVERAGE(OFFSET($AM$3,0,0,'Données projet'!$E$10+1,1))-AVERAGE(OFFSET($H$3,0,0,'Données projet'!$E$10+1,1))</f>
        <v>420.68062999212015</v>
      </c>
      <c r="AO66" s="62">
        <f t="shared" si="36"/>
        <v>655.24090633185676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153.49533545993421</v>
      </c>
      <c r="AV66" s="23">
        <f>EXP(-LN(2)/25)*AV65+(1-EXP(-LN(2)/25))/(LN(2)/25)*Calculateur!AQ66*Calculateur!AS66*VLOOKUP('Données projet'!$B$10,Paramètres!$A$1:$I$89,3,0)*0.475*44/12</f>
        <v>32.449471763223478</v>
      </c>
      <c r="AW66" s="23">
        <f>EXP(-LN(2)/2)*AW65+(1-EXP(-LN(2)/2))/(LN(2)/2)*AQ66*AT66*VLOOKUP('Données projet'!$B$10,Paramètres!$A$1:$I$89,3,0)*0.475*44/12</f>
        <v>3.7449151176779281</v>
      </c>
      <c r="AX66" s="23">
        <f t="shared" si="6"/>
        <v>189.6897223408356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</v>
      </c>
      <c r="BD66" s="13">
        <f>IF('Données projet'!$A$88&gt;35,BD65+BC66-BL65,IF(A66&lt;'Données projet'!$A$88,$BA$205^A66,IF(A66='Données projet'!$A$88,'Données projet'!$B$88,BD65+BC66-BL65)))</f>
        <v>114</v>
      </c>
      <c r="BE66" s="14">
        <f>BD66*VLOOKUP('Données projet'!$B$11,Paramètres!$A$1:$I$89,3,0)*VLOOKUP('Données projet'!$B$11,Paramètres!$A$1:$I$89,5,0)</f>
        <v>103.14719999999998</v>
      </c>
      <c r="BF66" s="14">
        <f t="shared" si="37"/>
        <v>27.710417026801451</v>
      </c>
      <c r="BG66" s="22">
        <f t="shared" si="7"/>
        <v>227.91034965501251</v>
      </c>
      <c r="BH66" s="62">
        <f t="shared" si="8"/>
        <v>521.24368298834588</v>
      </c>
      <c r="BI66" s="62">
        <f ca="1">AVERAGE(OFFSET($BH$3,0,0,'Données projet'!$E$11+1,1))-AVERAGE(OFFSET($H$3,0,0,'Données projet'!$E$11+1,1))</f>
        <v>138.3429338270858</v>
      </c>
      <c r="BJ66" s="62">
        <f t="shared" si="38"/>
        <v>88.30225651635925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</v>
      </c>
      <c r="BY66" s="13">
        <f>IF('Données projet'!$A$114&gt;35,BY65+BX66-CG65,IF(A66&lt;'Données projet'!$A$114,$BV$205^A66,IF(A66='Données projet'!$A$114,'Données projet'!$B$114,BY65+BX66-CG65)))</f>
        <v>114</v>
      </c>
      <c r="BZ66" s="14">
        <f>BY66*VLOOKUP('Données projet'!$B$12,Paramètres!$A$1:$I$89,3,0)*VLOOKUP('Données projet'!$B$12,Paramètres!$A$1:$I$89,5,0)</f>
        <v>96.033600000000007</v>
      </c>
      <c r="CA66" s="14">
        <f t="shared" si="39"/>
        <v>26.014843211471227</v>
      </c>
      <c r="CB66" s="22">
        <f t="shared" si="10"/>
        <v>212.56770525997908</v>
      </c>
      <c r="CC66" s="62">
        <f t="shared" si="11"/>
        <v>505.90103859331236</v>
      </c>
      <c r="CD66" s="62">
        <f ca="1">AVERAGE(OFFSET($CC$3,0,0,'Données projet'!$E$12+1,1))-AVERAGE(OFFSET($H$3,0,0,'Données projet'!$E$12+1,1))</f>
        <v>122.57815304102127</v>
      </c>
      <c r="CE66" s="62">
        <f t="shared" si="40"/>
        <v>80.106609825870578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-3.7243808037601412E-14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199.99826357281154</v>
      </c>
      <c r="CZ66" s="62">
        <f t="shared" si="42"/>
        <v>214.67424457475136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87.90069397788254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87.90069397788254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-5.6843418860808015E-14</v>
      </c>
      <c r="DP66" s="18">
        <f>DO66*VLOOKUP('Données projet'!$B$14,Paramètres!$A$1:$I$89,3,0)*VLOOKUP('Données projet'!$B$14,Paramètres!$A$1:$I$89,5,0)</f>
        <v>-4.5224624045658861E-14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248.15263300983543</v>
      </c>
      <c r="DU66" s="62">
        <f t="shared" si="44"/>
        <v>266.46511459244618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131.55901208317638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131.55901208317638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-5.6843418860808015E-14</v>
      </c>
      <c r="EK66" s="18">
        <f>EJ66*VLOOKUP('Données projet'!$B$15,Paramètres!$A$1:$I$89,3,0)*VLOOKUP('Données projet'!$B$15,Paramètres!$A$1:$I$89,5,0)</f>
        <v>-3.813056537183002E-14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205.35893113421139</v>
      </c>
      <c r="EP66" s="62">
        <f t="shared" si="46"/>
        <v>220.4399811285175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110.92230430542322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110.92230430542322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382.55387448074327</v>
      </c>
      <c r="T67" s="62">
        <f t="shared" si="34"/>
        <v>476.29465646955543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239.07446315247208</v>
      </c>
      <c r="AA67" s="23">
        <f>EXP(-LN(2)/25)*AA66+(1-EXP(-LN(2)/25))/(LN(2)/25)*Calculateur!V67*Calculateur!X67*VLOOKUP('Données projet'!$B$9,Paramètres!$A$1:$I$89,3,0)*0.475*44/12</f>
        <v>57.661440808487939</v>
      </c>
      <c r="AB67" s="23">
        <f>EXP(-LN(2)/2)*AB66+(1-EXP(-LN(2)/2))/(LN(2)/2)*V67*Y67*VLOOKUP('Données projet'!$B$9,Paramètres!$A$1:$I$89,3,0)*0.475*44/12</f>
        <v>14.080212598827316</v>
      </c>
      <c r="AC67" s="24">
        <f t="shared" si="3"/>
        <v>310.8161165597873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11.733333333333329</v>
      </c>
      <c r="AI67" s="14">
        <f>IF('Données projet'!$A$62&gt;35,AI66+AH67-AQ66,IF(A67&lt;'Données projet'!$A$62,$AF$205^A67,IF(A67='Données projet'!$A$62,'Données projet'!$B$62,AI66+AH67-AQ66)))</f>
        <v>418.29333333333312</v>
      </c>
      <c r="AJ67" s="14">
        <f>AI67*VLOOKUP('Données projet'!$B$10,Paramètres!$A$1:$I$89,3,0)*VLOOKUP('Données projet'!$B$10,Paramètres!$A$1:$I$89,5,0)</f>
        <v>261.01503999999989</v>
      </c>
      <c r="AK67" s="14">
        <f t="shared" si="35"/>
        <v>62.93869437572851</v>
      </c>
      <c r="AL67" s="22">
        <f t="shared" si="4"/>
        <v>564.21942070439366</v>
      </c>
      <c r="AM67" s="62">
        <f t="shared" si="5"/>
        <v>857.55275403772703</v>
      </c>
      <c r="AN67" s="62">
        <f ca="1">AVERAGE(OFFSET($AM$3,0,0,'Données projet'!$E$10+1,1))-AVERAGE(OFFSET($H$3,0,0,'Données projet'!$E$10+1,1))</f>
        <v>420.68062999212015</v>
      </c>
      <c r="AO67" s="62">
        <f t="shared" si="36"/>
        <v>655.24090633185676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150.48538555447504</v>
      </c>
      <c r="AV67" s="23">
        <f>EXP(-LN(2)/25)*AV66+(1-EXP(-LN(2)/25))/(LN(2)/25)*Calculateur!AQ67*Calculateur!AS67*VLOOKUP('Données projet'!$B$10,Paramètres!$A$1:$I$89,3,0)*0.475*44/12</f>
        <v>31.562139251414575</v>
      </c>
      <c r="AW67" s="23">
        <f>EXP(-LN(2)/2)*AW66+(1-EXP(-LN(2)/2))/(LN(2)/2)*AQ67*AT67*VLOOKUP('Données projet'!$B$10,Paramètres!$A$1:$I$89,3,0)*0.475*44/12</f>
        <v>2.6480548746780808</v>
      </c>
      <c r="AX67" s="23">
        <f t="shared" si="6"/>
        <v>184.6955796805677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>
        <f>VLOOKUP(A67,'Données projet'!$A$87:$I$107,2,0)</f>
        <v>119</v>
      </c>
      <c r="BB67" s="13">
        <f>VLOOKUP(A67,'Données projet'!$A$87:$I$107,9,0)</f>
        <v>5</v>
      </c>
      <c r="BC67" s="13">
        <f t="array" ref="BC67">INDEX(BB:BB,MIN(IF(ISNUMBER(BB67:BB263),ROW(BB67:BB263),"")))</f>
        <v>5</v>
      </c>
      <c r="BD67" s="13">
        <f>IF('Données projet'!$A$88&gt;35,BD66+BC67-BL66,IF(A67&lt;'Données projet'!$A$88,$BA$205^A67,IF(A67='Données projet'!$A$88,'Données projet'!$B$88,BD66+BC67-BL66)))</f>
        <v>119</v>
      </c>
      <c r="BE67" s="14">
        <f>BD67*VLOOKUP('Données projet'!$B$11,Paramètres!$A$1:$I$89,3,0)*VLOOKUP('Données projet'!$B$11,Paramètres!$A$1:$I$89,5,0)</f>
        <v>107.6712</v>
      </c>
      <c r="BF67" s="14">
        <f t="shared" si="37"/>
        <v>28.781619683258381</v>
      </c>
      <c r="BG67" s="22">
        <f t="shared" si="7"/>
        <v>237.65532761500836</v>
      </c>
      <c r="BH67" s="62">
        <f t="shared" si="8"/>
        <v>530.9886609483417</v>
      </c>
      <c r="BI67" s="62">
        <f ca="1">AVERAGE(OFFSET($BH$3,0,0,'Données projet'!$E$11+1,1))-AVERAGE(OFFSET($H$3,0,0,'Données projet'!$E$11+1,1))</f>
        <v>138.3429338270858</v>
      </c>
      <c r="BJ67" s="62">
        <f t="shared" si="38"/>
        <v>88.30225651635925</v>
      </c>
      <c r="BK67" s="16">
        <f>IF(ISNA(VLOOKUP(A67,'Données projet'!$A$87:$I$107,3,0)),0,VLOOKUP(A67,'Données projet'!$A$87:$I$107,3,0))</f>
        <v>2</v>
      </c>
      <c r="BL67" s="16">
        <f>IF(ISNA(VLOOKUP(A67,'Données projet'!$A$87:$I$107,4,0)),0,VLOOKUP(A67,'Données projet'!$A$87:$I$107,4,0))</f>
        <v>34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>
        <f>VLOOKUP(A67,'Données projet'!$A$113:$I$133,2,0)</f>
        <v>119</v>
      </c>
      <c r="BW67" s="13">
        <f>VLOOKUP(A67,'Données projet'!$A$113:$I$133,9,0)</f>
        <v>5</v>
      </c>
      <c r="BX67" s="13">
        <f t="array" ref="BX67">INDEX(BW:BW,MIN(IF(ISNUMBER(BW67:BW263),ROW(BW67:BW263),"")))</f>
        <v>5</v>
      </c>
      <c r="BY67" s="13">
        <f>IF('Données projet'!$A$114&gt;35,BY66+BX67-CG66,IF(A67&lt;'Données projet'!$A$114,$BV$205^A67,IF(A67='Données projet'!$A$114,'Données projet'!$B$114,BY66+BX67-CG66)))</f>
        <v>119</v>
      </c>
      <c r="BZ67" s="14">
        <f>BY67*VLOOKUP('Données projet'!$B$12,Paramètres!$A$1:$I$89,3,0)*VLOOKUP('Données projet'!$B$12,Paramètres!$A$1:$I$89,5,0)</f>
        <v>100.24560000000001</v>
      </c>
      <c r="CA67" s="14">
        <f t="shared" si="39"/>
        <v>27.020500005754961</v>
      </c>
      <c r="CB67" s="22">
        <f t="shared" si="10"/>
        <v>221.6551241766899</v>
      </c>
      <c r="CC67" s="62">
        <f t="shared" si="11"/>
        <v>514.98845751002318</v>
      </c>
      <c r="CD67" s="62">
        <f ca="1">AVERAGE(OFFSET($CC$3,0,0,'Données projet'!$E$12+1,1))-AVERAGE(OFFSET($H$3,0,0,'Données projet'!$E$12+1,1))</f>
        <v>122.57815304102127</v>
      </c>
      <c r="CE67" s="62">
        <f t="shared" si="40"/>
        <v>80.106609825870578</v>
      </c>
      <c r="CF67" s="16">
        <f>IF(ISNA(VLOOKUP(A67,'Données projet'!$A$113:$I$133,3,0)),0,VLOOKUP(A67,'Données projet'!$A$113:$I$133,3,0))</f>
        <v>2</v>
      </c>
      <c r="CG67" s="16">
        <f>IF(ISNA(VLOOKUP(A67,'Données projet'!$A$113:$I$133,4,0)),0,VLOOKUP(A67,'Données projet'!$A$113:$I$133,4,0))</f>
        <v>34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-3.7243808037601412E-14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199.99826357281154</v>
      </c>
      <c r="CZ67" s="62">
        <f t="shared" si="42"/>
        <v>214.67424457475136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86.177014983105636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86.177014983105636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-5.6843418860808015E-14</v>
      </c>
      <c r="DP67" s="18">
        <f>DO67*VLOOKUP('Données projet'!$B$14,Paramètres!$A$1:$I$89,3,0)*VLOOKUP('Données projet'!$B$14,Paramètres!$A$1:$I$89,5,0)</f>
        <v>-4.5224624045658861E-14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248.15263300983543</v>
      </c>
      <c r="DU67" s="62">
        <f t="shared" si="44"/>
        <v>266.46511459244618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128.97922009929931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128.97922009929931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-5.6843418860808015E-14</v>
      </c>
      <c r="EK67" s="18">
        <f>EJ67*VLOOKUP('Données projet'!$B$15,Paramètres!$A$1:$I$89,3,0)*VLOOKUP('Données projet'!$B$15,Paramètres!$A$1:$I$89,5,0)</f>
        <v>-3.813056537183002E-14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205.35893113421139</v>
      </c>
      <c r="EP67" s="62">
        <f t="shared" si="46"/>
        <v>220.4399811285175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108.74718557391904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108.74718557391904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382.55387448074327</v>
      </c>
      <c r="T68" s="62">
        <f t="shared" si="34"/>
        <v>476.29465646955543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234.38635875107599</v>
      </c>
      <c r="AA68" s="23">
        <f>EXP(-LN(2)/25)*AA67+(1-EXP(-LN(2)/25))/(LN(2)/25)*Calculateur!V68*Calculateur!X68*VLOOKUP('Données projet'!$B$9,Paramètres!$A$1:$I$89,3,0)*0.475*44/12</f>
        <v>56.084685677296449</v>
      </c>
      <c r="AB68" s="23">
        <f>EXP(-LN(2)/2)*AB67+(1-EXP(-LN(2)/2))/(LN(2)/2)*V68*Y68*VLOOKUP('Données projet'!$B$9,Paramètres!$A$1:$I$89,3,0)*0.475*44/12</f>
        <v>9.956213809179058</v>
      </c>
      <c r="AC68" s="24">
        <f t="shared" ref="AC68:AC131" si="57">SUM(Z68:AB68)</f>
        <v>300.42725823755154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11.733333333333329</v>
      </c>
      <c r="AI68" s="14">
        <f>IF('Données projet'!$A$62&gt;35,AI67+AH68-AQ67,IF(A68&lt;'Données projet'!$A$62,$AF$205^A68,IF(A68='Données projet'!$A$62,'Données projet'!$B$62,AI67+AH68-AQ67)))</f>
        <v>430.02666666666647</v>
      </c>
      <c r="AJ68" s="14">
        <f>AI68*VLOOKUP('Données projet'!$B$10,Paramètres!$A$1:$I$89,3,0)*VLOOKUP('Données projet'!$B$10,Paramètres!$A$1:$I$89,5,0)</f>
        <v>268.33663999999987</v>
      </c>
      <c r="AK68" s="14">
        <f t="shared" si="35"/>
        <v>64.496135454921145</v>
      </c>
      <c r="AL68" s="22">
        <f t="shared" ref="AL68:AL131" si="58">(AJ68+AK68)*0.475*44/12</f>
        <v>579.68375058398738</v>
      </c>
      <c r="AM68" s="62">
        <f t="shared" ref="AM68:AM131" si="59">AL68+(AD68+AE68)*44/12</f>
        <v>873.01708391732063</v>
      </c>
      <c r="AN68" s="62">
        <f ca="1">AVERAGE(OFFSET($AM$3,0,0,'Données projet'!$E$10+1,1))-AVERAGE(OFFSET($H$3,0,0,'Données projet'!$E$10+1,1))</f>
        <v>420.68062999212015</v>
      </c>
      <c r="AO68" s="62">
        <f t="shared" si="36"/>
        <v>655.24090633185676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147.53445893077375</v>
      </c>
      <c r="AV68" s="23">
        <f>EXP(-LN(2)/25)*AV67+(1-EXP(-LN(2)/25))/(LN(2)/25)*Calculateur!AQ68*Calculateur!AS68*VLOOKUP('Données projet'!$B$10,Paramètres!$A$1:$I$89,3,0)*0.475*44/12</f>
        <v>30.699070893803878</v>
      </c>
      <c r="AW68" s="23">
        <f>EXP(-LN(2)/2)*AW67+(1-EXP(-LN(2)/2))/(LN(2)/2)*AQ68*AT68*VLOOKUP('Données projet'!$B$10,Paramètres!$A$1:$I$89,3,0)*0.475*44/12</f>
        <v>1.8724575588389643</v>
      </c>
      <c r="AX68" s="23">
        <f t="shared" ref="AX68:AX131" si="60">SUM(AU68:AW68)</f>
        <v>180.10598738341659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4.125</v>
      </c>
      <c r="BD68" s="13">
        <f>IF('Données projet'!$A$88&gt;35,BD67+BC68-BL67,IF(A68&lt;'Données projet'!$A$88,$BA$205^A68,IF(A68='Données projet'!$A$88,'Données projet'!$B$88,BD67+BC68-BL67)))</f>
        <v>89.125</v>
      </c>
      <c r="BE68" s="14">
        <f>BD68*VLOOKUP('Données projet'!$B$11,Paramètres!$A$1:$I$89,3,0)*VLOOKUP('Données projet'!$B$11,Paramètres!$A$1:$I$89,5,0)</f>
        <v>80.640299999999996</v>
      </c>
      <c r="BF68" s="14">
        <f t="shared" si="37"/>
        <v>22.293668096726424</v>
      </c>
      <c r="BG68" s="22">
        <f t="shared" ref="BG68:BG131" si="61">(BE68+BF68)*0.475*44/12</f>
        <v>179.27666110179848</v>
      </c>
      <c r="BH68" s="62">
        <f t="shared" ref="BH68:BH131" si="62">BG68+(AY68+AZ68)*44/12</f>
        <v>472.6099944351318</v>
      </c>
      <c r="BI68" s="62">
        <f ca="1">AVERAGE(OFFSET($BH$3,0,0,'Données projet'!$E$11+1,1))-AVERAGE(OFFSET($H$3,0,0,'Données projet'!$E$11+1,1))</f>
        <v>138.3429338270858</v>
      </c>
      <c r="BJ68" s="62">
        <f t="shared" si="38"/>
        <v>88.30225651635925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4.125</v>
      </c>
      <c r="BY68" s="13">
        <f>IF('Données projet'!$A$114&gt;35,BY67+BX68-CG67,IF(A68&lt;'Données projet'!$A$114,$BV$205^A68,IF(A68='Données projet'!$A$114,'Données projet'!$B$114,BY67+BX68-CG67)))</f>
        <v>89.125</v>
      </c>
      <c r="BZ68" s="14">
        <f>BY68*VLOOKUP('Données projet'!$B$12,Paramètres!$A$1:$I$89,3,0)*VLOOKUP('Données projet'!$B$12,Paramètres!$A$1:$I$89,5,0)</f>
        <v>75.078900000000004</v>
      </c>
      <c r="CA68" s="14">
        <f t="shared" si="39"/>
        <v>20.929539948243079</v>
      </c>
      <c r="CB68" s="22">
        <f t="shared" ref="CB68:CB131" si="64">(BZ68+CA68)*0.475*44/12</f>
        <v>167.21469957652337</v>
      </c>
      <c r="CC68" s="62">
        <f t="shared" ref="CC68:CC131" si="65">CB68+(BT68+BU68)*44/12</f>
        <v>460.54803290985672</v>
      </c>
      <c r="CD68" s="62">
        <f ca="1">AVERAGE(OFFSET($CC$3,0,0,'Données projet'!$E$12+1,1))-AVERAGE(OFFSET($H$3,0,0,'Données projet'!$E$12+1,1))</f>
        <v>122.57815304102127</v>
      </c>
      <c r="CE68" s="62">
        <f t="shared" si="40"/>
        <v>80.106609825870578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-3.7243808037601412E-14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199.99826357281154</v>
      </c>
      <c r="CZ68" s="62">
        <f t="shared" si="42"/>
        <v>214.67424457475136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84.487136282075923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84.487136282075923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-5.6843418860808015E-14</v>
      </c>
      <c r="DP68" s="18">
        <f>DO68*VLOOKUP('Données projet'!$B$14,Paramètres!$A$1:$I$89,3,0)*VLOOKUP('Données projet'!$B$14,Paramètres!$A$1:$I$89,5,0)</f>
        <v>-4.5224624045658861E-14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248.15263300983543</v>
      </c>
      <c r="DU68" s="62">
        <f t="shared" si="44"/>
        <v>266.46511459244618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126.45001626270835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126.45001626270835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-5.6843418860808015E-14</v>
      </c>
      <c r="EK68" s="18">
        <f>EJ68*VLOOKUP('Données projet'!$B$15,Paramètres!$A$1:$I$89,3,0)*VLOOKUP('Données projet'!$B$15,Paramètres!$A$1:$I$89,5,0)</f>
        <v>-3.813056537183002E-14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205.35893113421139</v>
      </c>
      <c r="EP68" s="62">
        <f t="shared" si="46"/>
        <v>220.4399811285175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106.61471959404822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106.61471959404822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382.55387448074327</v>
      </c>
      <c r="T69" s="62">
        <f t="shared" ref="T69:T132" si="88">$T$3</f>
        <v>476.29465646955543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229.79018521752994</v>
      </c>
      <c r="AA69" s="23">
        <f>EXP(-LN(2)/25)*AA68+(1-EXP(-LN(2)/25))/(LN(2)/25)*Calculateur!V69*Calculateur!X69*VLOOKUP('Données projet'!$B$9,Paramètres!$A$1:$I$89,3,0)*0.475*44/12</f>
        <v>54.55104699808534</v>
      </c>
      <c r="AB69" s="23">
        <f>EXP(-LN(2)/2)*AB68+(1-EXP(-LN(2)/2))/(LN(2)/2)*V69*Y69*VLOOKUP('Données projet'!$B$9,Paramètres!$A$1:$I$89,3,0)*0.475*44/12</f>
        <v>7.0401062994136598</v>
      </c>
      <c r="AC69" s="24">
        <f t="shared" si="57"/>
        <v>291.38133851502892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441.76</v>
      </c>
      <c r="AG69" s="13">
        <f>VLOOKUP(A69,'Données projet'!$A$61:$I$81,9,0)</f>
        <v>11.733333333333329</v>
      </c>
      <c r="AH69" s="13">
        <f t="array" ref="AH69">INDEX(AG:AG,MIN(IF(ISNUMBER(AG69:AG265),ROW(AG69:AG265),"")))</f>
        <v>11.733333333333329</v>
      </c>
      <c r="AI69" s="14">
        <f>IF('Données projet'!$A$62&gt;35,AI68+AH69-AQ68,IF(A69&lt;'Données projet'!$A$62,$AF$205^A69,IF(A69='Données projet'!$A$62,'Données projet'!$B$62,AI68+AH69-AQ68)))</f>
        <v>441.75999999999982</v>
      </c>
      <c r="AJ69" s="14">
        <f>AI69*VLOOKUP('Données projet'!$B$10,Paramètres!$A$1:$I$89,3,0)*VLOOKUP('Données projet'!$B$10,Paramètres!$A$1:$I$89,5,0)</f>
        <v>275.65823999999986</v>
      </c>
      <c r="AK69" s="14">
        <f t="shared" ref="AK69:AK132" si="89">EXP(-1.0587+0.8836*LN(AJ69)+0.284)</f>
        <v>66.048637317204054</v>
      </c>
      <c r="AL69" s="22">
        <f t="shared" si="58"/>
        <v>595.13947799413006</v>
      </c>
      <c r="AM69" s="62">
        <f t="shared" si="59"/>
        <v>888.47281132746343</v>
      </c>
      <c r="AN69" s="62">
        <f ca="1">AVERAGE(OFFSET($AM$3,0,0,'Données projet'!$E$10+1,1))-AVERAGE(OFFSET($H$3,0,0,'Données projet'!$E$10+1,1))</f>
        <v>420.68062999212015</v>
      </c>
      <c r="AO69" s="62">
        <f t="shared" ref="AO69:AO132" si="90">$AO$3</f>
        <v>655.24090633185676</v>
      </c>
      <c r="AP69" s="16">
        <f>IF(ISNA(VLOOKUP(A69,'Données projet'!$A$61:$I$81,3,0)),0,VLOOKUP(A69,'Données projet'!$A$61:$I$81,3,0))</f>
        <v>7</v>
      </c>
      <c r="AQ69" s="16">
        <f>IF(ISNA(VLOOKUP(A69,'Données projet'!$A$61:$I$81,4,0)),0,VLOOKUP(A69,'Données projet'!$A$61:$I$81,4,0))</f>
        <v>95.92</v>
      </c>
      <c r="AR69" s="17">
        <f>IF(ISNA(VLOOKUP(A69,'Données projet'!$A$61:$I$81,5,0)),0%,VLOOKUP(A69,'Données projet'!$A$61:$I$81,5,0)*VLOOKUP('Données projet'!$B$10,Paramètres!$A$1:$I$89,7,0))</f>
        <v>0.42</v>
      </c>
      <c r="AS69" s="17">
        <f>IF(ISNA(VLOOKUP(A69,'Données projet'!$A$61:$I$81,6,0)),0%,VLOOKUP(A69,'Données projet'!$A$61:$I$81,6,0)*VLOOKUP('Données projet'!$B$10,Paramètres!$A$1:$I$89,7,0))</f>
        <v>0.1008</v>
      </c>
      <c r="AT69" s="17">
        <f>IF(ISNA(VLOOKUP(A69,'Données projet'!$A$61:$I$81,7,0)),0%,VLOOKUP(A69,'Données projet'!$A$61:$I$81,7,0))</f>
        <v>0.13200000000000001</v>
      </c>
      <c r="AU69" s="23">
        <f>EXP(-LN(2)/35)*AU68+(1-EXP(-LN(2)/35))/(LN(2)/35)*AQ69*AR69*VLOOKUP('Données projet'!$B$10,Paramètres!$A$1:$I$89,3,0)*0.475*44/12</f>
        <v>177.9895220955103</v>
      </c>
      <c r="AV69" s="23">
        <f>EXP(-LN(2)/25)*AV68+(1-EXP(-LN(2)/25))/(LN(2)/25)*Calculateur!AQ69*Calculateur!AS69*VLOOKUP('Données projet'!$B$10,Paramètres!$A$1:$I$89,3,0)*0.475*44/12</f>
        <v>37.831639901036681</v>
      </c>
      <c r="AW69" s="23">
        <f>EXP(-LN(2)/2)*AW68+(1-EXP(-LN(2)/2))/(LN(2)/2)*AQ69*AT69*VLOOKUP('Données projet'!$B$10,Paramètres!$A$1:$I$89,3,0)*0.475*44/12</f>
        <v>10.269498809283782</v>
      </c>
      <c r="AX69" s="23">
        <f t="shared" si="60"/>
        <v>226.09066080583077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4.125</v>
      </c>
      <c r="BD69" s="13">
        <f>IF('Données projet'!$A$88&gt;35,BD68+BC69-BL68,IF(A69&lt;'Données projet'!$A$88,$BA$205^A69,IF(A69='Données projet'!$A$88,'Données projet'!$B$88,BD68+BC69-BL68)))</f>
        <v>93.25</v>
      </c>
      <c r="BE69" s="14">
        <f>BD69*VLOOKUP('Données projet'!$B$11,Paramètres!$A$1:$I$89,3,0)*VLOOKUP('Données projet'!$B$11,Paramètres!$A$1:$I$89,5,0)</f>
        <v>84.372599999999991</v>
      </c>
      <c r="BF69" s="14">
        <f t="shared" ref="BF69:BF132" si="91">EXP(-1.0587+0.8836*LN(BE69)+0.284)</f>
        <v>23.202973847933446</v>
      </c>
      <c r="BG69" s="22">
        <f t="shared" si="61"/>
        <v>187.36079111848406</v>
      </c>
      <c r="BH69" s="62">
        <f t="shared" si="62"/>
        <v>480.6941244518174</v>
      </c>
      <c r="BI69" s="62">
        <f ca="1">AVERAGE(OFFSET($BH$3,0,0,'Données projet'!$E$11+1,1))-AVERAGE(OFFSET($H$3,0,0,'Données projet'!$E$11+1,1))</f>
        <v>138.3429338270858</v>
      </c>
      <c r="BJ69" s="62">
        <f t="shared" ref="BJ69:BJ132" si="92">$BJ$3</f>
        <v>88.30225651635925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4.125</v>
      </c>
      <c r="BY69" s="13">
        <f>IF('Données projet'!$A$114&gt;35,BY68+BX69-CG68,IF(A69&lt;'Données projet'!$A$114,$BV$205^A69,IF(A69='Données projet'!$A$114,'Données projet'!$B$114,BY68+BX69-CG68)))</f>
        <v>93.25</v>
      </c>
      <c r="BZ69" s="14">
        <f>BY69*VLOOKUP('Données projet'!$B$12,Paramètres!$A$1:$I$89,3,0)*VLOOKUP('Données projet'!$B$12,Paramètres!$A$1:$I$89,5,0)</f>
        <v>78.55380000000001</v>
      </c>
      <c r="CA69" s="14">
        <f t="shared" ref="CA69:CA132" si="93">EXP(-1.0587+0.8836*LN(BZ69)+0.284)</f>
        <v>21.783206153484961</v>
      </c>
      <c r="CB69" s="22">
        <f t="shared" si="64"/>
        <v>174.75361905065299</v>
      </c>
      <c r="CC69" s="62">
        <f t="shared" si="65"/>
        <v>468.08695238398627</v>
      </c>
      <c r="CD69" s="62">
        <f ca="1">AVERAGE(OFFSET($CC$3,0,0,'Données projet'!$E$12+1,1))-AVERAGE(OFFSET($H$3,0,0,'Données projet'!$E$12+1,1))</f>
        <v>122.57815304102127</v>
      </c>
      <c r="CE69" s="62">
        <f t="shared" ref="CE69:CE132" si="94">$CE$3</f>
        <v>80.106609825870578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-3.7243808037601412E-14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199.99826357281154</v>
      </c>
      <c r="CZ69" s="62">
        <f t="shared" ref="CZ69:CZ132" si="96">$CZ$3</f>
        <v>214.67424457475136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82.830395071649178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82.830395071649178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-5.6843418860808015E-14</v>
      </c>
      <c r="DP69" s="18">
        <f>DO69*VLOOKUP('Données projet'!$B$14,Paramètres!$A$1:$I$89,3,0)*VLOOKUP('Données projet'!$B$14,Paramètres!$A$1:$I$89,5,0)</f>
        <v>-4.5224624045658861E-14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248.15263300983543</v>
      </c>
      <c r="DU69" s="62">
        <f t="shared" ref="DU69:DU132" si="98">$DU$3</f>
        <v>266.46511459244618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123.97040857069091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123.97040857069091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-5.6843418860808015E-14</v>
      </c>
      <c r="EK69" s="18">
        <f>EJ69*VLOOKUP('Données projet'!$B$15,Paramètres!$A$1:$I$89,3,0)*VLOOKUP('Données projet'!$B$15,Paramètres!$A$1:$I$89,5,0)</f>
        <v>-3.813056537183002E-14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205.35893113421139</v>
      </c>
      <c r="EP69" s="62">
        <f t="shared" ref="EP69:EP132" si="100">$EP$3</f>
        <v>220.4399811285175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104.52406997136686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104.52406997136686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382.55387448074327</v>
      </c>
      <c r="T70" s="62">
        <f t="shared" si="88"/>
        <v>476.29465646955543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225.2841398435877</v>
      </c>
      <c r="AA70" s="23">
        <f>EXP(-LN(2)/25)*AA69+(1-EXP(-LN(2)/25))/(LN(2)/25)*Calculateur!V70*Calculateur!X70*VLOOKUP('Données projet'!$B$9,Paramètres!$A$1:$I$89,3,0)*0.475*44/12</f>
        <v>53.059345749207814</v>
      </c>
      <c r="AB70" s="23">
        <f>EXP(-LN(2)/2)*AB69+(1-EXP(-LN(2)/2))/(LN(2)/2)*V70*Y70*VLOOKUP('Données projet'!$B$9,Paramètres!$A$1:$I$89,3,0)*0.475*44/12</f>
        <v>4.9781069045895299</v>
      </c>
      <c r="AC70" s="24">
        <f t="shared" si="57"/>
        <v>283.32159249738504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10.266666666666671</v>
      </c>
      <c r="AI70" s="14">
        <f>IF('Données projet'!$A$62&gt;35,AI69+AH70-AQ69,IF(A70&lt;'Données projet'!$A$62,$AF$205^A70,IF(A70='Données projet'!$A$62,'Données projet'!$B$62,AI69+AH70-AQ69)))</f>
        <v>356.10666666666646</v>
      </c>
      <c r="AJ70" s="14">
        <f>AI70*VLOOKUP('Données projet'!$B$10,Paramètres!$A$1:$I$89,3,0)*VLOOKUP('Données projet'!$B$10,Paramètres!$A$1:$I$89,5,0)</f>
        <v>222.21055999999987</v>
      </c>
      <c r="AK70" s="14">
        <f t="shared" si="89"/>
        <v>54.59506009309046</v>
      </c>
      <c r="AL70" s="22">
        <f t="shared" si="58"/>
        <v>482.10312166213231</v>
      </c>
      <c r="AM70" s="62">
        <f t="shared" si="59"/>
        <v>775.43645499546562</v>
      </c>
      <c r="AN70" s="62">
        <f ca="1">AVERAGE(OFFSET($AM$3,0,0,'Données projet'!$E$10+1,1))-AVERAGE(OFFSET($H$3,0,0,'Données projet'!$E$10+1,1))</f>
        <v>420.68062999212015</v>
      </c>
      <c r="AO70" s="62">
        <f t="shared" si="90"/>
        <v>655.24090633185676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174.49925613010612</v>
      </c>
      <c r="AV70" s="23">
        <f>EXP(-LN(2)/25)*AV69+(1-EXP(-LN(2)/25))/(LN(2)/25)*Calculateur!AQ70*Calculateur!AS70*VLOOKUP('Données projet'!$B$10,Paramètres!$A$1:$I$89,3,0)*0.475*44/12</f>
        <v>36.797131718463355</v>
      </c>
      <c r="AW70" s="23">
        <f>EXP(-LN(2)/2)*AW69+(1-EXP(-LN(2)/2))/(LN(2)/2)*AQ70*AT70*VLOOKUP('Données projet'!$B$10,Paramètres!$A$1:$I$89,3,0)*0.475*44/12</f>
        <v>7.2616322474317379</v>
      </c>
      <c r="AX70" s="23">
        <f t="shared" si="60"/>
        <v>218.55802009600123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4.125</v>
      </c>
      <c r="BD70" s="13">
        <f>IF('Données projet'!$A$88&gt;35,BD69+BC70-BL69,IF(A70&lt;'Données projet'!$A$88,$BA$205^A70,IF(A70='Données projet'!$A$88,'Données projet'!$B$88,BD69+BC70-BL69)))</f>
        <v>97.375</v>
      </c>
      <c r="BE70" s="14">
        <f>BD70*VLOOKUP('Données projet'!$B$11,Paramètres!$A$1:$I$89,3,0)*VLOOKUP('Données projet'!$B$11,Paramètres!$A$1:$I$89,5,0)</f>
        <v>88.104900000000001</v>
      </c>
      <c r="BF70" s="14">
        <f t="shared" si="91"/>
        <v>24.107607952349973</v>
      </c>
      <c r="BG70" s="22">
        <f t="shared" si="61"/>
        <v>195.43678468367617</v>
      </c>
      <c r="BH70" s="62">
        <f t="shared" si="62"/>
        <v>488.77011801700951</v>
      </c>
      <c r="BI70" s="62">
        <f ca="1">AVERAGE(OFFSET($BH$3,0,0,'Données projet'!$E$11+1,1))-AVERAGE(OFFSET($H$3,0,0,'Données projet'!$E$11+1,1))</f>
        <v>138.3429338270858</v>
      </c>
      <c r="BJ70" s="62">
        <f t="shared" si="92"/>
        <v>88.30225651635925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4.125</v>
      </c>
      <c r="BY70" s="13">
        <f>IF('Données projet'!$A$114&gt;35,BY69+BX70-CG69,IF(A70&lt;'Données projet'!$A$114,$BV$205^A70,IF(A70='Données projet'!$A$114,'Données projet'!$B$114,BY69+BX70-CG69)))</f>
        <v>97.375</v>
      </c>
      <c r="BZ70" s="14">
        <f>BY70*VLOOKUP('Données projet'!$B$12,Paramètres!$A$1:$I$89,3,0)*VLOOKUP('Données projet'!$B$12,Paramètres!$A$1:$I$89,5,0)</f>
        <v>82.028700000000001</v>
      </c>
      <c r="CA70" s="14">
        <f t="shared" si="93"/>
        <v>22.632486565518573</v>
      </c>
      <c r="CB70" s="22">
        <f t="shared" si="64"/>
        <v>182.28489993494486</v>
      </c>
      <c r="CC70" s="62">
        <f t="shared" si="65"/>
        <v>475.61823326827817</v>
      </c>
      <c r="CD70" s="62">
        <f ca="1">AVERAGE(OFFSET($CC$3,0,0,'Données projet'!$E$12+1,1))-AVERAGE(OFFSET($H$3,0,0,'Données projet'!$E$12+1,1))</f>
        <v>122.57815304102127</v>
      </c>
      <c r="CE70" s="62">
        <f t="shared" si="94"/>
        <v>80.106609825870578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-3.7243808037601412E-14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199.99826357281154</v>
      </c>
      <c r="CZ70" s="62">
        <f t="shared" si="96"/>
        <v>214.67424457475136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81.206141545846549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81.206141545846549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-5.6843418860808015E-14</v>
      </c>
      <c r="DP70" s="18">
        <f>DO70*VLOOKUP('Données projet'!$B$14,Paramètres!$A$1:$I$89,3,0)*VLOOKUP('Données projet'!$B$14,Paramètres!$A$1:$I$89,5,0)</f>
        <v>-4.5224624045658861E-14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248.15263300983543</v>
      </c>
      <c r="DU70" s="62">
        <f t="shared" si="98"/>
        <v>266.46511459244618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121.53942447310257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121.53942447310257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-5.6843418860808015E-14</v>
      </c>
      <c r="EK70" s="18">
        <f>EJ70*VLOOKUP('Données projet'!$B$15,Paramètres!$A$1:$I$89,3,0)*VLOOKUP('Données projet'!$B$15,Paramètres!$A$1:$I$89,5,0)</f>
        <v>-3.813056537183002E-14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205.35893113421139</v>
      </c>
      <c r="EP70" s="62">
        <f t="shared" si="100"/>
        <v>220.4399811285175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102.47441671261591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102.47441671261591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382.55387448074327</v>
      </c>
      <c r="T71" s="62">
        <f t="shared" si="88"/>
        <v>476.29465646955543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220.86645527101217</v>
      </c>
      <c r="AA71" s="23">
        <f>EXP(-LN(2)/25)*AA70+(1-EXP(-LN(2)/25))/(LN(2)/25)*Calculateur!V71*Calculateur!X71*VLOOKUP('Données projet'!$B$9,Paramètres!$A$1:$I$89,3,0)*0.475*44/12</f>
        <v>51.608435149426001</v>
      </c>
      <c r="AB71" s="23">
        <f>EXP(-LN(2)/2)*AB70+(1-EXP(-LN(2)/2))/(LN(2)/2)*V71*Y71*VLOOKUP('Données projet'!$B$9,Paramètres!$A$1:$I$89,3,0)*0.475*44/12</f>
        <v>3.5200531497068304</v>
      </c>
      <c r="AC71" s="24">
        <f t="shared" si="57"/>
        <v>275.99494357014498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10.266666666666671</v>
      </c>
      <c r="AI71" s="14">
        <f>IF('Données projet'!$A$62&gt;35,AI70+AH71-AQ70,IF(A71&lt;'Données projet'!$A$62,$AF$205^A71,IF(A71='Données projet'!$A$62,'Données projet'!$B$62,AI70+AH71-AQ70)))</f>
        <v>366.37333333333311</v>
      </c>
      <c r="AJ71" s="14">
        <f>AI71*VLOOKUP('Données projet'!$B$10,Paramètres!$A$1:$I$89,3,0)*VLOOKUP('Données projet'!$B$10,Paramètres!$A$1:$I$89,5,0)</f>
        <v>228.61695999999984</v>
      </c>
      <c r="AK71" s="14">
        <f t="shared" si="89"/>
        <v>55.983531055960768</v>
      </c>
      <c r="AL71" s="22">
        <f t="shared" si="58"/>
        <v>495.67918858913134</v>
      </c>
      <c r="AM71" s="62">
        <f t="shared" si="59"/>
        <v>789.01252192246466</v>
      </c>
      <c r="AN71" s="62">
        <f ca="1">AVERAGE(OFFSET($AM$3,0,0,'Données projet'!$E$10+1,1))-AVERAGE(OFFSET($H$3,0,0,'Données projet'!$E$10+1,1))</f>
        <v>420.68062999212015</v>
      </c>
      <c r="AO71" s="62">
        <f t="shared" si="90"/>
        <v>655.24090633185676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171.07743215143148</v>
      </c>
      <c r="AV71" s="23">
        <f>EXP(-LN(2)/25)*AV70+(1-EXP(-LN(2)/25))/(LN(2)/25)*Calculateur!AQ71*Calculateur!AS71*VLOOKUP('Données projet'!$B$10,Paramètres!$A$1:$I$89,3,0)*0.475*44/12</f>
        <v>35.790912216544918</v>
      </c>
      <c r="AW71" s="23">
        <f>EXP(-LN(2)/2)*AW70+(1-EXP(-LN(2)/2))/(LN(2)/2)*AQ71*AT71*VLOOKUP('Données projet'!$B$10,Paramètres!$A$1:$I$89,3,0)*0.475*44/12</f>
        <v>5.1347494046418918</v>
      </c>
      <c r="AX71" s="23">
        <f t="shared" si="60"/>
        <v>212.00309377261829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4.125</v>
      </c>
      <c r="BD71" s="13">
        <f>IF('Données projet'!$A$88&gt;35,BD70+BC71-BL70,IF(A71&lt;'Données projet'!$A$88,$BA$205^A71,IF(A71='Données projet'!$A$88,'Données projet'!$B$88,BD70+BC71-BL70)))</f>
        <v>101.5</v>
      </c>
      <c r="BE71" s="14">
        <f>BD71*VLOOKUP('Données projet'!$B$11,Paramètres!$A$1:$I$89,3,0)*VLOOKUP('Données projet'!$B$11,Paramètres!$A$1:$I$89,5,0)</f>
        <v>91.837199999999996</v>
      </c>
      <c r="BF71" s="14">
        <f t="shared" si="91"/>
        <v>25.007790936639388</v>
      </c>
      <c r="BG71" s="22">
        <f t="shared" si="61"/>
        <v>203.5050258813136</v>
      </c>
      <c r="BH71" s="62">
        <f t="shared" si="62"/>
        <v>496.83835921464691</v>
      </c>
      <c r="BI71" s="62">
        <f ca="1">AVERAGE(OFFSET($BH$3,0,0,'Données projet'!$E$11+1,1))-AVERAGE(OFFSET($H$3,0,0,'Données projet'!$E$11+1,1))</f>
        <v>138.3429338270858</v>
      </c>
      <c r="BJ71" s="62">
        <f t="shared" si="92"/>
        <v>88.30225651635925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4.125</v>
      </c>
      <c r="BY71" s="13">
        <f>IF('Données projet'!$A$114&gt;35,BY70+BX71-CG70,IF(A71&lt;'Données projet'!$A$114,$BV$205^A71,IF(A71='Données projet'!$A$114,'Données projet'!$B$114,BY70+BX71-CG70)))</f>
        <v>101.5</v>
      </c>
      <c r="BZ71" s="14">
        <f>BY71*VLOOKUP('Données projet'!$B$12,Paramètres!$A$1:$I$89,3,0)*VLOOKUP('Données projet'!$B$12,Paramètres!$A$1:$I$89,5,0)</f>
        <v>85.503600000000006</v>
      </c>
      <c r="CA71" s="14">
        <f t="shared" si="93"/>
        <v>23.477588217192526</v>
      </c>
      <c r="CB71" s="22">
        <f t="shared" si="64"/>
        <v>189.80890281161032</v>
      </c>
      <c r="CC71" s="62">
        <f t="shared" si="65"/>
        <v>483.14223614494364</v>
      </c>
      <c r="CD71" s="62">
        <f ca="1">AVERAGE(OFFSET($CC$3,0,0,'Données projet'!$E$12+1,1))-AVERAGE(OFFSET($H$3,0,0,'Données projet'!$E$12+1,1))</f>
        <v>122.57815304102127</v>
      </c>
      <c r="CE71" s="62">
        <f t="shared" si="94"/>
        <v>80.106609825870578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-3.7243808037601412E-14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199.99826357281154</v>
      </c>
      <c r="CZ71" s="62">
        <f t="shared" si="96"/>
        <v>214.67424457475136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79.613738640988075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79.613738640988075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-5.6843418860808015E-14</v>
      </c>
      <c r="DP71" s="18">
        <f>DO71*VLOOKUP('Données projet'!$B$14,Paramètres!$A$1:$I$89,3,0)*VLOOKUP('Données projet'!$B$14,Paramètres!$A$1:$I$89,5,0)</f>
        <v>-4.5224624045658861E-14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248.15263300983543</v>
      </c>
      <c r="DU71" s="62">
        <f t="shared" si="98"/>
        <v>266.46511459244618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119.15611049091406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119.15611049091406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-5.6843418860808015E-14</v>
      </c>
      <c r="EK71" s="18">
        <f>EJ71*VLOOKUP('Données projet'!$B$15,Paramètres!$A$1:$I$89,3,0)*VLOOKUP('Données projet'!$B$15,Paramètres!$A$1:$I$89,5,0)</f>
        <v>-3.813056537183002E-14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205.35893113421139</v>
      </c>
      <c r="EP71" s="62">
        <f t="shared" si="100"/>
        <v>220.4399811285175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100.46495590410402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100.46495590410402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382.55387448074327</v>
      </c>
      <c r="T72" s="62">
        <f t="shared" si="88"/>
        <v>476.29465646955543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216.53539879838331</v>
      </c>
      <c r="AA72" s="23">
        <f>EXP(-LN(2)/25)*AA71+(1-EXP(-LN(2)/25))/(LN(2)/25)*Calculateur!V72*Calculateur!X72*VLOOKUP('Données projet'!$B$9,Paramètres!$A$1:$I$89,3,0)*0.475*44/12</f>
        <v>50.197199776295292</v>
      </c>
      <c r="AB72" s="23">
        <f>EXP(-LN(2)/2)*AB71+(1-EXP(-LN(2)/2))/(LN(2)/2)*V72*Y72*VLOOKUP('Données projet'!$B$9,Paramètres!$A$1:$I$89,3,0)*0.475*44/12</f>
        <v>2.4890534522947654</v>
      </c>
      <c r="AC72" s="24">
        <f t="shared" si="57"/>
        <v>269.22165202697335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10.266666666666671</v>
      </c>
      <c r="AI72" s="14">
        <f>IF('Données projet'!$A$62&gt;35,AI71+AH72-AQ71,IF(A72&lt;'Données projet'!$A$62,$AF$205^A72,IF(A72='Données projet'!$A$62,'Données projet'!$B$62,AI71+AH72-AQ71)))</f>
        <v>376.63999999999976</v>
      </c>
      <c r="AJ72" s="14">
        <f>AI72*VLOOKUP('Données projet'!$B$10,Paramètres!$A$1:$I$89,3,0)*VLOOKUP('Données projet'!$B$10,Paramètres!$A$1:$I$89,5,0)</f>
        <v>235.02335999999983</v>
      </c>
      <c r="AK72" s="14">
        <f t="shared" si="89"/>
        <v>57.367479843964396</v>
      </c>
      <c r="AL72" s="22">
        <f t="shared" si="58"/>
        <v>509.24737939490433</v>
      </c>
      <c r="AM72" s="62">
        <f t="shared" si="59"/>
        <v>802.58071272823759</v>
      </c>
      <c r="AN72" s="62">
        <f ca="1">AVERAGE(OFFSET($AM$3,0,0,'Données projet'!$E$10+1,1))-AVERAGE(OFFSET($H$3,0,0,'Données projet'!$E$10+1,1))</f>
        <v>420.68062999212015</v>
      </c>
      <c r="AO72" s="62">
        <f t="shared" si="90"/>
        <v>655.24090633185676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167.72270805387211</v>
      </c>
      <c r="AV72" s="23">
        <f>EXP(-LN(2)/25)*AV71+(1-EXP(-LN(2)/25))/(LN(2)/25)*Calculateur!AQ72*Calculateur!AS72*VLOOKUP('Données projet'!$B$10,Paramètres!$A$1:$I$89,3,0)*0.475*44/12</f>
        <v>34.812207839821227</v>
      </c>
      <c r="AW72" s="23">
        <f>EXP(-LN(2)/2)*AW71+(1-EXP(-LN(2)/2))/(LN(2)/2)*AQ72*AT72*VLOOKUP('Données projet'!$B$10,Paramètres!$A$1:$I$89,3,0)*0.475*44/12</f>
        <v>3.6308161237158694</v>
      </c>
      <c r="AX72" s="23">
        <f t="shared" si="60"/>
        <v>206.1657320174092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4.125</v>
      </c>
      <c r="BD72" s="13">
        <f>IF('Données projet'!$A$88&gt;35,BD71+BC72-BL71,IF(A72&lt;'Données projet'!$A$88,$BA$205^A72,IF(A72='Données projet'!$A$88,'Données projet'!$B$88,BD71+BC72-BL71)))</f>
        <v>105.625</v>
      </c>
      <c r="BE72" s="14">
        <f>BD72*VLOOKUP('Données projet'!$B$11,Paramètres!$A$1:$I$89,3,0)*VLOOKUP('Données projet'!$B$11,Paramètres!$A$1:$I$89,5,0)</f>
        <v>95.569499999999991</v>
      </c>
      <c r="BF72" s="14">
        <f t="shared" si="91"/>
        <v>25.903724388490318</v>
      </c>
      <c r="BG72" s="22">
        <f t="shared" si="61"/>
        <v>211.56586580995395</v>
      </c>
      <c r="BH72" s="62">
        <f t="shared" si="62"/>
        <v>504.89919914328726</v>
      </c>
      <c r="BI72" s="62">
        <f ca="1">AVERAGE(OFFSET($BH$3,0,0,'Données projet'!$E$11+1,1))-AVERAGE(OFFSET($H$3,0,0,'Données projet'!$E$11+1,1))</f>
        <v>138.3429338270858</v>
      </c>
      <c r="BJ72" s="62">
        <f t="shared" si="92"/>
        <v>88.30225651635925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4.125</v>
      </c>
      <c r="BY72" s="13">
        <f>IF('Données projet'!$A$114&gt;35,BY71+BX72-CG71,IF(A72&lt;'Données projet'!$A$114,$BV$205^A72,IF(A72='Données projet'!$A$114,'Données projet'!$B$114,BY71+BX72-CG71)))</f>
        <v>105.625</v>
      </c>
      <c r="BZ72" s="14">
        <f>BY72*VLOOKUP('Données projet'!$B$12,Paramètres!$A$1:$I$89,3,0)*VLOOKUP('Données projet'!$B$12,Paramètres!$A$1:$I$89,5,0)</f>
        <v>88.978500000000011</v>
      </c>
      <c r="CA72" s="14">
        <f t="shared" si="93"/>
        <v>24.318700361238239</v>
      </c>
      <c r="CB72" s="22">
        <f t="shared" si="64"/>
        <v>197.32595729582329</v>
      </c>
      <c r="CC72" s="62">
        <f t="shared" si="65"/>
        <v>490.6592906291566</v>
      </c>
      <c r="CD72" s="62">
        <f ca="1">AVERAGE(OFFSET($CC$3,0,0,'Données projet'!$E$12+1,1))-AVERAGE(OFFSET($H$3,0,0,'Données projet'!$E$12+1,1))</f>
        <v>122.57815304102127</v>
      </c>
      <c r="CE72" s="62">
        <f t="shared" si="94"/>
        <v>80.106609825870578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-3.7243808037601412E-14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199.99826357281154</v>
      </c>
      <c r="CZ72" s="62">
        <f t="shared" si="96"/>
        <v>214.67424457475136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78.052561785824011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78.052561785824011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-5.6843418860808015E-14</v>
      </c>
      <c r="DP72" s="18">
        <f>DO72*VLOOKUP('Données projet'!$B$14,Paramètres!$A$1:$I$89,3,0)*VLOOKUP('Données projet'!$B$14,Paramètres!$A$1:$I$89,5,0)</f>
        <v>-4.5224624045658861E-14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248.15263300983543</v>
      </c>
      <c r="DU72" s="62">
        <f t="shared" si="98"/>
        <v>266.46511459244618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116.81953184223828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116.81953184223828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-5.6843418860808015E-14</v>
      </c>
      <c r="EK72" s="18">
        <f>EJ72*VLOOKUP('Données projet'!$B$15,Paramètres!$A$1:$I$89,3,0)*VLOOKUP('Données projet'!$B$15,Paramètres!$A$1:$I$89,5,0)</f>
        <v>-3.813056537183002E-14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205.35893113421139</v>
      </c>
      <c r="EP72" s="62">
        <f t="shared" si="100"/>
        <v>220.4399811285175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98.494899396396974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98.494899396396974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382.55387448074327</v>
      </c>
      <c r="T73" s="62">
        <f t="shared" si="88"/>
        <v>476.29465646955543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212.2892717014991</v>
      </c>
      <c r="AA73" s="23">
        <f>EXP(-LN(2)/25)*AA72+(1-EXP(-LN(2)/25))/(LN(2)/25)*Calculateur!V73*Calculateur!X73*VLOOKUP('Données projet'!$B$9,Paramètres!$A$1:$I$89,3,0)*0.475*44/12</f>
        <v>48.824554708656486</v>
      </c>
      <c r="AB73" s="23">
        <f>EXP(-LN(2)/2)*AB72+(1-EXP(-LN(2)/2))/(LN(2)/2)*V73*Y73*VLOOKUP('Données projet'!$B$9,Paramètres!$A$1:$I$89,3,0)*0.475*44/12</f>
        <v>1.7600265748534154</v>
      </c>
      <c r="AC73" s="24">
        <f t="shared" si="57"/>
        <v>262.87385298500902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10.266666666666671</v>
      </c>
      <c r="AI73" s="14">
        <f>IF('Données projet'!$A$62&gt;35,AI72+AH73-AQ72,IF(A73&lt;'Données projet'!$A$62,$AF$205^A73,IF(A73='Données projet'!$A$62,'Données projet'!$B$62,AI72+AH73-AQ72)))</f>
        <v>386.90666666666641</v>
      </c>
      <c r="AJ73" s="14">
        <f>AI73*VLOOKUP('Données projet'!$B$10,Paramètres!$A$1:$I$89,3,0)*VLOOKUP('Données projet'!$B$10,Paramètres!$A$1:$I$89,5,0)</f>
        <v>241.42975999999985</v>
      </c>
      <c r="AK73" s="14">
        <f t="shared" si="89"/>
        <v>58.747043889880899</v>
      </c>
      <c r="AL73" s="22">
        <f t="shared" si="58"/>
        <v>522.80793344154222</v>
      </c>
      <c r="AM73" s="62">
        <f t="shared" si="59"/>
        <v>816.14126677487548</v>
      </c>
      <c r="AN73" s="62">
        <f ca="1">AVERAGE(OFFSET($AM$3,0,0,'Données projet'!$E$10+1,1))-AVERAGE(OFFSET($H$3,0,0,'Données projet'!$E$10+1,1))</f>
        <v>420.68062999212015</v>
      </c>
      <c r="AO73" s="62">
        <f t="shared" si="90"/>
        <v>655.24090633185676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164.43376804968622</v>
      </c>
      <c r="AV73" s="23">
        <f>EXP(-LN(2)/25)*AV72+(1-EXP(-LN(2)/25))/(LN(2)/25)*Calculateur!AQ73*Calculateur!AS73*VLOOKUP('Données projet'!$B$10,Paramètres!$A$1:$I$89,3,0)*0.475*44/12</f>
        <v>33.860266185746866</v>
      </c>
      <c r="AW73" s="23">
        <f>EXP(-LN(2)/2)*AW72+(1-EXP(-LN(2)/2))/(LN(2)/2)*AQ73*AT73*VLOOKUP('Données projet'!$B$10,Paramètres!$A$1:$I$89,3,0)*0.475*44/12</f>
        <v>2.5673747023209459</v>
      </c>
      <c r="AX73" s="23">
        <f t="shared" si="60"/>
        <v>200.86140893775402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4.125</v>
      </c>
      <c r="BD73" s="13">
        <f>IF('Données projet'!$A$88&gt;35,BD72+BC73-BL72,IF(A73&lt;'Données projet'!$A$88,$BA$205^A73,IF(A73='Données projet'!$A$88,'Données projet'!$B$88,BD72+BC73-BL72)))</f>
        <v>109.75</v>
      </c>
      <c r="BE73" s="14">
        <f>BD73*VLOOKUP('Données projet'!$B$11,Paramètres!$A$1:$I$89,3,0)*VLOOKUP('Données projet'!$B$11,Paramètres!$A$1:$I$89,5,0)</f>
        <v>99.3018</v>
      </c>
      <c r="BF73" s="14">
        <f t="shared" si="91"/>
        <v>26.795593258779039</v>
      </c>
      <c r="BG73" s="22">
        <f t="shared" si="61"/>
        <v>219.61962659237349</v>
      </c>
      <c r="BH73" s="62">
        <f t="shared" si="62"/>
        <v>512.95295992570686</v>
      </c>
      <c r="BI73" s="62">
        <f ca="1">AVERAGE(OFFSET($BH$3,0,0,'Données projet'!$E$11+1,1))-AVERAGE(OFFSET($H$3,0,0,'Données projet'!$E$11+1,1))</f>
        <v>138.3429338270858</v>
      </c>
      <c r="BJ73" s="62">
        <f t="shared" si="92"/>
        <v>88.30225651635925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4.125</v>
      </c>
      <c r="BY73" s="13">
        <f>IF('Données projet'!$A$114&gt;35,BY72+BX73-CG72,IF(A73&lt;'Données projet'!$A$114,$BV$205^A73,IF(A73='Données projet'!$A$114,'Données projet'!$B$114,BY72+BX73-CG72)))</f>
        <v>109.75</v>
      </c>
      <c r="BZ73" s="14">
        <f>BY73*VLOOKUP('Données projet'!$B$12,Paramètres!$A$1:$I$89,3,0)*VLOOKUP('Données projet'!$B$12,Paramètres!$A$1:$I$89,5,0)</f>
        <v>92.453400000000002</v>
      </c>
      <c r="CA73" s="14">
        <f t="shared" si="93"/>
        <v>25.15599663156549</v>
      </c>
      <c r="CB73" s="22">
        <f t="shared" si="64"/>
        <v>204.83636579997653</v>
      </c>
      <c r="CC73" s="62">
        <f t="shared" si="65"/>
        <v>498.16969913330985</v>
      </c>
      <c r="CD73" s="62">
        <f ca="1">AVERAGE(OFFSET($CC$3,0,0,'Données projet'!$E$12+1,1))-AVERAGE(OFFSET($H$3,0,0,'Données projet'!$E$12+1,1))</f>
        <v>122.57815304102127</v>
      </c>
      <c r="CE73" s="62">
        <f t="shared" si="94"/>
        <v>80.106609825870578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-3.7243808037601412E-14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199.99826357281154</v>
      </c>
      <c r="CZ73" s="62">
        <f t="shared" si="96"/>
        <v>214.67424457475136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76.521998656565856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76.521998656565856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-5.6843418860808015E-14</v>
      </c>
      <c r="DP73" s="18">
        <f>DO73*VLOOKUP('Données projet'!$B$14,Paramètres!$A$1:$I$89,3,0)*VLOOKUP('Données projet'!$B$14,Paramètres!$A$1:$I$89,5,0)</f>
        <v>-4.5224624045658861E-14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248.15263300983543</v>
      </c>
      <c r="DU73" s="62">
        <f t="shared" si="98"/>
        <v>266.46511459244618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114.52877207569077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114.52877207569077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-5.6843418860808015E-14</v>
      </c>
      <c r="EK73" s="18">
        <f>EJ73*VLOOKUP('Données projet'!$B$15,Paramètres!$A$1:$I$89,3,0)*VLOOKUP('Données projet'!$B$15,Paramètres!$A$1:$I$89,5,0)</f>
        <v>-3.813056537183002E-14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205.35893113421139</v>
      </c>
      <c r="EP73" s="62">
        <f t="shared" si="100"/>
        <v>220.4399811285175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96.563474495190249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96.563474495190249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382.55387448074327</v>
      </c>
      <c r="T74" s="62">
        <f t="shared" si="88"/>
        <v>476.29465646955543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208.126408567103</v>
      </c>
      <c r="AA74" s="23">
        <f>EXP(-LN(2)/25)*AA73+(1-EXP(-LN(2)/25))/(LN(2)/25)*Calculateur!V74*Calculateur!X74*VLOOKUP('Données projet'!$B$9,Paramètres!$A$1:$I$89,3,0)*0.475*44/12</f>
        <v>47.489444692576534</v>
      </c>
      <c r="AB74" s="23">
        <f>EXP(-LN(2)/2)*AB73+(1-EXP(-LN(2)/2))/(LN(2)/2)*V74*Y74*VLOOKUP('Données projet'!$B$9,Paramètres!$A$1:$I$89,3,0)*0.475*44/12</f>
        <v>1.2445267261473827</v>
      </c>
      <c r="AC74" s="24">
        <f t="shared" si="57"/>
        <v>256.86037998582691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10.266666666666671</v>
      </c>
      <c r="AI74" s="14">
        <f>IF('Données projet'!$A$62&gt;35,AI73+AH74-AQ73,IF(A74&lt;'Données projet'!$A$62,$AF$205^A74,IF(A74='Données projet'!$A$62,'Données projet'!$B$62,AI73+AH74-AQ73)))</f>
        <v>397.17333333333306</v>
      </c>
      <c r="AJ74" s="14">
        <f>AI74*VLOOKUP('Données projet'!$B$10,Paramètres!$A$1:$I$89,3,0)*VLOOKUP('Données projet'!$B$10,Paramètres!$A$1:$I$89,5,0)</f>
        <v>247.83615999999984</v>
      </c>
      <c r="AK74" s="14">
        <f t="shared" si="89"/>
        <v>60.122352917549016</v>
      </c>
      <c r="AL74" s="22">
        <f t="shared" si="58"/>
        <v>536.36107666473083</v>
      </c>
      <c r="AM74" s="62">
        <f t="shared" si="59"/>
        <v>829.6944099980642</v>
      </c>
      <c r="AN74" s="62">
        <f ca="1">AVERAGE(OFFSET($AM$3,0,0,'Données projet'!$E$10+1,1))-AVERAGE(OFFSET($H$3,0,0,'Données projet'!$E$10+1,1))</f>
        <v>420.68062999212015</v>
      </c>
      <c r="AO74" s="62">
        <f t="shared" si="90"/>
        <v>655.24090633185676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161.20932215292711</v>
      </c>
      <c r="AV74" s="23">
        <f>EXP(-LN(2)/25)*AV73+(1-EXP(-LN(2)/25))/(LN(2)/25)*Calculateur!AQ74*Calculateur!AS74*VLOOKUP('Données projet'!$B$10,Paramètres!$A$1:$I$89,3,0)*0.475*44/12</f>
        <v>32.934355426263608</v>
      </c>
      <c r="AW74" s="23">
        <f>EXP(-LN(2)/2)*AW73+(1-EXP(-LN(2)/2))/(LN(2)/2)*AQ74*AT74*VLOOKUP('Données projet'!$B$10,Paramètres!$A$1:$I$89,3,0)*0.475*44/12</f>
        <v>1.8154080618579347</v>
      </c>
      <c r="AX74" s="23">
        <f t="shared" si="60"/>
        <v>195.95908564104866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4.125</v>
      </c>
      <c r="BD74" s="13">
        <f>IF('Données projet'!$A$88&gt;35,BD73+BC74-BL73,IF(A74&lt;'Données projet'!$A$88,$BA$205^A74,IF(A74='Données projet'!$A$88,'Données projet'!$B$88,BD73+BC74-BL73)))</f>
        <v>113.875</v>
      </c>
      <c r="BE74" s="14">
        <f>BD74*VLOOKUP('Données projet'!$B$11,Paramètres!$A$1:$I$89,3,0)*VLOOKUP('Données projet'!$B$11,Paramètres!$A$1:$I$89,5,0)</f>
        <v>103.03410000000001</v>
      </c>
      <c r="BF74" s="14">
        <f t="shared" si="91"/>
        <v>27.683567807889602</v>
      </c>
      <c r="BG74" s="22">
        <f t="shared" si="61"/>
        <v>227.6666047654077</v>
      </c>
      <c r="BH74" s="62">
        <f t="shared" si="62"/>
        <v>520.99993809874104</v>
      </c>
      <c r="BI74" s="62">
        <f ca="1">AVERAGE(OFFSET($BH$3,0,0,'Données projet'!$E$11+1,1))-AVERAGE(OFFSET($H$3,0,0,'Données projet'!$E$11+1,1))</f>
        <v>138.3429338270858</v>
      </c>
      <c r="BJ74" s="62">
        <f t="shared" si="92"/>
        <v>88.30225651635925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4.125</v>
      </c>
      <c r="BY74" s="13">
        <f>IF('Données projet'!$A$114&gt;35,BY73+BX74-CG73,IF(A74&lt;'Données projet'!$A$114,$BV$205^A74,IF(A74='Données projet'!$A$114,'Données projet'!$B$114,BY73+BX74-CG73)))</f>
        <v>113.875</v>
      </c>
      <c r="BZ74" s="14">
        <f>BY74*VLOOKUP('Données projet'!$B$12,Paramètres!$A$1:$I$89,3,0)*VLOOKUP('Données projet'!$B$12,Paramètres!$A$1:$I$89,5,0)</f>
        <v>95.928300000000007</v>
      </c>
      <c r="CA74" s="14">
        <f t="shared" si="93"/>
        <v>25.989636870488798</v>
      </c>
      <c r="CB74" s="22">
        <f t="shared" si="64"/>
        <v>212.34040671610134</v>
      </c>
      <c r="CC74" s="62">
        <f t="shared" si="65"/>
        <v>505.67374004943463</v>
      </c>
      <c r="CD74" s="62">
        <f ca="1">AVERAGE(OFFSET($CC$3,0,0,'Données projet'!$E$12+1,1))-AVERAGE(OFFSET($H$3,0,0,'Données projet'!$E$12+1,1))</f>
        <v>122.57815304102127</v>
      </c>
      <c r="CE74" s="62">
        <f t="shared" si="94"/>
        <v>80.106609825870578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-3.7243808037601412E-14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199.99826357281154</v>
      </c>
      <c r="CZ74" s="62">
        <f t="shared" si="96"/>
        <v>214.67424457475136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75.021448936721129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75.021448936721129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-5.6843418860808015E-14</v>
      </c>
      <c r="DP74" s="18">
        <f>DO74*VLOOKUP('Données projet'!$B$14,Paramètres!$A$1:$I$89,3,0)*VLOOKUP('Données projet'!$B$14,Paramètres!$A$1:$I$89,5,0)</f>
        <v>-4.5224624045658861E-14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248.15263300983543</v>
      </c>
      <c r="DU74" s="62">
        <f t="shared" si="98"/>
        <v>266.46511459244618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112.28293271093976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112.28293271093976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-5.6843418860808015E-14</v>
      </c>
      <c r="EK74" s="18">
        <f>EJ74*VLOOKUP('Données projet'!$B$15,Paramètres!$A$1:$I$89,3,0)*VLOOKUP('Données projet'!$B$15,Paramètres!$A$1:$I$89,5,0)</f>
        <v>-3.813056537183002E-14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205.35893113421139</v>
      </c>
      <c r="EP74" s="62">
        <f t="shared" si="100"/>
        <v>220.4399811285175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94.66992365824332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94.66992365824332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382.55387448074327</v>
      </c>
      <c r="T75" s="62">
        <f t="shared" si="88"/>
        <v>476.29465646955543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204.04517663967661</v>
      </c>
      <c r="AA75" s="23">
        <f>EXP(-LN(2)/25)*AA74+(1-EXP(-LN(2)/25))/(LN(2)/25)*Calculateur!V75*Calculateur!X75*VLOOKUP('Données projet'!$B$9,Paramètres!$A$1:$I$89,3,0)*0.475*44/12</f>
        <v>46.190843330096669</v>
      </c>
      <c r="AB75" s="23">
        <f>EXP(-LN(2)/2)*AB74+(1-EXP(-LN(2)/2))/(LN(2)/2)*V75*Y75*VLOOKUP('Données projet'!$B$9,Paramètres!$A$1:$I$89,3,0)*0.475*44/12</f>
        <v>0.8800132874267077</v>
      </c>
      <c r="AC75" s="24">
        <f t="shared" si="57"/>
        <v>251.1160332572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407.44</v>
      </c>
      <c r="AG75" s="13">
        <f>VLOOKUP(A75,'Données projet'!$A$61:$I$81,9,0)</f>
        <v>10.266666666666671</v>
      </c>
      <c r="AH75" s="13">
        <f t="array" ref="AH75">INDEX(AG:AG,MIN(IF(ISNUMBER(AG75:AG271),ROW(AG75:AG271),"")))</f>
        <v>10.266666666666671</v>
      </c>
      <c r="AI75" s="14">
        <f>IF('Données projet'!$A$62&gt;35,AI74+AH75-AQ74,IF(A75&lt;'Données projet'!$A$62,$AF$205^A75,IF(A75='Données projet'!$A$62,'Données projet'!$B$62,AI74+AH75-AQ74)))</f>
        <v>407.43999999999971</v>
      </c>
      <c r="AJ75" s="14">
        <f>AI75*VLOOKUP('Données projet'!$B$10,Paramètres!$A$1:$I$89,3,0)*VLOOKUP('Données projet'!$B$10,Paramètres!$A$1:$I$89,5,0)</f>
        <v>254.24255999999983</v>
      </c>
      <c r="AK75" s="14">
        <f t="shared" si="89"/>
        <v>61.493529562220331</v>
      </c>
      <c r="AL75" s="22">
        <f t="shared" si="58"/>
        <v>549.90702265420009</v>
      </c>
      <c r="AM75" s="62">
        <f t="shared" si="59"/>
        <v>843.24035598753335</v>
      </c>
      <c r="AN75" s="62">
        <f ca="1">AVERAGE(OFFSET($AM$3,0,0,'Données projet'!$E$10+1,1))-AVERAGE(OFFSET($H$3,0,0,'Données projet'!$E$10+1,1))</f>
        <v>420.68062999212015</v>
      </c>
      <c r="AO75" s="62">
        <f t="shared" si="90"/>
        <v>655.24090633185676</v>
      </c>
      <c r="AP75" s="16">
        <f>IF(ISNA(VLOOKUP(A75,'Données projet'!$A$61:$I$81,3,0)),0,VLOOKUP(A75,'Données projet'!$A$61:$I$81,3,0))</f>
        <v>8</v>
      </c>
      <c r="AQ75" s="16">
        <f>IF(ISNA(VLOOKUP(A75,'Données projet'!$A$61:$I$81,4,0)),0,VLOOKUP(A75,'Données projet'!$A$61:$I$81,4,0))</f>
        <v>88.88</v>
      </c>
      <c r="AR75" s="17">
        <f>IF(ISNA(VLOOKUP(A75,'Données projet'!$A$61:$I$81,5,0)),0%,VLOOKUP(A75,'Données projet'!$A$61:$I$81,5,0)*VLOOKUP('Données projet'!$B$10,Paramètres!$A$1:$I$89,7,0))</f>
        <v>0.42</v>
      </c>
      <c r="AS75" s="17">
        <f>IF(ISNA(VLOOKUP(A75,'Données projet'!$A$61:$I$81,6,0)),0%,VLOOKUP(A75,'Données projet'!$A$61:$I$81,6,0)*VLOOKUP('Données projet'!$B$10,Paramètres!$A$1:$I$89,7,0))</f>
        <v>0.1008</v>
      </c>
      <c r="AT75" s="17">
        <f>IF(ISNA(VLOOKUP(A75,'Données projet'!$A$61:$I$81,7,0)),0%,VLOOKUP(A75,'Données projet'!$A$61:$I$81,7,0))</f>
        <v>0.13200000000000001</v>
      </c>
      <c r="AU75" s="23">
        <f>EXP(-LN(2)/35)*AU74+(1-EXP(-LN(2)/35))/(LN(2)/35)*AQ75*AR75*VLOOKUP('Données projet'!$B$10,Paramètres!$A$1:$I$89,3,0)*0.475*44/12</f>
        <v>188.94866086284978</v>
      </c>
      <c r="AV75" s="23">
        <f>EXP(-LN(2)/25)*AV74+(1-EXP(-LN(2)/25))/(LN(2)/25)*Calculateur!AQ75*Calculateur!AS75*VLOOKUP('Données projet'!$B$10,Paramètres!$A$1:$I$89,3,0)*0.475*44/12</f>
        <v>39.420696848281715</v>
      </c>
      <c r="AW75" s="23">
        <f>EXP(-LN(2)/2)*AW74+(1-EXP(-LN(2)/2))/(LN(2)/2)*AQ75*AT75*VLOOKUP('Données projet'!$B$10,Paramètres!$A$1:$I$89,3,0)*0.475*44/12</f>
        <v>9.5726103655312897</v>
      </c>
      <c r="AX75" s="23">
        <f t="shared" si="60"/>
        <v>237.94196807666279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118</v>
      </c>
      <c r="BB75" s="13">
        <f>VLOOKUP(A75,'Données projet'!$A$87:$I$107,9,0)</f>
        <v>4.125</v>
      </c>
      <c r="BC75" s="13">
        <f t="array" ref="BC75">INDEX(BB:BB,MIN(IF(ISNUMBER(BB75:BB271),ROW(BB75:BB271),"")))</f>
        <v>4.125</v>
      </c>
      <c r="BD75" s="13">
        <f>IF('Données projet'!$A$88&gt;35,BD74+BC75-BL74,IF(A75&lt;'Données projet'!$A$88,$BA$205^A75,IF(A75='Données projet'!$A$88,'Données projet'!$B$88,BD74+BC75-BL74)))</f>
        <v>118</v>
      </c>
      <c r="BE75" s="14">
        <f>BD75*VLOOKUP('Données projet'!$B$11,Paramètres!$A$1:$I$89,3,0)*VLOOKUP('Données projet'!$B$11,Paramètres!$A$1:$I$89,5,0)</f>
        <v>106.7664</v>
      </c>
      <c r="BF75" s="14">
        <f t="shared" si="91"/>
        <v>28.5678052620942</v>
      </c>
      <c r="BG75" s="22">
        <f t="shared" si="61"/>
        <v>235.70707416481403</v>
      </c>
      <c r="BH75" s="62">
        <f t="shared" si="62"/>
        <v>529.04040749814737</v>
      </c>
      <c r="BI75" s="62">
        <f ca="1">AVERAGE(OFFSET($BH$3,0,0,'Données projet'!$E$11+1,1))-AVERAGE(OFFSET($H$3,0,0,'Données projet'!$E$11+1,1))</f>
        <v>138.3429338270858</v>
      </c>
      <c r="BJ75" s="62">
        <f t="shared" si="92"/>
        <v>88.30225651635925</v>
      </c>
      <c r="BK75" s="16">
        <f>IF(ISNA(VLOOKUP(A75,'Données projet'!$A$87:$I$107,3,0)),0,VLOOKUP(A75,'Données projet'!$A$87:$I$107,3,0))</f>
        <v>3</v>
      </c>
      <c r="BL75" s="16">
        <f>IF(ISNA(VLOOKUP(A75,'Données projet'!$A$87:$I$107,4,0)),0,VLOOKUP(A75,'Données projet'!$A$87:$I$107,4,0))</f>
        <v>28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>
        <f>VLOOKUP(A75,'Données projet'!$A$113:$I$133,2,0)</f>
        <v>118</v>
      </c>
      <c r="BW75" s="13">
        <f>VLOOKUP(A75,'Données projet'!$A$113:$I$133,9,0)</f>
        <v>4.125</v>
      </c>
      <c r="BX75" s="13">
        <f t="array" ref="BX75">INDEX(BW:BW,MIN(IF(ISNUMBER(BW75:BW271),ROW(BW75:BW271),"")))</f>
        <v>4.125</v>
      </c>
      <c r="BY75" s="13">
        <f>IF('Données projet'!$A$114&gt;35,BY74+BX75-CG74,IF(A75&lt;'Données projet'!$A$114,$BV$205^A75,IF(A75='Données projet'!$A$114,'Données projet'!$B$114,BY74+BX75-CG74)))</f>
        <v>118</v>
      </c>
      <c r="BZ75" s="14">
        <f>BY75*VLOOKUP('Données projet'!$B$12,Paramètres!$A$1:$I$89,3,0)*VLOOKUP('Données projet'!$B$12,Paramètres!$A$1:$I$89,5,0)</f>
        <v>99.403200000000012</v>
      </c>
      <c r="CA75" s="14">
        <f t="shared" si="93"/>
        <v>26.819768683755811</v>
      </c>
      <c r="CB75" s="22">
        <f t="shared" si="64"/>
        <v>219.83833712420804</v>
      </c>
      <c r="CC75" s="62">
        <f t="shared" si="65"/>
        <v>513.17167045754138</v>
      </c>
      <c r="CD75" s="62">
        <f ca="1">AVERAGE(OFFSET($CC$3,0,0,'Données projet'!$E$12+1,1))-AVERAGE(OFFSET($H$3,0,0,'Données projet'!$E$12+1,1))</f>
        <v>122.57815304102127</v>
      </c>
      <c r="CE75" s="62">
        <f t="shared" si="94"/>
        <v>80.106609825870578</v>
      </c>
      <c r="CF75" s="16">
        <f>IF(ISNA(VLOOKUP(A75,'Données projet'!$A$113:$I$133,3,0)),0,VLOOKUP(A75,'Données projet'!$A$113:$I$133,3,0))</f>
        <v>3</v>
      </c>
      <c r="CG75" s="16">
        <f>IF(ISNA(VLOOKUP(A75,'Données projet'!$A$113:$I$133,4,0)),0,VLOOKUP(A75,'Données projet'!$A$113:$I$133,4,0))</f>
        <v>28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-3.7243808037601412E-14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199.99826357281154</v>
      </c>
      <c r="CZ75" s="62">
        <f t="shared" si="96"/>
        <v>214.67424457475136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73.550324081637598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73.550324081637598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-5.6843418860808015E-14</v>
      </c>
      <c r="DP75" s="18">
        <f>DO75*VLOOKUP('Données projet'!$B$14,Paramètres!$A$1:$I$89,3,0)*VLOOKUP('Données projet'!$B$14,Paramètres!$A$1:$I$89,5,0)</f>
        <v>-4.5224624045658861E-14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248.15263300983543</v>
      </c>
      <c r="DU75" s="62">
        <f t="shared" si="98"/>
        <v>266.46511459244618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110.08113288630477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110.08113288630477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-5.6843418860808015E-14</v>
      </c>
      <c r="EK75" s="18">
        <f>EJ75*VLOOKUP('Données projet'!$B$15,Paramètres!$A$1:$I$89,3,0)*VLOOKUP('Données projet'!$B$15,Paramètres!$A$1:$I$89,5,0)</f>
        <v>-3.813056537183002E-14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205.35893113421139</v>
      </c>
      <c r="EP75" s="62">
        <f t="shared" si="100"/>
        <v>220.4399811285175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92.81350419825695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92.81350419825695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382.55387448074327</v>
      </c>
      <c r="T76" s="62">
        <f t="shared" si="88"/>
        <v>476.29465646955543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200.04397518104136</v>
      </c>
      <c r="AA76" s="23">
        <f>EXP(-LN(2)/25)*AA75+(1-EXP(-LN(2)/25))/(LN(2)/25)*Calculateur!V76*Calculateur!X76*VLOOKUP('Données projet'!$B$9,Paramètres!$A$1:$I$89,3,0)*0.475*44/12</f>
        <v>44.927752290164293</v>
      </c>
      <c r="AB76" s="23">
        <f>EXP(-LN(2)/2)*AB75+(1-EXP(-LN(2)/2))/(LN(2)/2)*V76*Y76*VLOOKUP('Données projet'!$B$9,Paramètres!$A$1:$I$89,3,0)*0.475*44/12</f>
        <v>0.62226336307369134</v>
      </c>
      <c r="AC76" s="24">
        <f t="shared" si="57"/>
        <v>245.59399083427937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9.3866666666666649</v>
      </c>
      <c r="AI76" s="14">
        <f>IF('Données projet'!$A$62&gt;35,AI75+AH76-AQ75,IF(A76&lt;'Données projet'!$A$62,$AF$205^A76,IF(A76='Données projet'!$A$62,'Données projet'!$B$62,AI75+AH76-AQ75)))</f>
        <v>327.94666666666637</v>
      </c>
      <c r="AJ76" s="14">
        <f>AI76*VLOOKUP('Données projet'!$B$10,Paramètres!$A$1:$I$89,3,0)*VLOOKUP('Données projet'!$B$10,Paramètres!$A$1:$I$89,5,0)</f>
        <v>204.63871999999984</v>
      </c>
      <c r="AK76" s="14">
        <f t="shared" si="89"/>
        <v>50.762253592292488</v>
      </c>
      <c r="AL76" s="22">
        <f t="shared" si="58"/>
        <v>444.82336233990912</v>
      </c>
      <c r="AM76" s="62">
        <f t="shared" si="59"/>
        <v>738.15669567324244</v>
      </c>
      <c r="AN76" s="62">
        <f ca="1">AVERAGE(OFFSET($AM$3,0,0,'Données projet'!$E$10+1,1))-AVERAGE(OFFSET($H$3,0,0,'Données projet'!$E$10+1,1))</f>
        <v>420.68062999212015</v>
      </c>
      <c r="AO76" s="62">
        <f t="shared" si="90"/>
        <v>655.24090633185676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185.24349287063271</v>
      </c>
      <c r="AV76" s="23">
        <f>EXP(-LN(2)/25)*AV75+(1-EXP(-LN(2)/25))/(LN(2)/25)*Calculateur!AQ76*Calculateur!AS76*VLOOKUP('Données projet'!$B$10,Paramètres!$A$1:$I$89,3,0)*0.475*44/12</f>
        <v>38.342735819921103</v>
      </c>
      <c r="AW76" s="23">
        <f>EXP(-LN(2)/2)*AW75+(1-EXP(-LN(2)/2))/(LN(2)/2)*AQ76*AT76*VLOOKUP('Données projet'!$B$10,Paramètres!$A$1:$I$89,3,0)*0.475*44/12</f>
        <v>6.7688577031238113</v>
      </c>
      <c r="AX76" s="23">
        <f t="shared" si="60"/>
        <v>230.35508639367762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3.5555555555555554</v>
      </c>
      <c r="BD76" s="13">
        <f>IF('Données projet'!$A$88&gt;35,BD75+BC76-BL75,IF(A76&lt;'Données projet'!$A$88,$BA$205^A76,IF(A76='Données projet'!$A$88,'Données projet'!$B$88,BD75+BC76-BL75)))</f>
        <v>93.555555555555557</v>
      </c>
      <c r="BE76" s="14">
        <f>BD76*VLOOKUP('Données projet'!$B$11,Paramètres!$A$1:$I$89,3,0)*VLOOKUP('Données projet'!$B$11,Paramètres!$A$1:$I$89,5,0)</f>
        <v>84.64906666666667</v>
      </c>
      <c r="BF76" s="14">
        <f t="shared" si="91"/>
        <v>23.270141160492319</v>
      </c>
      <c r="BG76" s="22">
        <f t="shared" si="61"/>
        <v>187.95928696563521</v>
      </c>
      <c r="BH76" s="62">
        <f t="shared" si="62"/>
        <v>481.29262029896853</v>
      </c>
      <c r="BI76" s="62">
        <f ca="1">AVERAGE(OFFSET($BH$3,0,0,'Données projet'!$E$11+1,1))-AVERAGE(OFFSET($H$3,0,0,'Données projet'!$E$11+1,1))</f>
        <v>138.3429338270858</v>
      </c>
      <c r="BJ76" s="62">
        <f t="shared" si="92"/>
        <v>88.30225651635925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3.5555555555555554</v>
      </c>
      <c r="BY76" s="13">
        <f>IF('Données projet'!$A$114&gt;35,BY75+BX76-CG75,IF(A76&lt;'Données projet'!$A$114,$BV$205^A76,IF(A76='Données projet'!$A$114,'Données projet'!$B$114,BY75+BX76-CG75)))</f>
        <v>93.555555555555557</v>
      </c>
      <c r="BZ76" s="14">
        <f>BY76*VLOOKUP('Données projet'!$B$12,Paramètres!$A$1:$I$89,3,0)*VLOOKUP('Données projet'!$B$12,Paramètres!$A$1:$I$89,5,0)</f>
        <v>78.811200000000014</v>
      </c>
      <c r="CA76" s="14">
        <f t="shared" si="93"/>
        <v>21.846263562670284</v>
      </c>
      <c r="CB76" s="22">
        <f t="shared" si="64"/>
        <v>175.31174903831743</v>
      </c>
      <c r="CC76" s="62">
        <f t="shared" si="65"/>
        <v>468.64508237165074</v>
      </c>
      <c r="CD76" s="62">
        <f ca="1">AVERAGE(OFFSET($CC$3,0,0,'Données projet'!$E$12+1,1))-AVERAGE(OFFSET($H$3,0,0,'Données projet'!$E$12+1,1))</f>
        <v>122.57815304102127</v>
      </c>
      <c r="CE76" s="62">
        <f t="shared" si="94"/>
        <v>80.106609825870578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-3.7243808037601412E-14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199.99826357281154</v>
      </c>
      <c r="CZ76" s="62">
        <f t="shared" si="96"/>
        <v>214.67424457475136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72.108047087664687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72.108047087664687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-5.6843418860808015E-14</v>
      </c>
      <c r="DP76" s="18">
        <f>DO76*VLOOKUP('Données projet'!$B$14,Paramètres!$A$1:$I$89,3,0)*VLOOKUP('Données projet'!$B$14,Paramètres!$A$1:$I$89,5,0)</f>
        <v>-4.5224624045658861E-14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248.15263300983543</v>
      </c>
      <c r="DU76" s="62">
        <f t="shared" si="98"/>
        <v>266.46511459244618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107.92250901326558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107.92250901326558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-5.6843418860808015E-14</v>
      </c>
      <c r="EK76" s="18">
        <f>EJ76*VLOOKUP('Données projet'!$B$15,Paramètres!$A$1:$I$89,3,0)*VLOOKUP('Données projet'!$B$15,Paramètres!$A$1:$I$89,5,0)</f>
        <v>-3.813056537183002E-14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205.35893113421139</v>
      </c>
      <c r="EP76" s="62">
        <f t="shared" si="100"/>
        <v>220.4399811285175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90.993487991576856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90.993487991576856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382.55387448074327</v>
      </c>
      <c r="T77" s="62">
        <f t="shared" si="88"/>
        <v>476.29465646955543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196.12123484251805</v>
      </c>
      <c r="AA77" s="23">
        <f>EXP(-LN(2)/25)*AA76+(1-EXP(-LN(2)/25))/(LN(2)/25)*Calculateur!V77*Calculateur!X77*VLOOKUP('Données projet'!$B$9,Paramètres!$A$1:$I$89,3,0)*0.475*44/12</f>
        <v>43.699200541141941</v>
      </c>
      <c r="AB77" s="23">
        <f>EXP(-LN(2)/2)*AB76+(1-EXP(-LN(2)/2))/(LN(2)/2)*V77*Y77*VLOOKUP('Données projet'!$B$9,Paramètres!$A$1:$I$89,3,0)*0.475*44/12</f>
        <v>0.44000664371335385</v>
      </c>
      <c r="AC77" s="24">
        <f t="shared" si="57"/>
        <v>240.26044202737336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9.3866666666666649</v>
      </c>
      <c r="AI77" s="14">
        <f>IF('Données projet'!$A$62&gt;35,AI76+AH77-AQ76,IF(A77&lt;'Données projet'!$A$62,$AF$205^A77,IF(A77='Données projet'!$A$62,'Données projet'!$B$62,AI76+AH77-AQ76)))</f>
        <v>337.33333333333303</v>
      </c>
      <c r="AJ77" s="14">
        <f>AI77*VLOOKUP('Données projet'!$B$10,Paramètres!$A$1:$I$89,3,0)*VLOOKUP('Données projet'!$B$10,Paramètres!$A$1:$I$89,5,0)</f>
        <v>210.49599999999981</v>
      </c>
      <c r="AK77" s="14">
        <f t="shared" si="89"/>
        <v>52.043959291168413</v>
      </c>
      <c r="AL77" s="22">
        <f t="shared" si="58"/>
        <v>457.25709576545131</v>
      </c>
      <c r="AM77" s="62">
        <f t="shared" si="59"/>
        <v>750.59042909878463</v>
      </c>
      <c r="AN77" s="62">
        <f ca="1">AVERAGE(OFFSET($AM$3,0,0,'Données projet'!$E$10+1,1))-AVERAGE(OFFSET($H$3,0,0,'Données projet'!$E$10+1,1))</f>
        <v>420.68062999212015</v>
      </c>
      <c r="AO77" s="62">
        <f t="shared" si="90"/>
        <v>655.24090633185676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181.61098096281367</v>
      </c>
      <c r="AV77" s="23">
        <f>EXP(-LN(2)/25)*AV76+(1-EXP(-LN(2)/25))/(LN(2)/25)*Calculateur!AQ77*Calculateur!AS77*VLOOKUP('Données projet'!$B$10,Paramètres!$A$1:$I$89,3,0)*0.475*44/12</f>
        <v>37.294251692568515</v>
      </c>
      <c r="AW77" s="23">
        <f>EXP(-LN(2)/2)*AW76+(1-EXP(-LN(2)/2))/(LN(2)/2)*AQ77*AT77*VLOOKUP('Données projet'!$B$10,Paramètres!$A$1:$I$89,3,0)*0.475*44/12</f>
        <v>4.7863051827656458</v>
      </c>
      <c r="AX77" s="23">
        <f t="shared" si="60"/>
        <v>223.69153783814784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3.5555555555555554</v>
      </c>
      <c r="BD77" s="13">
        <f>IF('Données projet'!$A$88&gt;35,BD76+BC77-BL76,IF(A77&lt;'Données projet'!$A$88,$BA$205^A77,IF(A77='Données projet'!$A$88,'Données projet'!$B$88,BD76+BC77-BL76)))</f>
        <v>97.111111111111114</v>
      </c>
      <c r="BE77" s="14">
        <f>BD77*VLOOKUP('Données projet'!$B$11,Paramètres!$A$1:$I$89,3,0)*VLOOKUP('Données projet'!$B$11,Paramètres!$A$1:$I$89,5,0)</f>
        <v>87.866133333333337</v>
      </c>
      <c r="BF77" s="14">
        <f t="shared" si="91"/>
        <v>24.049871243607846</v>
      </c>
      <c r="BG77" s="22">
        <f t="shared" si="61"/>
        <v>194.92037463817258</v>
      </c>
      <c r="BH77" s="62">
        <f t="shared" si="62"/>
        <v>488.25370797150589</v>
      </c>
      <c r="BI77" s="62">
        <f ca="1">AVERAGE(OFFSET($BH$3,0,0,'Données projet'!$E$11+1,1))-AVERAGE(OFFSET($H$3,0,0,'Données projet'!$E$11+1,1))</f>
        <v>138.3429338270858</v>
      </c>
      <c r="BJ77" s="62">
        <f t="shared" si="92"/>
        <v>88.30225651635925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3.5555555555555554</v>
      </c>
      <c r="BY77" s="13">
        <f>IF('Données projet'!$A$114&gt;35,BY76+BX77-CG76,IF(A77&lt;'Données projet'!$A$114,$BV$205^A77,IF(A77='Données projet'!$A$114,'Données projet'!$B$114,BY76+BX77-CG76)))</f>
        <v>97.111111111111114</v>
      </c>
      <c r="BZ77" s="14">
        <f>BY77*VLOOKUP('Données projet'!$B$12,Paramètres!$A$1:$I$89,3,0)*VLOOKUP('Données projet'!$B$12,Paramètres!$A$1:$I$89,5,0)</f>
        <v>81.806400000000011</v>
      </c>
      <c r="CA77" s="14">
        <f t="shared" si="93"/>
        <v>22.578282710556032</v>
      </c>
      <c r="CB77" s="22">
        <f t="shared" si="64"/>
        <v>181.80332238755173</v>
      </c>
      <c r="CC77" s="62">
        <f t="shared" si="65"/>
        <v>475.13665572088507</v>
      </c>
      <c r="CD77" s="62">
        <f ca="1">AVERAGE(OFFSET($CC$3,0,0,'Données projet'!$E$12+1,1))-AVERAGE(OFFSET($H$3,0,0,'Données projet'!$E$12+1,1))</f>
        <v>122.57815304102127</v>
      </c>
      <c r="CE77" s="62">
        <f t="shared" si="94"/>
        <v>80.106609825870578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-3.7243808037601412E-14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199.99826357281154</v>
      </c>
      <c r="CZ77" s="62">
        <f t="shared" si="96"/>
        <v>214.67424457475136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70.694052265841492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70.694052265841492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-5.6843418860808015E-14</v>
      </c>
      <c r="DP77" s="18">
        <f>DO77*VLOOKUP('Données projet'!$B$14,Paramètres!$A$1:$I$89,3,0)*VLOOKUP('Données projet'!$B$14,Paramètres!$A$1:$I$89,5,0)</f>
        <v>-4.5224624045658861E-14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248.15263300983543</v>
      </c>
      <c r="DU77" s="62">
        <f t="shared" si="98"/>
        <v>266.46511459244618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105.80621443774614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105.80621443774614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-5.6843418860808015E-14</v>
      </c>
      <c r="EK77" s="18">
        <f>EJ77*VLOOKUP('Données projet'!$B$15,Paramètres!$A$1:$I$89,3,0)*VLOOKUP('Données projet'!$B$15,Paramètres!$A$1:$I$89,5,0)</f>
        <v>-3.813056537183002E-14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205.35893113421139</v>
      </c>
      <c r="EP77" s="62">
        <f t="shared" si="100"/>
        <v>220.4399811285175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89.209161192609486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89.209161192609486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382.55387448074327</v>
      </c>
      <c r="T78" s="62">
        <f t="shared" si="88"/>
        <v>476.29465646955543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192.27541704939782</v>
      </c>
      <c r="AA78" s="23">
        <f>EXP(-LN(2)/25)*AA77+(1-EXP(-LN(2)/25))/(LN(2)/25)*Calculateur!V78*Calculateur!X78*VLOOKUP('Données projet'!$B$9,Paramètres!$A$1:$I$89,3,0)*0.475*44/12</f>
        <v>42.504243604303333</v>
      </c>
      <c r="AB78" s="23">
        <f>EXP(-LN(2)/2)*AB77+(1-EXP(-LN(2)/2))/(LN(2)/2)*V78*Y78*VLOOKUP('Données projet'!$B$9,Paramètres!$A$1:$I$89,3,0)*0.475*44/12</f>
        <v>0.31113168153684567</v>
      </c>
      <c r="AC78" s="24">
        <f t="shared" si="57"/>
        <v>235.09079233523798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9.3866666666666649</v>
      </c>
      <c r="AI78" s="14">
        <f>IF('Données projet'!$A$62&gt;35,AI77+AH78-AQ77,IF(A78&lt;'Données projet'!$A$62,$AF$205^A78,IF(A78='Données projet'!$A$62,'Données projet'!$B$62,AI77+AH78-AQ77)))</f>
        <v>346.71999999999969</v>
      </c>
      <c r="AJ78" s="14">
        <f>AI78*VLOOKUP('Données projet'!$B$10,Paramètres!$A$1:$I$89,3,0)*VLOOKUP('Données projet'!$B$10,Paramètres!$A$1:$I$89,5,0)</f>
        <v>216.35327999999978</v>
      </c>
      <c r="AK78" s="14">
        <f t="shared" si="89"/>
        <v>53.321519751583573</v>
      </c>
      <c r="AL78" s="22">
        <f t="shared" si="58"/>
        <v>469.68360956734097</v>
      </c>
      <c r="AM78" s="62">
        <f t="shared" si="59"/>
        <v>763.01694290067428</v>
      </c>
      <c r="AN78" s="62">
        <f ca="1">AVERAGE(OFFSET($AM$3,0,0,'Données projet'!$E$10+1,1))-AVERAGE(OFFSET($H$3,0,0,'Données projet'!$E$10+1,1))</f>
        <v>420.68062999212015</v>
      </c>
      <c r="AO78" s="62">
        <f t="shared" si="90"/>
        <v>655.24090633185676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178.04970039789347</v>
      </c>
      <c r="AV78" s="23">
        <f>EXP(-LN(2)/25)*AV77+(1-EXP(-LN(2)/25))/(LN(2)/25)*Calculateur!AQ78*Calculateur!AS78*VLOOKUP('Données projet'!$B$10,Paramètres!$A$1:$I$89,3,0)*0.475*44/12</f>
        <v>36.27443841881577</v>
      </c>
      <c r="AW78" s="23">
        <f>EXP(-LN(2)/2)*AW77+(1-EXP(-LN(2)/2))/(LN(2)/2)*AQ78*AT78*VLOOKUP('Données projet'!$B$10,Paramètres!$A$1:$I$89,3,0)*0.475*44/12</f>
        <v>3.3844288515619061</v>
      </c>
      <c r="AX78" s="23">
        <f t="shared" si="60"/>
        <v>217.70856766827114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3.5555555555555554</v>
      </c>
      <c r="BD78" s="13">
        <f>IF('Données projet'!$A$88&gt;35,BD77+BC78-BL77,IF(A78&lt;'Données projet'!$A$88,$BA$205^A78,IF(A78='Données projet'!$A$88,'Données projet'!$B$88,BD77+BC78-BL77)))</f>
        <v>100.66666666666667</v>
      </c>
      <c r="BE78" s="14">
        <f>BD78*VLOOKUP('Données projet'!$B$11,Paramètres!$A$1:$I$89,3,0)*VLOOKUP('Données projet'!$B$11,Paramètres!$A$1:$I$89,5,0)</f>
        <v>91.083199999999991</v>
      </c>
      <c r="BF78" s="14">
        <f t="shared" si="91"/>
        <v>24.826284573079196</v>
      </c>
      <c r="BG78" s="22">
        <f t="shared" si="61"/>
        <v>201.87568563144623</v>
      </c>
      <c r="BH78" s="62">
        <f t="shared" si="62"/>
        <v>495.20901896477955</v>
      </c>
      <c r="BI78" s="62">
        <f ca="1">AVERAGE(OFFSET($BH$3,0,0,'Données projet'!$E$11+1,1))-AVERAGE(OFFSET($H$3,0,0,'Données projet'!$E$11+1,1))</f>
        <v>138.3429338270858</v>
      </c>
      <c r="BJ78" s="62">
        <f t="shared" si="92"/>
        <v>88.30225651635925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3.5555555555555554</v>
      </c>
      <c r="BY78" s="13">
        <f>IF('Données projet'!$A$114&gt;35,BY77+BX78-CG77,IF(A78&lt;'Données projet'!$A$114,$BV$205^A78,IF(A78='Données projet'!$A$114,'Données projet'!$B$114,BY77+BX78-CG77)))</f>
        <v>100.66666666666667</v>
      </c>
      <c r="BZ78" s="14">
        <f>BY78*VLOOKUP('Données projet'!$B$12,Paramètres!$A$1:$I$89,3,0)*VLOOKUP('Données projet'!$B$12,Paramètres!$A$1:$I$89,5,0)</f>
        <v>84.801600000000008</v>
      </c>
      <c r="CA78" s="14">
        <f t="shared" si="93"/>
        <v>23.30718805376894</v>
      </c>
      <c r="CB78" s="22">
        <f t="shared" si="64"/>
        <v>188.28947252698092</v>
      </c>
      <c r="CC78" s="62">
        <f t="shared" si="65"/>
        <v>481.6228058603142</v>
      </c>
      <c r="CD78" s="62">
        <f ca="1">AVERAGE(OFFSET($CC$3,0,0,'Données projet'!$E$12+1,1))-AVERAGE(OFFSET($H$3,0,0,'Données projet'!$E$12+1,1))</f>
        <v>122.57815304102127</v>
      </c>
      <c r="CE78" s="62">
        <f t="shared" si="94"/>
        <v>80.106609825870578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-3.7243808037601412E-14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199.99826357281154</v>
      </c>
      <c r="CZ78" s="62">
        <f t="shared" si="96"/>
        <v>214.67424457475136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69.307785020022564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69.307785020022564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-5.6843418860808015E-14</v>
      </c>
      <c r="DP78" s="18">
        <f>DO78*VLOOKUP('Données projet'!$B$14,Paramètres!$A$1:$I$89,3,0)*VLOOKUP('Données projet'!$B$14,Paramètres!$A$1:$I$89,5,0)</f>
        <v>-4.5224624045658861E-14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248.15263300983543</v>
      </c>
      <c r="DU78" s="62">
        <f t="shared" si="98"/>
        <v>266.46511459244618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103.7314191080404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103.7314191080404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-5.6843418860808015E-14</v>
      </c>
      <c r="EK78" s="18">
        <f>EJ78*VLOOKUP('Données projet'!$B$15,Paramètres!$A$1:$I$89,3,0)*VLOOKUP('Données projet'!$B$15,Paramètres!$A$1:$I$89,5,0)</f>
        <v>-3.813056537183002E-14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205.35893113421139</v>
      </c>
      <c r="EP78" s="62">
        <f t="shared" si="100"/>
        <v>220.4399811285175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87.459823953837983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87.459823953837983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382.55387448074327</v>
      </c>
      <c r="T79" s="62">
        <f t="shared" si="88"/>
        <v>476.29465646955543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188.50501339748345</v>
      </c>
      <c r="AA79" s="23">
        <f>EXP(-LN(2)/25)*AA78+(1-EXP(-LN(2)/25))/(LN(2)/25)*Calculateur!V79*Calculateur!X79*VLOOKUP('Données projet'!$B$9,Paramètres!$A$1:$I$89,3,0)*0.475*44/12</f>
        <v>41.341962827742634</v>
      </c>
      <c r="AB79" s="23">
        <f>EXP(-LN(2)/2)*AB78+(1-EXP(-LN(2)/2))/(LN(2)/2)*V79*Y79*VLOOKUP('Données projet'!$B$9,Paramètres!$A$1:$I$89,3,0)*0.475*44/12</f>
        <v>0.22000332185667693</v>
      </c>
      <c r="AC79" s="24">
        <f t="shared" si="57"/>
        <v>230.06697954708275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9.3866666666666649</v>
      </c>
      <c r="AI79" s="14">
        <f>IF('Données projet'!$A$62&gt;35,AI78+AH79-AQ78,IF(A79&lt;'Données projet'!$A$62,$AF$205^A79,IF(A79='Données projet'!$A$62,'Données projet'!$B$62,AI78+AH79-AQ78)))</f>
        <v>356.10666666666634</v>
      </c>
      <c r="AJ79" s="14">
        <f>AI79*VLOOKUP('Données projet'!$B$10,Paramètres!$A$1:$I$89,3,0)*VLOOKUP('Données projet'!$B$10,Paramètres!$A$1:$I$89,5,0)</f>
        <v>222.21055999999982</v>
      </c>
      <c r="AK79" s="14">
        <f t="shared" si="89"/>
        <v>54.59506009309046</v>
      </c>
      <c r="AL79" s="22">
        <f t="shared" si="58"/>
        <v>482.10312166213225</v>
      </c>
      <c r="AM79" s="62">
        <f t="shared" si="59"/>
        <v>775.43645499546551</v>
      </c>
      <c r="AN79" s="62">
        <f ca="1">AVERAGE(OFFSET($AM$3,0,0,'Données projet'!$E$10+1,1))-AVERAGE(OFFSET($H$3,0,0,'Données projet'!$E$10+1,1))</f>
        <v>420.68062999212015</v>
      </c>
      <c r="AO79" s="62">
        <f t="shared" si="90"/>
        <v>655.24090633185676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174.5582543726847</v>
      </c>
      <c r="AV79" s="23">
        <f>EXP(-LN(2)/25)*AV78+(1-EXP(-LN(2)/25))/(LN(2)/25)*Calculateur!AQ79*Calculateur!AS79*VLOOKUP('Données projet'!$B$10,Paramètres!$A$1:$I$89,3,0)*0.475*44/12</f>
        <v>35.282511992663444</v>
      </c>
      <c r="AW79" s="23">
        <f>EXP(-LN(2)/2)*AW78+(1-EXP(-LN(2)/2))/(LN(2)/2)*AQ79*AT79*VLOOKUP('Données projet'!$B$10,Paramètres!$A$1:$I$89,3,0)*0.475*44/12</f>
        <v>2.3931525913828233</v>
      </c>
      <c r="AX79" s="23">
        <f t="shared" si="60"/>
        <v>212.23391895673097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3.5555555555555554</v>
      </c>
      <c r="BD79" s="13">
        <f>IF('Données projet'!$A$88&gt;35,BD78+BC79-BL78,IF(A79&lt;'Données projet'!$A$88,$BA$205^A79,IF(A79='Données projet'!$A$88,'Données projet'!$B$88,BD78+BC79-BL78)))</f>
        <v>104.22222222222223</v>
      </c>
      <c r="BE79" s="14">
        <f>BD79*VLOOKUP('Données projet'!$B$11,Paramètres!$A$1:$I$89,3,0)*VLOOKUP('Données projet'!$B$11,Paramètres!$A$1:$I$89,5,0)</f>
        <v>94.300266666666673</v>
      </c>
      <c r="BF79" s="14">
        <f t="shared" si="91"/>
        <v>25.599511719689016</v>
      </c>
      <c r="BG79" s="22">
        <f t="shared" si="61"/>
        <v>208.82544735623617</v>
      </c>
      <c r="BH79" s="62">
        <f t="shared" si="62"/>
        <v>502.15878068956948</v>
      </c>
      <c r="BI79" s="62">
        <f ca="1">AVERAGE(OFFSET($BH$3,0,0,'Données projet'!$E$11+1,1))-AVERAGE(OFFSET($H$3,0,0,'Données projet'!$E$11+1,1))</f>
        <v>138.3429338270858</v>
      </c>
      <c r="BJ79" s="62">
        <f t="shared" si="92"/>
        <v>88.30225651635925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3.5555555555555554</v>
      </c>
      <c r="BY79" s="13">
        <f>IF('Données projet'!$A$114&gt;35,BY78+BX79-CG78,IF(A79&lt;'Données projet'!$A$114,$BV$205^A79,IF(A79='Données projet'!$A$114,'Données projet'!$B$114,BY78+BX79-CG78)))</f>
        <v>104.22222222222223</v>
      </c>
      <c r="BZ79" s="14">
        <f>BY79*VLOOKUP('Données projet'!$B$12,Paramètres!$A$1:$I$89,3,0)*VLOOKUP('Données projet'!$B$12,Paramètres!$A$1:$I$89,5,0)</f>
        <v>87.796800000000019</v>
      </c>
      <c r="CA79" s="14">
        <f t="shared" si="93"/>
        <v>24.033102173590827</v>
      </c>
      <c r="CB79" s="22">
        <f t="shared" si="64"/>
        <v>194.77041295233741</v>
      </c>
      <c r="CC79" s="62">
        <f t="shared" si="65"/>
        <v>488.1037462856707</v>
      </c>
      <c r="CD79" s="62">
        <f ca="1">AVERAGE(OFFSET($CC$3,0,0,'Données projet'!$E$12+1,1))-AVERAGE(OFFSET($H$3,0,0,'Données projet'!$E$12+1,1))</f>
        <v>122.57815304102127</v>
      </c>
      <c r="CE79" s="62">
        <f t="shared" si="94"/>
        <v>80.106609825870578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-3.7243808037601412E-14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199.99826357281154</v>
      </c>
      <c r="CZ79" s="62">
        <f t="shared" si="96"/>
        <v>214.67424457475136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67.948701629354616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67.948701629354616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-5.6843418860808015E-14</v>
      </c>
      <c r="DP79" s="18">
        <f>DO79*VLOOKUP('Données projet'!$B$14,Paramètres!$A$1:$I$89,3,0)*VLOOKUP('Données projet'!$B$14,Paramètres!$A$1:$I$89,5,0)</f>
        <v>-4.5224624045658861E-14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248.15263300983543</v>
      </c>
      <c r="DU79" s="62">
        <f t="shared" si="98"/>
        <v>266.46511459244618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101.69730924925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101.69730924925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-5.6843418860808015E-14</v>
      </c>
      <c r="EK79" s="18">
        <f>EJ79*VLOOKUP('Données projet'!$B$15,Paramètres!$A$1:$I$89,3,0)*VLOOKUP('Données projet'!$B$15,Paramètres!$A$1:$I$89,5,0)</f>
        <v>-3.813056537183002E-14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205.35893113421139</v>
      </c>
      <c r="EP79" s="62">
        <f t="shared" si="100"/>
        <v>220.4399811285175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85.744790151328431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85.744790151328431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382.55387448074327</v>
      </c>
      <c r="T80" s="62">
        <f t="shared" si="88"/>
        <v>476.29465646955543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184.80854506146397</v>
      </c>
      <c r="AA80" s="23">
        <f>EXP(-LN(2)/25)*AA79+(1-EXP(-LN(2)/25))/(LN(2)/25)*Calculateur!V80*Calculateur!X80*VLOOKUP('Données projet'!$B$9,Paramètres!$A$1:$I$89,3,0)*0.475*44/12</f>
        <v>40.211464680138675</v>
      </c>
      <c r="AB80" s="23">
        <f>EXP(-LN(2)/2)*AB79+(1-EXP(-LN(2)/2))/(LN(2)/2)*V80*Y80*VLOOKUP('Données projet'!$B$9,Paramètres!$A$1:$I$89,3,0)*0.475*44/12</f>
        <v>0.15556584076842284</v>
      </c>
      <c r="AC80" s="24">
        <f t="shared" si="57"/>
        <v>225.17557558237107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9.3866666666666649</v>
      </c>
      <c r="AI80" s="14">
        <f>IF('Données projet'!$A$62&gt;35,AI79+AH80-AQ79,IF(A80&lt;'Données projet'!$A$62,$AF$205^A80,IF(A80='Données projet'!$A$62,'Données projet'!$B$62,AI79+AH80-AQ79)))</f>
        <v>365.493333333333</v>
      </c>
      <c r="AJ80" s="14">
        <f>AI80*VLOOKUP('Données projet'!$B$10,Paramètres!$A$1:$I$89,3,0)*VLOOKUP('Données projet'!$B$10,Paramètres!$A$1:$I$89,5,0)</f>
        <v>228.06783999999979</v>
      </c>
      <c r="AK80" s="14">
        <f t="shared" si="89"/>
        <v>55.864698463520725</v>
      </c>
      <c r="AL80" s="22">
        <f t="shared" si="58"/>
        <v>494.51583782396489</v>
      </c>
      <c r="AM80" s="62">
        <f t="shared" si="59"/>
        <v>787.8491711572982</v>
      </c>
      <c r="AN80" s="62">
        <f ca="1">AVERAGE(OFFSET($AM$3,0,0,'Données projet'!$E$10+1,1))-AVERAGE(OFFSET($H$3,0,0,'Données projet'!$E$10+1,1))</f>
        <v>420.68062999212015</v>
      </c>
      <c r="AO80" s="62">
        <f t="shared" si="90"/>
        <v>655.24090633185676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171.13527347445847</v>
      </c>
      <c r="AV80" s="23">
        <f>EXP(-LN(2)/25)*AV79+(1-EXP(-LN(2)/25))/(LN(2)/25)*Calculateur!AQ80*Calculateur!AS80*VLOOKUP('Données projet'!$B$10,Paramètres!$A$1:$I$89,3,0)*0.475*44/12</f>
        <v>34.317709846797399</v>
      </c>
      <c r="AW80" s="23">
        <f>EXP(-LN(2)/2)*AW79+(1-EXP(-LN(2)/2))/(LN(2)/2)*AQ80*AT80*VLOOKUP('Données projet'!$B$10,Paramètres!$A$1:$I$89,3,0)*0.475*44/12</f>
        <v>1.6922144257809533</v>
      </c>
      <c r="AX80" s="23">
        <f t="shared" si="60"/>
        <v>207.14519774703683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3.5555555555555554</v>
      </c>
      <c r="BD80" s="13">
        <f>IF('Données projet'!$A$88&gt;35,BD79+BC80-BL79,IF(A80&lt;'Données projet'!$A$88,$BA$205^A80,IF(A80='Données projet'!$A$88,'Données projet'!$B$88,BD79+BC80-BL79)))</f>
        <v>107.77777777777779</v>
      </c>
      <c r="BE80" s="14">
        <f>BD80*VLOOKUP('Données projet'!$B$11,Paramètres!$A$1:$I$89,3,0)*VLOOKUP('Données projet'!$B$11,Paramètres!$A$1:$I$89,5,0)</f>
        <v>97.51733333333334</v>
      </c>
      <c r="BF80" s="14">
        <f t="shared" si="91"/>
        <v>26.369673839978265</v>
      </c>
      <c r="BG80" s="22">
        <f t="shared" si="61"/>
        <v>215.76987082685102</v>
      </c>
      <c r="BH80" s="62">
        <f t="shared" si="62"/>
        <v>509.1032041601843</v>
      </c>
      <c r="BI80" s="62">
        <f ca="1">AVERAGE(OFFSET($BH$3,0,0,'Données projet'!$E$11+1,1))-AVERAGE(OFFSET($H$3,0,0,'Données projet'!$E$11+1,1))</f>
        <v>138.3429338270858</v>
      </c>
      <c r="BJ80" s="62">
        <f t="shared" si="92"/>
        <v>88.30225651635925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3.5555555555555554</v>
      </c>
      <c r="BY80" s="13">
        <f>IF('Données projet'!$A$114&gt;35,BY79+BX80-CG79,IF(A80&lt;'Données projet'!$A$114,$BV$205^A80,IF(A80='Données projet'!$A$114,'Données projet'!$B$114,BY79+BX80-CG79)))</f>
        <v>107.77777777777779</v>
      </c>
      <c r="BZ80" s="14">
        <f>BY80*VLOOKUP('Données projet'!$B$12,Paramètres!$A$1:$I$89,3,0)*VLOOKUP('Données projet'!$B$12,Paramètres!$A$1:$I$89,5,0)</f>
        <v>90.792000000000016</v>
      </c>
      <c r="CA80" s="14">
        <f t="shared" si="93"/>
        <v>24.756138813110173</v>
      </c>
      <c r="CB80" s="22">
        <f t="shared" si="64"/>
        <v>201.24634176616689</v>
      </c>
      <c r="CC80" s="62">
        <f t="shared" si="65"/>
        <v>494.57967509950021</v>
      </c>
      <c r="CD80" s="62">
        <f ca="1">AVERAGE(OFFSET($CC$3,0,0,'Données projet'!$E$12+1,1))-AVERAGE(OFFSET($H$3,0,0,'Données projet'!$E$12+1,1))</f>
        <v>122.57815304102127</v>
      </c>
      <c r="CE80" s="62">
        <f t="shared" si="94"/>
        <v>80.106609825870578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-3.7243808037601412E-14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199.99826357281154</v>
      </c>
      <c r="CZ80" s="62">
        <f t="shared" si="96"/>
        <v>214.67424457475136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66.616269035018647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66.616269035018647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-5.6843418860808015E-14</v>
      </c>
      <c r="DP80" s="18">
        <f>DO80*VLOOKUP('Données projet'!$B$14,Paramètres!$A$1:$I$89,3,0)*VLOOKUP('Données projet'!$B$14,Paramètres!$A$1:$I$89,5,0)</f>
        <v>-4.5224624045658861E-14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248.15263300983543</v>
      </c>
      <c r="DU80" s="62">
        <f t="shared" si="98"/>
        <v>266.46511459244618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99.70308704410597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99.70308704410597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-5.6843418860808015E-14</v>
      </c>
      <c r="EK80" s="18">
        <f>EJ80*VLOOKUP('Données projet'!$B$15,Paramètres!$A$1:$I$89,3,0)*VLOOKUP('Données projet'!$B$15,Paramètres!$A$1:$I$89,5,0)</f>
        <v>-3.813056537183002E-14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205.35893113421139</v>
      </c>
      <c r="EP80" s="62">
        <f t="shared" si="100"/>
        <v>220.4399811285175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84.063387115618767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84.063387115618767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382.55387448074327</v>
      </c>
      <c r="T81" s="62">
        <f t="shared" si="88"/>
        <v>476.29465646955543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181.18456221489078</v>
      </c>
      <c r="AA81" s="23">
        <f>EXP(-LN(2)/25)*AA80+(1-EXP(-LN(2)/25))/(LN(2)/25)*Calculateur!V81*Calculateur!X81*VLOOKUP('Données projet'!$B$9,Paramètres!$A$1:$I$89,3,0)*0.475*44/12</f>
        <v>39.111880063831258</v>
      </c>
      <c r="AB81" s="23">
        <f>EXP(-LN(2)/2)*AB80+(1-EXP(-LN(2)/2))/(LN(2)/2)*V81*Y81*VLOOKUP('Données projet'!$B$9,Paramètres!$A$1:$I$89,3,0)*0.475*44/12</f>
        <v>0.11000166092833846</v>
      </c>
      <c r="AC81" s="24">
        <f t="shared" si="57"/>
        <v>220.40644393965036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374.88</v>
      </c>
      <c r="AG81" s="13">
        <f>VLOOKUP(A81,'Données projet'!$A$61:$I$81,9,0)</f>
        <v>9.3866666666666649</v>
      </c>
      <c r="AH81" s="13">
        <f t="array" ref="AH81">INDEX(AG:AG,MIN(IF(ISNUMBER(AG81:AG277),ROW(AG81:AG277),"")))</f>
        <v>9.3866666666666649</v>
      </c>
      <c r="AI81" s="14">
        <f>IF('Données projet'!$A$62&gt;35,AI80+AH81-AQ80,IF(A81&lt;'Données projet'!$A$62,$AF$205^A81,IF(A81='Données projet'!$A$62,'Données projet'!$B$62,AI80+AH81-AQ80)))</f>
        <v>374.87999999999965</v>
      </c>
      <c r="AJ81" s="14">
        <f>AI81*VLOOKUP('Données projet'!$B$10,Paramètres!$A$1:$I$89,3,0)*VLOOKUP('Données projet'!$B$10,Paramètres!$A$1:$I$89,5,0)</f>
        <v>233.92511999999977</v>
      </c>
      <c r="AK81" s="14">
        <f t="shared" si="89"/>
        <v>57.130546596387461</v>
      </c>
      <c r="AL81" s="22">
        <f t="shared" si="58"/>
        <v>506.92195265537447</v>
      </c>
      <c r="AM81" s="62">
        <f t="shared" si="59"/>
        <v>800.25528598870778</v>
      </c>
      <c r="AN81" s="62">
        <f ca="1">AVERAGE(OFFSET($AM$3,0,0,'Données projet'!$E$10+1,1))-AVERAGE(OFFSET($H$3,0,0,'Données projet'!$E$10+1,1))</f>
        <v>420.68062999212015</v>
      </c>
      <c r="AO81" s="62">
        <f t="shared" si="90"/>
        <v>655.24090633185676</v>
      </c>
      <c r="AP81" s="16" t="str">
        <f>IF(ISNA(VLOOKUP(A81,'Données projet'!$A$61:$I$81,3,0)),0,VLOOKUP(A81,'Données projet'!$A$61:$I$81,3,0))</f>
        <v>CR</v>
      </c>
      <c r="AQ81" s="16">
        <f>IF(ISNA(VLOOKUP(A81,'Données projet'!$A$61:$I$81,4,0)),0,VLOOKUP(A81,'Données projet'!$A$61:$I$81,4,0))</f>
        <v>374.88</v>
      </c>
      <c r="AR81" s="17">
        <f>IF(ISNA(VLOOKUP(A81,'Données projet'!$A$61:$I$81,5,0)),0%,VLOOKUP(A81,'Données projet'!$A$61:$I$81,5,0)*VLOOKUP('Données projet'!$B$10,Paramètres!$A$1:$I$89,7,0))</f>
        <v>0.42</v>
      </c>
      <c r="AS81" s="17">
        <f>IF(ISNA(VLOOKUP(A81,'Données projet'!$A$61:$I$81,6,0)),0%,VLOOKUP(A81,'Données projet'!$A$61:$I$81,6,0)*VLOOKUP('Données projet'!$B$10,Paramètres!$A$1:$I$89,7,0))</f>
        <v>0.1008</v>
      </c>
      <c r="AT81" s="17">
        <f>IF(ISNA(VLOOKUP(A81,'Données projet'!$A$61:$I$81,7,0)),0%,VLOOKUP(A81,'Données projet'!$A$61:$I$81,7,0))</f>
        <v>0.13200000000000001</v>
      </c>
      <c r="AU81" s="23">
        <f>EXP(-LN(2)/35)*AU80+(1-EXP(-LN(2)/35))/(LN(2)/35)*AQ81*AR81*VLOOKUP('Données projet'!$B$10,Paramètres!$A$1:$I$89,3,0)*0.475*44/12</f>
        <v>298.11244990293449</v>
      </c>
      <c r="AV81" s="23">
        <f>EXP(-LN(2)/25)*AV80+(1-EXP(-LN(2)/25))/(LN(2)/25)*Calculateur!AQ81*Calculateur!AS81*VLOOKUP('Données projet'!$B$10,Paramètres!$A$1:$I$89,3,0)*0.475*44/12</f>
        <v>64.536057612060574</v>
      </c>
      <c r="AW81" s="23">
        <f>EXP(-LN(2)/2)*AW80+(1-EXP(-LN(2)/2))/(LN(2)/2)*AQ81*AT81*VLOOKUP('Données projet'!$B$10,Paramètres!$A$1:$I$89,3,0)*0.475*44/12</f>
        <v>36.157776336502977</v>
      </c>
      <c r="AX81" s="23">
        <f t="shared" si="60"/>
        <v>398.80628385149805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3.5555555555555554</v>
      </c>
      <c r="BD81" s="13">
        <f>IF('Données projet'!$A$88&gt;35,BD80+BC81-BL80,IF(A81&lt;'Données projet'!$A$88,$BA$205^A81,IF(A81='Données projet'!$A$88,'Données projet'!$B$88,BD80+BC81-BL80)))</f>
        <v>111.33333333333334</v>
      </c>
      <c r="BE81" s="14">
        <f>BD81*VLOOKUP('Données projet'!$B$11,Paramètres!$A$1:$I$89,3,0)*VLOOKUP('Données projet'!$B$11,Paramètres!$A$1:$I$89,5,0)</f>
        <v>100.73440000000001</v>
      </c>
      <c r="BF81" s="14">
        <f t="shared" si="91"/>
        <v>27.136883642976155</v>
      </c>
      <c r="BG81" s="22">
        <f t="shared" si="61"/>
        <v>222.70915234485017</v>
      </c>
      <c r="BH81" s="62">
        <f t="shared" si="62"/>
        <v>516.04248567818354</v>
      </c>
      <c r="BI81" s="62">
        <f ca="1">AVERAGE(OFFSET($BH$3,0,0,'Données projet'!$E$11+1,1))-AVERAGE(OFFSET($H$3,0,0,'Données projet'!$E$11+1,1))</f>
        <v>138.3429338270858</v>
      </c>
      <c r="BJ81" s="62">
        <f t="shared" si="92"/>
        <v>88.30225651635925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3.5555555555555554</v>
      </c>
      <c r="BY81" s="13">
        <f>IF('Données projet'!$A$114&gt;35,BY80+BX81-CG80,IF(A81&lt;'Données projet'!$A$114,$BV$205^A81,IF(A81='Données projet'!$A$114,'Données projet'!$B$114,BY80+BX81-CG80)))</f>
        <v>111.33333333333334</v>
      </c>
      <c r="BZ81" s="14">
        <f>BY81*VLOOKUP('Données projet'!$B$12,Paramètres!$A$1:$I$89,3,0)*VLOOKUP('Données projet'!$B$12,Paramètres!$A$1:$I$89,5,0)</f>
        <v>93.787200000000027</v>
      </c>
      <c r="CA81" s="14">
        <f t="shared" si="93"/>
        <v>25.47640378479899</v>
      </c>
      <c r="CB81" s="22">
        <f t="shared" si="64"/>
        <v>207.71744325852498</v>
      </c>
      <c r="CC81" s="62">
        <f t="shared" si="65"/>
        <v>501.05077659185827</v>
      </c>
      <c r="CD81" s="62">
        <f ca="1">AVERAGE(OFFSET($CC$3,0,0,'Données projet'!$E$12+1,1))-AVERAGE(OFFSET($H$3,0,0,'Données projet'!$E$12+1,1))</f>
        <v>122.57815304102127</v>
      </c>
      <c r="CE81" s="62">
        <f t="shared" si="94"/>
        <v>80.106609825870578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-3.7243808037601412E-14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199.99826357281154</v>
      </c>
      <c r="CZ81" s="62">
        <f t="shared" si="96"/>
        <v>214.67424457475136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65.309964631153974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65.309964631153974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-5.6843418860808015E-14</v>
      </c>
      <c r="DP81" s="18">
        <f>DO81*VLOOKUP('Données projet'!$B$14,Paramètres!$A$1:$I$89,3,0)*VLOOKUP('Données projet'!$B$14,Paramètres!$A$1:$I$89,5,0)</f>
        <v>-4.5224624045658861E-14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248.15263300983543</v>
      </c>
      <c r="DU81" s="62">
        <f t="shared" si="98"/>
        <v>266.46511459244618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97.747970320049376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97.747970320049376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-5.6843418860808015E-14</v>
      </c>
      <c r="EK81" s="18">
        <f>EJ81*VLOOKUP('Données projet'!$B$15,Paramètres!$A$1:$I$89,3,0)*VLOOKUP('Données projet'!$B$15,Paramètres!$A$1:$I$89,5,0)</f>
        <v>-3.813056537183002E-14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205.35893113421139</v>
      </c>
      <c r="EP81" s="62">
        <f t="shared" si="100"/>
        <v>220.4399811285175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82.414955367884772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82.414955367884772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382.55387448074327</v>
      </c>
      <c r="T82" s="62">
        <f t="shared" si="88"/>
        <v>476.29465646955543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177.6316434615276</v>
      </c>
      <c r="AA82" s="23">
        <f>EXP(-LN(2)/25)*AA81+(1-EXP(-LN(2)/25))/(LN(2)/25)*Calculateur!V82*Calculateur!X82*VLOOKUP('Données projet'!$B$9,Paramètres!$A$1:$I$89,3,0)*0.475*44/12</f>
        <v>38.042363646681409</v>
      </c>
      <c r="AB82" s="23">
        <f>EXP(-LN(2)/2)*AB81+(1-EXP(-LN(2)/2))/(LN(2)/2)*V82*Y82*VLOOKUP('Données projet'!$B$9,Paramètres!$A$1:$I$89,3,0)*0.475*44/12</f>
        <v>7.7782920384211418E-2</v>
      </c>
      <c r="AC82" s="24">
        <f t="shared" si="57"/>
        <v>215.75179002859323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-3.4106051316484809E-13</v>
      </c>
      <c r="AJ82" s="14">
        <f>AI82*VLOOKUP('Données projet'!$B$10,Paramètres!$A$1:$I$89,3,0)*VLOOKUP('Données projet'!$B$10,Paramètres!$A$1:$I$89,5,0)</f>
        <v>-2.1282176021486519E-13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420.68062999212015</v>
      </c>
      <c r="AO82" s="62">
        <f t="shared" si="90"/>
        <v>655.24090633185676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292.2666465909781</v>
      </c>
      <c r="AV82" s="23">
        <f>EXP(-LN(2)/25)*AV81+(1-EXP(-LN(2)/25))/(LN(2)/25)*Calculateur!AQ82*Calculateur!AS82*VLOOKUP('Données projet'!$B$10,Paramètres!$A$1:$I$89,3,0)*0.475*44/12</f>
        <v>62.771315722855007</v>
      </c>
      <c r="AW82" s="23">
        <f>EXP(-LN(2)/2)*AW81+(1-EXP(-LN(2)/2))/(LN(2)/2)*AQ82*AT82*VLOOKUP('Données projet'!$B$10,Paramètres!$A$1:$I$89,3,0)*0.475*44/12</f>
        <v>25.567408840167737</v>
      </c>
      <c r="AX82" s="23">
        <f t="shared" si="60"/>
        <v>380.60537115400081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3.5555555555555554</v>
      </c>
      <c r="BD82" s="13">
        <f>IF('Données projet'!$A$88&gt;35,BD81+BC82-BL81,IF(A82&lt;'Données projet'!$A$88,$BA$205^A82,IF(A82='Données projet'!$A$88,'Données projet'!$B$88,BD81+BC82-BL81)))</f>
        <v>114.8888888888889</v>
      </c>
      <c r="BE82" s="14">
        <f>BD82*VLOOKUP('Données projet'!$B$11,Paramètres!$A$1:$I$89,3,0)*VLOOKUP('Données projet'!$B$11,Paramètres!$A$1:$I$89,5,0)</f>
        <v>103.95146666666668</v>
      </c>
      <c r="BF82" s="14">
        <f t="shared" si="91"/>
        <v>27.901246229966588</v>
      </c>
      <c r="BG82" s="22">
        <f t="shared" si="61"/>
        <v>229.64347496163623</v>
      </c>
      <c r="BH82" s="62">
        <f t="shared" si="62"/>
        <v>522.97680829496949</v>
      </c>
      <c r="BI82" s="62">
        <f ca="1">AVERAGE(OFFSET($BH$3,0,0,'Données projet'!$E$11+1,1))-AVERAGE(OFFSET($H$3,0,0,'Données projet'!$E$11+1,1))</f>
        <v>138.3429338270858</v>
      </c>
      <c r="BJ82" s="62">
        <f t="shared" si="92"/>
        <v>88.30225651635925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3.5555555555555554</v>
      </c>
      <c r="BY82" s="13">
        <f>IF('Données projet'!$A$114&gt;35,BY81+BX82-CG81,IF(A82&lt;'Données projet'!$A$114,$BV$205^A82,IF(A82='Données projet'!$A$114,'Données projet'!$B$114,BY81+BX82-CG81)))</f>
        <v>114.8888888888889</v>
      </c>
      <c r="BZ82" s="14">
        <f>BY82*VLOOKUP('Données projet'!$B$12,Paramètres!$A$1:$I$89,3,0)*VLOOKUP('Données projet'!$B$12,Paramètres!$A$1:$I$89,5,0)</f>
        <v>96.782400000000024</v>
      </c>
      <c r="CA82" s="14">
        <f t="shared" si="93"/>
        <v>26.193995758894442</v>
      </c>
      <c r="CB82" s="22">
        <f t="shared" si="64"/>
        <v>214.18388928007451</v>
      </c>
      <c r="CC82" s="62">
        <f t="shared" si="65"/>
        <v>507.51722261340785</v>
      </c>
      <c r="CD82" s="62">
        <f ca="1">AVERAGE(OFFSET($CC$3,0,0,'Données projet'!$E$12+1,1))-AVERAGE(OFFSET($H$3,0,0,'Données projet'!$E$12+1,1))</f>
        <v>122.57815304102127</v>
      </c>
      <c r="CE82" s="62">
        <f t="shared" si="94"/>
        <v>80.106609825870578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-3.7243808037601412E-14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199.99826357281154</v>
      </c>
      <c r="CZ82" s="62">
        <f t="shared" si="96"/>
        <v>214.67424457475136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64.029276059882079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64.029276059882079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-5.6843418860808015E-14</v>
      </c>
      <c r="DP82" s="18">
        <f>DO82*VLOOKUP('Données projet'!$B$14,Paramètres!$A$1:$I$89,3,0)*VLOOKUP('Données projet'!$B$14,Paramètres!$A$1:$I$89,5,0)</f>
        <v>-4.5224624045658861E-14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248.15263300983543</v>
      </c>
      <c r="DU82" s="62">
        <f t="shared" si="98"/>
        <v>266.46511459244618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95.831192242448083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95.831192242448083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-5.6843418860808015E-14</v>
      </c>
      <c r="EK82" s="18">
        <f>EJ82*VLOOKUP('Données projet'!$B$15,Paramètres!$A$1:$I$89,3,0)*VLOOKUP('Données projet'!$B$15,Paramètres!$A$1:$I$89,5,0)</f>
        <v>-3.813056537183002E-14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205.35893113421139</v>
      </c>
      <c r="EP82" s="62">
        <f t="shared" si="100"/>
        <v>220.4399811285175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80.798848361279752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80.798848361279752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382.55387448074327</v>
      </c>
      <c r="T83" s="62">
        <f t="shared" si="88"/>
        <v>476.29465646955543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174.14839527785142</v>
      </c>
      <c r="AA83" s="23">
        <f>EXP(-LN(2)/25)*AA82+(1-EXP(-LN(2)/25))/(LN(2)/25)*Calculateur!V83*Calculateur!X83*VLOOKUP('Données projet'!$B$9,Paramètres!$A$1:$I$89,3,0)*0.475*44/12</f>
        <v>37.002093212201949</v>
      </c>
      <c r="AB83" s="23">
        <f>EXP(-LN(2)/2)*AB82+(1-EXP(-LN(2)/2))/(LN(2)/2)*V83*Y83*VLOOKUP('Données projet'!$B$9,Paramètres!$A$1:$I$89,3,0)*0.475*44/12</f>
        <v>5.5000830464169231E-2</v>
      </c>
      <c r="AC83" s="24">
        <f t="shared" si="57"/>
        <v>211.20548932051753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-3.4106051316484809E-13</v>
      </c>
      <c r="AJ83" s="14">
        <f>AI83*VLOOKUP('Données projet'!$B$10,Paramètres!$A$1:$I$89,3,0)*VLOOKUP('Données projet'!$B$10,Paramètres!$A$1:$I$89,5,0)</f>
        <v>-2.1282176021486519E-13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420.68062999212015</v>
      </c>
      <c r="AO83" s="62">
        <f t="shared" si="90"/>
        <v>655.24090633185676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286.53547591638124</v>
      </c>
      <c r="AV83" s="23">
        <f>EXP(-LN(2)/25)*AV82+(1-EXP(-LN(2)/25))/(LN(2)/25)*Calculateur!AQ83*Calculateur!AS83*VLOOKUP('Données projet'!$B$10,Paramètres!$A$1:$I$89,3,0)*0.475*44/12</f>
        <v>61.054830793413508</v>
      </c>
      <c r="AW83" s="23">
        <f>EXP(-LN(2)/2)*AW82+(1-EXP(-LN(2)/2))/(LN(2)/2)*AQ83*AT83*VLOOKUP('Données projet'!$B$10,Paramètres!$A$1:$I$89,3,0)*0.475*44/12</f>
        <v>18.078888168251488</v>
      </c>
      <c r="AX83" s="23">
        <f t="shared" si="60"/>
        <v>365.6691948780462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3.5555555555555554</v>
      </c>
      <c r="BD83" s="13">
        <f>IF('Données projet'!$A$88&gt;35,BD82+BC83-BL82,IF(A83&lt;'Données projet'!$A$88,$BA$205^A83,IF(A83='Données projet'!$A$88,'Données projet'!$B$88,BD82+BC83-BL82)))</f>
        <v>118.44444444444446</v>
      </c>
      <c r="BE83" s="14">
        <f>BD83*VLOOKUP('Données projet'!$B$11,Paramètres!$A$1:$I$89,3,0)*VLOOKUP('Données projet'!$B$11,Paramètres!$A$1:$I$89,5,0)</f>
        <v>107.16853333333336</v>
      </c>
      <c r="BF83" s="14">
        <f t="shared" si="91"/>
        <v>28.662859827378433</v>
      </c>
      <c r="BG83" s="22">
        <f t="shared" si="61"/>
        <v>236.57300975490637</v>
      </c>
      <c r="BH83" s="62">
        <f t="shared" si="62"/>
        <v>529.90634308823974</v>
      </c>
      <c r="BI83" s="62">
        <f ca="1">AVERAGE(OFFSET($BH$3,0,0,'Données projet'!$E$11+1,1))-AVERAGE(OFFSET($H$3,0,0,'Données projet'!$E$11+1,1))</f>
        <v>138.3429338270858</v>
      </c>
      <c r="BJ83" s="62">
        <f t="shared" si="92"/>
        <v>88.30225651635925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3.5555555555555554</v>
      </c>
      <c r="BY83" s="13">
        <f>IF('Données projet'!$A$114&gt;35,BY82+BX83-CG82,IF(A83&lt;'Données projet'!$A$114,$BV$205^A83,IF(A83='Données projet'!$A$114,'Données projet'!$B$114,BY82+BX83-CG82)))</f>
        <v>118.44444444444446</v>
      </c>
      <c r="BZ83" s="14">
        <f>BY83*VLOOKUP('Données projet'!$B$12,Paramètres!$A$1:$I$89,3,0)*VLOOKUP('Données projet'!$B$12,Paramètres!$A$1:$I$89,5,0)</f>
        <v>99.777600000000021</v>
      </c>
      <c r="CA83" s="14">
        <f t="shared" si="93"/>
        <v>26.909006951444532</v>
      </c>
      <c r="CB83" s="22">
        <f t="shared" si="64"/>
        <v>220.64584044043261</v>
      </c>
      <c r="CC83" s="62">
        <f t="shared" si="65"/>
        <v>513.97917377376598</v>
      </c>
      <c r="CD83" s="62">
        <f ca="1">AVERAGE(OFFSET($CC$3,0,0,'Données projet'!$E$12+1,1))-AVERAGE(OFFSET($H$3,0,0,'Données projet'!$E$12+1,1))</f>
        <v>122.57815304102127</v>
      </c>
      <c r="CE83" s="62">
        <f t="shared" si="94"/>
        <v>80.106609825870578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-3.7243808037601412E-14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199.99826357281154</v>
      </c>
      <c r="CZ83" s="62">
        <f t="shared" si="96"/>
        <v>214.67424457475136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62.773701010349924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62.773701010349924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-5.6843418860808015E-14</v>
      </c>
      <c r="DP83" s="18">
        <f>DO83*VLOOKUP('Données projet'!$B$14,Paramètres!$A$1:$I$89,3,0)*VLOOKUP('Données projet'!$B$14,Paramètres!$A$1:$I$89,5,0)</f>
        <v>-4.5224624045658861E-14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248.15263300983543</v>
      </c>
      <c r="DU83" s="62">
        <f t="shared" si="98"/>
        <v>266.46511459244618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93.95200101382936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93.95200101382936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-5.6843418860808015E-14</v>
      </c>
      <c r="EK83" s="18">
        <f>EJ83*VLOOKUP('Données projet'!$B$15,Paramètres!$A$1:$I$89,3,0)*VLOOKUP('Données projet'!$B$15,Paramètres!$A$1:$I$89,5,0)</f>
        <v>-3.813056537183002E-14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205.35893113421139</v>
      </c>
      <c r="EP83" s="62">
        <f t="shared" si="100"/>
        <v>220.4399811285175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79.214432227346322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79.214432227346322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382.55387448074327</v>
      </c>
      <c r="T84" s="62">
        <f t="shared" si="88"/>
        <v>476.29465646955543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170.73345146648552</v>
      </c>
      <c r="AA84" s="23">
        <f>EXP(-LN(2)/25)*AA83+(1-EXP(-LN(2)/25))/(LN(2)/25)*Calculateur!V84*Calculateur!X84*VLOOKUP('Données projet'!$B$9,Paramètres!$A$1:$I$89,3,0)*0.475*44/12</f>
        <v>35.990269027458773</v>
      </c>
      <c r="AB84" s="23">
        <f>EXP(-LN(2)/2)*AB83+(1-EXP(-LN(2)/2))/(LN(2)/2)*V84*Y84*VLOOKUP('Données projet'!$B$9,Paramètres!$A$1:$I$89,3,0)*0.475*44/12</f>
        <v>3.8891460192105709E-2</v>
      </c>
      <c r="AC84" s="24">
        <f t="shared" si="57"/>
        <v>206.76261195413639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-3.4106051316484809E-13</v>
      </c>
      <c r="AJ84" s="14">
        <f>AI84*VLOOKUP('Données projet'!$B$10,Paramètres!$A$1:$I$89,3,0)*VLOOKUP('Données projet'!$B$10,Paramètres!$A$1:$I$89,5,0)</f>
        <v>-2.1282176021486519E-13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420.68062999212015</v>
      </c>
      <c r="AO84" s="62">
        <f t="shared" si="90"/>
        <v>655.24090633185676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280.91669000304427</v>
      </c>
      <c r="AV84" s="23">
        <f>EXP(-LN(2)/25)*AV83+(1-EXP(-LN(2)/25))/(LN(2)/25)*Calculateur!AQ84*Calculateur!AS84*VLOOKUP('Données projet'!$B$10,Paramètres!$A$1:$I$89,3,0)*0.475*44/12</f>
        <v>59.385283234633604</v>
      </c>
      <c r="AW84" s="23">
        <f>EXP(-LN(2)/2)*AW83+(1-EXP(-LN(2)/2))/(LN(2)/2)*AQ84*AT84*VLOOKUP('Données projet'!$B$10,Paramètres!$A$1:$I$89,3,0)*0.475*44/12</f>
        <v>12.783704420083868</v>
      </c>
      <c r="AX84" s="23">
        <f t="shared" si="60"/>
        <v>353.08567765776178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>
        <f>VLOOKUP(A84,'Données projet'!$A$87:$I$107,2,0)</f>
        <v>122</v>
      </c>
      <c r="BB84" s="13">
        <f>VLOOKUP(A84,'Données projet'!$A$87:$I$107,9,0)</f>
        <v>3.5555555555555554</v>
      </c>
      <c r="BC84" s="13">
        <f t="array" ref="BC84">INDEX(BB:BB,MIN(IF(ISNUMBER(BB84:BB280),ROW(BB84:BB280),"")))</f>
        <v>3.5555555555555554</v>
      </c>
      <c r="BD84" s="13">
        <f>IF('Données projet'!$A$88&gt;35,BD83+BC84-BL83,IF(A84&lt;'Données projet'!$A$88,$BA$205^A84,IF(A84='Données projet'!$A$88,'Données projet'!$B$88,BD83+BC84-BL83)))</f>
        <v>122.00000000000001</v>
      </c>
      <c r="BE84" s="14">
        <f>BD84*VLOOKUP('Données projet'!$B$11,Paramètres!$A$1:$I$89,3,0)*VLOOKUP('Données projet'!$B$11,Paramètres!$A$1:$I$89,5,0)</f>
        <v>110.38560000000001</v>
      </c>
      <c r="BF84" s="14">
        <f t="shared" si="91"/>
        <v>29.421816429201407</v>
      </c>
      <c r="BG84" s="22">
        <f t="shared" si="61"/>
        <v>243.49791694752579</v>
      </c>
      <c r="BH84" s="62">
        <f t="shared" si="62"/>
        <v>536.83125028085908</v>
      </c>
      <c r="BI84" s="62">
        <f ca="1">AVERAGE(OFFSET($BH$3,0,0,'Données projet'!$E$11+1,1))-AVERAGE(OFFSET($H$3,0,0,'Données projet'!$E$11+1,1))</f>
        <v>138.3429338270858</v>
      </c>
      <c r="BJ84" s="62">
        <f t="shared" si="92"/>
        <v>88.30225651635925</v>
      </c>
      <c r="BK84" s="16">
        <f>IF(ISNA(VLOOKUP(A84,'Données projet'!$A$87:$I$107,3,0)),0,VLOOKUP(A84,'Données projet'!$A$87:$I$107,3,0))</f>
        <v>4</v>
      </c>
      <c r="BL84" s="16">
        <f>IF(ISNA(VLOOKUP(A84,'Données projet'!$A$87:$I$107,4,0)),0,VLOOKUP(A84,'Données projet'!$A$87:$I$107,4,0))</f>
        <v>26</v>
      </c>
      <c r="BM84" s="17">
        <f>IF(ISNA(VLOOKUP(A84,'Données projet'!$A$87:$I$107,5,0)),0%,VLOOKUP(A84,'Données projet'!$A$87:$I$107,5,0)*VLOOKUP('Données projet'!$B$11,Paramètres!$A$1:$I$89,7,0))</f>
        <v>0.30099999999999999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7.8277968449154605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7.8277968449154605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>
        <f>VLOOKUP(A84,'Données projet'!$A$113:$I$133,2,0)</f>
        <v>122</v>
      </c>
      <c r="BW84" s="13">
        <f>VLOOKUP(A84,'Données projet'!$A$113:$I$133,9,0)</f>
        <v>3.5555555555555554</v>
      </c>
      <c r="BX84" s="13">
        <f t="array" ref="BX84">INDEX(BW:BW,MIN(IF(ISNUMBER(BW84:BW280),ROW(BW84:BW280),"")))</f>
        <v>3.5555555555555554</v>
      </c>
      <c r="BY84" s="13">
        <f>IF('Données projet'!$A$114&gt;35,BY83+BX84-CG83,IF(A84&lt;'Données projet'!$A$114,$BV$205^A84,IF(A84='Données projet'!$A$114,'Données projet'!$B$114,BY83+BX84-CG83)))</f>
        <v>122.00000000000001</v>
      </c>
      <c r="BZ84" s="14">
        <f>BY84*VLOOKUP('Données projet'!$B$12,Paramètres!$A$1:$I$89,3,0)*VLOOKUP('Données projet'!$B$12,Paramètres!$A$1:$I$89,5,0)</f>
        <v>102.77280000000002</v>
      </c>
      <c r="CA84" s="14">
        <f t="shared" si="93"/>
        <v>27.62152372741507</v>
      </c>
      <c r="CB84" s="22">
        <f t="shared" si="64"/>
        <v>227.10344715858128</v>
      </c>
      <c r="CC84" s="62">
        <f t="shared" si="65"/>
        <v>520.43678049191453</v>
      </c>
      <c r="CD84" s="62">
        <f ca="1">AVERAGE(OFFSET($CC$3,0,0,'Données projet'!$E$12+1,1))-AVERAGE(OFFSET($H$3,0,0,'Données projet'!$E$12+1,1))</f>
        <v>122.57815304102127</v>
      </c>
      <c r="CE84" s="62">
        <f t="shared" si="94"/>
        <v>80.106609825870578</v>
      </c>
      <c r="CF84" s="16">
        <f>IF(ISNA(VLOOKUP(A84,'Données projet'!$A$113:$I$133,3,0)),0,VLOOKUP(A84,'Données projet'!$A$113:$I$133,3,0))</f>
        <v>4</v>
      </c>
      <c r="CG84" s="16">
        <f>IF(ISNA(VLOOKUP(A84,'Données projet'!$A$113:$I$133,4,0)),0,VLOOKUP(A84,'Données projet'!$A$113:$I$133,4,0))</f>
        <v>26</v>
      </c>
      <c r="CH84" s="17">
        <f>IF(ISNA(VLOOKUP(A84,'Données projet'!$A$113:$I$133,5,0)),0%,VLOOKUP(A84,'Données projet'!$A$113:$I$133,5,0)*VLOOKUP('Données projet'!$B$12,Paramètres!$A$1:$I$89,7,0))</f>
        <v>0.30099999999999999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7.2879487866454289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7.2879487866454289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-3.7243808037601412E-14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199.99826357281154</v>
      </c>
      <c r="CZ84" s="62">
        <f t="shared" si="96"/>
        <v>214.67424457475136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61.542747021713936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61.542747021713936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-5.6843418860808015E-14</v>
      </c>
      <c r="DP84" s="18">
        <f>DO84*VLOOKUP('Données projet'!$B$14,Paramètres!$A$1:$I$89,3,0)*VLOOKUP('Données projet'!$B$14,Paramètres!$A$1:$I$89,5,0)</f>
        <v>-4.5224624045658861E-14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248.15263300983543</v>
      </c>
      <c r="DU84" s="62">
        <f t="shared" si="98"/>
        <v>266.46511459244618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92.109659579010383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92.109659579010383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-5.6843418860808015E-14</v>
      </c>
      <c r="EK84" s="18">
        <f>EJ84*VLOOKUP('Données projet'!$B$15,Paramètres!$A$1:$I$89,3,0)*VLOOKUP('Données projet'!$B$15,Paramètres!$A$1:$I$89,5,0)</f>
        <v>-3.813056537183002E-14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205.35893113421139</v>
      </c>
      <c r="EP84" s="62">
        <f t="shared" si="100"/>
        <v>220.4399811285175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77.661085527400914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77.661085527400914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382.55387448074327</v>
      </c>
      <c r="T85" s="62">
        <f t="shared" si="88"/>
        <v>476.29465646955543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167.38547262035044</v>
      </c>
      <c r="AA85" s="23">
        <f>EXP(-LN(2)/25)*AA84+(1-EXP(-LN(2)/25))/(LN(2)/25)*Calculateur!V85*Calculateur!X85*VLOOKUP('Données projet'!$B$9,Paramètres!$A$1:$I$89,3,0)*0.475*44/12</f>
        <v>35.006113228256922</v>
      </c>
      <c r="AB85" s="23">
        <f>EXP(-LN(2)/2)*AB84+(1-EXP(-LN(2)/2))/(LN(2)/2)*V85*Y85*VLOOKUP('Données projet'!$B$9,Paramètres!$A$1:$I$89,3,0)*0.475*44/12</f>
        <v>2.7500415232084616E-2</v>
      </c>
      <c r="AC85" s="24">
        <f t="shared" si="57"/>
        <v>202.41908626383943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-3.4106051316484809E-13</v>
      </c>
      <c r="AJ85" s="14">
        <f>AI85*VLOOKUP('Données projet'!$B$10,Paramètres!$A$1:$I$89,3,0)*VLOOKUP('Données projet'!$B$10,Paramètres!$A$1:$I$89,5,0)</f>
        <v>-2.1282176021486519E-13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420.68062999212015</v>
      </c>
      <c r="AO85" s="62">
        <f t="shared" si="90"/>
        <v>655.24090633185676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275.40808505434683</v>
      </c>
      <c r="AV85" s="23">
        <f>EXP(-LN(2)/25)*AV84+(1-EXP(-LN(2)/25))/(LN(2)/25)*Calculateur!AQ85*Calculateur!AS85*VLOOKUP('Données projet'!$B$10,Paramètres!$A$1:$I$89,3,0)*0.475*44/12</f>
        <v>57.761389541646231</v>
      </c>
      <c r="AW85" s="23">
        <f>EXP(-LN(2)/2)*AW84+(1-EXP(-LN(2)/2))/(LN(2)/2)*AQ85*AT85*VLOOKUP('Données projet'!$B$10,Paramètres!$A$1:$I$89,3,0)*0.475*44/12</f>
        <v>9.0394440841257442</v>
      </c>
      <c r="AX85" s="23">
        <f t="shared" si="60"/>
        <v>342.20891868011881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3.2222222222222223</v>
      </c>
      <c r="BD85" s="13">
        <f>IF('Données projet'!$A$88&gt;35,BD84+BC85-BL84,IF(A85&lt;'Données projet'!$A$88,$BA$205^A85,IF(A85='Données projet'!$A$88,'Données projet'!$B$88,BD84+BC85-BL84)))</f>
        <v>99.222222222222243</v>
      </c>
      <c r="BE85" s="14">
        <f>BD85*VLOOKUP('Données projet'!$B$11,Paramètres!$A$1:$I$89,3,0)*VLOOKUP('Données projet'!$B$11,Paramètres!$A$1:$I$89,5,0)</f>
        <v>89.776266666666686</v>
      </c>
      <c r="BF85" s="14">
        <f t="shared" si="91"/>
        <v>24.511258087315568</v>
      </c>
      <c r="BG85" s="22">
        <f t="shared" si="61"/>
        <v>199.0507722798524</v>
      </c>
      <c r="BH85" s="62">
        <f t="shared" si="62"/>
        <v>492.38410561318574</v>
      </c>
      <c r="BI85" s="62">
        <f ca="1">AVERAGE(OFFSET($BH$3,0,0,'Données projet'!$E$11+1,1))-AVERAGE(OFFSET($H$3,0,0,'Données projet'!$E$11+1,1))</f>
        <v>138.3429338270858</v>
      </c>
      <c r="BJ85" s="62">
        <f t="shared" si="92"/>
        <v>88.30225651635925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7.6742985232713021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7.6742985232713021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3.2222222222222223</v>
      </c>
      <c r="BY85" s="13">
        <f>IF('Données projet'!$A$114&gt;35,BY84+BX85-CG84,IF(A85&lt;'Données projet'!$A$114,$BV$205^A85,IF(A85='Données projet'!$A$114,'Données projet'!$B$114,BY84+BX85-CG84)))</f>
        <v>99.222222222222243</v>
      </c>
      <c r="BZ85" s="14">
        <f>BY85*VLOOKUP('Données projet'!$B$12,Paramètres!$A$1:$I$89,3,0)*VLOOKUP('Données projet'!$B$12,Paramètres!$A$1:$I$89,5,0)</f>
        <v>83.584800000000016</v>
      </c>
      <c r="CA85" s="14">
        <f t="shared" si="93"/>
        <v>23.011437736237617</v>
      </c>
      <c r="CB85" s="22">
        <f t="shared" si="64"/>
        <v>185.65511405728057</v>
      </c>
      <c r="CC85" s="62">
        <f t="shared" si="65"/>
        <v>478.98844739061389</v>
      </c>
      <c r="CD85" s="62">
        <f ca="1">AVERAGE(OFFSET($CC$3,0,0,'Données projet'!$E$12+1,1))-AVERAGE(OFFSET($H$3,0,0,'Données projet'!$E$12+1,1))</f>
        <v>122.57815304102127</v>
      </c>
      <c r="CE85" s="62">
        <f t="shared" si="94"/>
        <v>80.106609825870578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7.1450365561491438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7.1450365561491438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-3.7243808037601412E-14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199.99826357281154</v>
      </c>
      <c r="CZ85" s="62">
        <f t="shared" si="96"/>
        <v>214.67424457475136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60.3359312899873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60.3359312899873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-5.6843418860808015E-14</v>
      </c>
      <c r="DP85" s="18">
        <f>DO85*VLOOKUP('Données projet'!$B$14,Paramètres!$A$1:$I$89,3,0)*VLOOKUP('Données projet'!$B$14,Paramètres!$A$1:$I$89,5,0)</f>
        <v>-4.5224624045658861E-14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248.15263300983543</v>
      </c>
      <c r="DU85" s="62">
        <f t="shared" si="98"/>
        <v>266.46511459244618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90.303445336010881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90.303445336010881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-5.6843418860808015E-14</v>
      </c>
      <c r="EK85" s="18">
        <f>EJ85*VLOOKUP('Données projet'!$B$15,Paramètres!$A$1:$I$89,3,0)*VLOOKUP('Données projet'!$B$15,Paramètres!$A$1:$I$89,5,0)</f>
        <v>-3.813056537183002E-14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205.35893113421139</v>
      </c>
      <c r="EP85" s="62">
        <f t="shared" si="100"/>
        <v>220.4399811285175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76.138199008793492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76.138199008793492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382.55387448074327</v>
      </c>
      <c r="T86" s="62">
        <f t="shared" si="88"/>
        <v>476.29465646955543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164.10314559732262</v>
      </c>
      <c r="AA86" s="23">
        <f>EXP(-LN(2)/25)*AA85+(1-EXP(-LN(2)/25))/(LN(2)/25)*Calculateur!V86*Calculateur!X86*VLOOKUP('Données projet'!$B$9,Paramètres!$A$1:$I$89,3,0)*0.475*44/12</f>
        <v>34.048869221138752</v>
      </c>
      <c r="AB86" s="23">
        <f>EXP(-LN(2)/2)*AB85+(1-EXP(-LN(2)/2))/(LN(2)/2)*V86*Y86*VLOOKUP('Données projet'!$B$9,Paramètres!$A$1:$I$89,3,0)*0.475*44/12</f>
        <v>1.9445730096052855E-2</v>
      </c>
      <c r="AC86" s="24">
        <f t="shared" si="57"/>
        <v>198.17146054855743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-3.4106051316484809E-13</v>
      </c>
      <c r="AJ86" s="14">
        <f>AI86*VLOOKUP('Données projet'!$B$10,Paramètres!$A$1:$I$89,3,0)*VLOOKUP('Données projet'!$B$10,Paramètres!$A$1:$I$89,5,0)</f>
        <v>-2.1282176021486519E-13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420.68062999212015</v>
      </c>
      <c r="AO86" s="62">
        <f t="shared" si="90"/>
        <v>655.24090633185676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270.00750048877609</v>
      </c>
      <c r="AV86" s="23">
        <f>EXP(-LN(2)/25)*AV85+(1-EXP(-LN(2)/25))/(LN(2)/25)*Calculateur!AQ86*Calculateur!AS86*VLOOKUP('Données projet'!$B$10,Paramètres!$A$1:$I$89,3,0)*0.475*44/12</f>
        <v>56.181901307090456</v>
      </c>
      <c r="AW86" s="23">
        <f>EXP(-LN(2)/2)*AW85+(1-EXP(-LN(2)/2))/(LN(2)/2)*AQ86*AT86*VLOOKUP('Données projet'!$B$10,Paramètres!$A$1:$I$89,3,0)*0.475*44/12</f>
        <v>6.3918522100419342</v>
      </c>
      <c r="AX86" s="23">
        <f t="shared" si="60"/>
        <v>332.58125400590848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3.2222222222222223</v>
      </c>
      <c r="BD86" s="13">
        <f>IF('Données projet'!$A$88&gt;35,BD85+BC86-BL85,IF(A86&lt;'Données projet'!$A$88,$BA$205^A86,IF(A86='Données projet'!$A$88,'Données projet'!$B$88,BD85+BC86-BL85)))</f>
        <v>102.44444444444447</v>
      </c>
      <c r="BE86" s="14">
        <f>BD86*VLOOKUP('Données projet'!$B$11,Paramètres!$A$1:$I$89,3,0)*VLOOKUP('Données projet'!$B$11,Paramètres!$A$1:$I$89,5,0)</f>
        <v>92.691733333333346</v>
      </c>
      <c r="BF86" s="14">
        <f t="shared" si="91"/>
        <v>25.213288638315387</v>
      </c>
      <c r="BG86" s="22">
        <f t="shared" si="61"/>
        <v>205.35124660062152</v>
      </c>
      <c r="BH86" s="62">
        <f t="shared" si="62"/>
        <v>498.68457993395486</v>
      </c>
      <c r="BI86" s="62">
        <f ca="1">AVERAGE(OFFSET($BH$3,0,0,'Données projet'!$E$11+1,1))-AVERAGE(OFFSET($H$3,0,0,'Données projet'!$E$11+1,1))</f>
        <v>138.3429338270858</v>
      </c>
      <c r="BJ86" s="62">
        <f t="shared" si="92"/>
        <v>88.30225651635925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7.523810210089855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7.523810210089855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3.2222222222222223</v>
      </c>
      <c r="BY86" s="13">
        <f>IF('Données projet'!$A$114&gt;35,BY85+BX86-CG85,IF(A86&lt;'Données projet'!$A$114,$BV$205^A86,IF(A86='Données projet'!$A$114,'Données projet'!$B$114,BY85+BX86-CG85)))</f>
        <v>102.44444444444447</v>
      </c>
      <c r="BZ86" s="14">
        <f>BY86*VLOOKUP('Données projet'!$B$12,Paramètres!$A$1:$I$89,3,0)*VLOOKUP('Données projet'!$B$12,Paramètres!$A$1:$I$89,5,0)</f>
        <v>86.299200000000042</v>
      </c>
      <c r="CA86" s="14">
        <f t="shared" si="93"/>
        <v>23.670511711784762</v>
      </c>
      <c r="CB86" s="22">
        <f t="shared" si="64"/>
        <v>191.53058123135852</v>
      </c>
      <c r="CC86" s="62">
        <f t="shared" si="65"/>
        <v>484.86391456469187</v>
      </c>
      <c r="CD86" s="62">
        <f ca="1">AVERAGE(OFFSET($CC$3,0,0,'Données projet'!$E$12+1,1))-AVERAGE(OFFSET($H$3,0,0,'Données projet'!$E$12+1,1))</f>
        <v>122.57815304102127</v>
      </c>
      <c r="CE86" s="62">
        <f t="shared" si="94"/>
        <v>80.106609825870578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7.0049267473250376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7.0049267473250376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-3.7243808037601412E-14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199.99826357281154</v>
      </c>
      <c r="CZ86" s="62">
        <f t="shared" si="96"/>
        <v>214.67424457475136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59.152780478674913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59.152780478674913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-5.6843418860808015E-14</v>
      </c>
      <c r="DP86" s="18">
        <f>DO86*VLOOKUP('Données projet'!$B$14,Paramètres!$A$1:$I$89,3,0)*VLOOKUP('Données projet'!$B$14,Paramètres!$A$1:$I$89,5,0)</f>
        <v>-4.5224624045658861E-14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248.15263300983543</v>
      </c>
      <c r="DU86" s="62">
        <f t="shared" si="98"/>
        <v>266.46511459244618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88.532649852634691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88.532649852634691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-5.6843418860808015E-14</v>
      </c>
      <c r="EK86" s="18">
        <f>EJ86*VLOOKUP('Données projet'!$B$15,Paramètres!$A$1:$I$89,3,0)*VLOOKUP('Données projet'!$B$15,Paramètres!$A$1:$I$89,5,0)</f>
        <v>-3.813056537183002E-14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205.35893113421139</v>
      </c>
      <c r="EP86" s="62">
        <f t="shared" si="100"/>
        <v>220.4399811285175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74.645175365946912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74.645175365946912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382.55387448074327</v>
      </c>
      <c r="T87" s="62">
        <f t="shared" si="88"/>
        <v>476.29465646955543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160.88518300519456</v>
      </c>
      <c r="AA87" s="23">
        <f>EXP(-LN(2)/25)*AA86+(1-EXP(-LN(2)/25))/(LN(2)/25)*Calculateur!V87*Calculateur!X87*VLOOKUP('Données projet'!$B$9,Paramètres!$A$1:$I$89,3,0)*0.475*44/12</f>
        <v>33.1178011017345</v>
      </c>
      <c r="AB87" s="23">
        <f>EXP(-LN(2)/2)*AB86+(1-EXP(-LN(2)/2))/(LN(2)/2)*V87*Y87*VLOOKUP('Données projet'!$B$9,Paramètres!$A$1:$I$89,3,0)*0.475*44/12</f>
        <v>1.3750207616042308E-2</v>
      </c>
      <c r="AC87" s="24">
        <f t="shared" si="57"/>
        <v>194.01673431454512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-3.4106051316484809E-13</v>
      </c>
      <c r="AJ87" s="14">
        <f>AI87*VLOOKUP('Données projet'!$B$10,Paramètres!$A$1:$I$89,3,0)*VLOOKUP('Données projet'!$B$10,Paramètres!$A$1:$I$89,5,0)</f>
        <v>-2.1282176021486519E-13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420.68062999212015</v>
      </c>
      <c r="AO87" s="62">
        <f t="shared" si="90"/>
        <v>655.24090633185676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264.71281809250485</v>
      </c>
      <c r="AV87" s="23">
        <f>EXP(-LN(2)/25)*AV86+(1-EXP(-LN(2)/25))/(LN(2)/25)*Calculateur!AQ87*Calculateur!AS87*VLOOKUP('Données projet'!$B$10,Paramètres!$A$1:$I$89,3,0)*0.475*44/12</f>
        <v>54.645604261370281</v>
      </c>
      <c r="AW87" s="23">
        <f>EXP(-LN(2)/2)*AW86+(1-EXP(-LN(2)/2))/(LN(2)/2)*AQ87*AT87*VLOOKUP('Données projet'!$B$10,Paramètres!$A$1:$I$89,3,0)*0.475*44/12</f>
        <v>4.5197220420628721</v>
      </c>
      <c r="AX87" s="23">
        <f t="shared" si="60"/>
        <v>323.87814439593802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3.2222222222222223</v>
      </c>
      <c r="BD87" s="13">
        <f>IF('Données projet'!$A$88&gt;35,BD86+BC87-BL86,IF(A87&lt;'Données projet'!$A$88,$BA$205^A87,IF(A87='Données projet'!$A$88,'Données projet'!$B$88,BD86+BC87-BL86)))</f>
        <v>105.6666666666667</v>
      </c>
      <c r="BE87" s="14">
        <f>BD87*VLOOKUP('Données projet'!$B$11,Paramètres!$A$1:$I$89,3,0)*VLOOKUP('Données projet'!$B$11,Paramètres!$A$1:$I$89,5,0)</f>
        <v>95.607200000000034</v>
      </c>
      <c r="BF87" s="14">
        <f t="shared" si="91"/>
        <v>25.912753187487812</v>
      </c>
      <c r="BG87" s="22">
        <f t="shared" si="61"/>
        <v>211.64725180154133</v>
      </c>
      <c r="BH87" s="62">
        <f t="shared" si="62"/>
        <v>504.98058513487467</v>
      </c>
      <c r="BI87" s="62">
        <f ca="1">AVERAGE(OFFSET($BH$3,0,0,'Données projet'!$E$11+1,1))-AVERAGE(OFFSET($H$3,0,0,'Données projet'!$E$11+1,1))</f>
        <v>138.3429338270858</v>
      </c>
      <c r="BJ87" s="62">
        <f t="shared" si="92"/>
        <v>88.30225651635925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7.3762728809410882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7.3762728809410882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3.2222222222222223</v>
      </c>
      <c r="BY87" s="13">
        <f>IF('Données projet'!$A$114&gt;35,BY86+BX87-CG86,IF(A87&lt;'Données projet'!$A$114,$BV$205^A87,IF(A87='Données projet'!$A$114,'Données projet'!$B$114,BY86+BX87-CG86)))</f>
        <v>105.6666666666667</v>
      </c>
      <c r="BZ87" s="14">
        <f>BY87*VLOOKUP('Données projet'!$B$12,Paramètres!$A$1:$I$89,3,0)*VLOOKUP('Données projet'!$B$12,Paramètres!$A$1:$I$89,5,0)</f>
        <v>89.013600000000039</v>
      </c>
      <c r="CA87" s="14">
        <f t="shared" si="93"/>
        <v>24.327176696692899</v>
      </c>
      <c r="CB87" s="22">
        <f t="shared" si="64"/>
        <v>197.40185274674022</v>
      </c>
      <c r="CC87" s="62">
        <f t="shared" si="65"/>
        <v>490.7351860800735</v>
      </c>
      <c r="CD87" s="62">
        <f ca="1">AVERAGE(OFFSET($CC$3,0,0,'Données projet'!$E$12+1,1))-AVERAGE(OFFSET($H$3,0,0,'Données projet'!$E$12+1,1))</f>
        <v>122.57815304102127</v>
      </c>
      <c r="CE87" s="62">
        <f t="shared" si="94"/>
        <v>80.106609825870578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6.8675644063934271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6.8675644063934271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-3.7243808037601412E-14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199.99826357281154</v>
      </c>
      <c r="CZ87" s="62">
        <f t="shared" si="96"/>
        <v>214.67424457475136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57.992830533121619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57.992830533121619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-5.6843418860808015E-14</v>
      </c>
      <c r="DP87" s="18">
        <f>DO87*VLOOKUP('Données projet'!$B$14,Paramètres!$A$1:$I$89,3,0)*VLOOKUP('Données projet'!$B$14,Paramètres!$A$1:$I$89,5,0)</f>
        <v>-4.5224624045658861E-14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248.15263300983543</v>
      </c>
      <c r="DU87" s="62">
        <f t="shared" si="98"/>
        <v>266.46511459244618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86.796578588608924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86.796578588608924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-5.6843418860808015E-14</v>
      </c>
      <c r="EK87" s="18">
        <f>EJ87*VLOOKUP('Données projet'!$B$15,Paramètres!$A$1:$I$89,3,0)*VLOOKUP('Données projet'!$B$15,Paramètres!$A$1:$I$89,5,0)</f>
        <v>-3.813056537183002E-14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205.35893113421139</v>
      </c>
      <c r="EP87" s="62">
        <f t="shared" si="100"/>
        <v>220.4399811285175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73.181429006082041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73.181429006082041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382.55387448074327</v>
      </c>
      <c r="T88" s="62">
        <f t="shared" si="88"/>
        <v>476.29465646955543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157.73032269673476</v>
      </c>
      <c r="AA88" s="23">
        <f>EXP(-LN(2)/25)*AA87+(1-EXP(-LN(2)/25))/(LN(2)/25)*Calculateur!V88*Calculateur!X88*VLOOKUP('Données projet'!$B$9,Paramètres!$A$1:$I$89,3,0)*0.475*44/12</f>
        <v>32.212193089018101</v>
      </c>
      <c r="AB88" s="23">
        <f>EXP(-LN(2)/2)*AB87+(1-EXP(-LN(2)/2))/(LN(2)/2)*V88*Y88*VLOOKUP('Données projet'!$B$9,Paramètres!$A$1:$I$89,3,0)*0.475*44/12</f>
        <v>9.7228650480264273E-3</v>
      </c>
      <c r="AC88" s="24">
        <f t="shared" si="57"/>
        <v>189.95223865080087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-3.4106051316484809E-13</v>
      </c>
      <c r="AJ88" s="14">
        <f>AI88*VLOOKUP('Données projet'!$B$10,Paramètres!$A$1:$I$89,3,0)*VLOOKUP('Données projet'!$B$10,Paramètres!$A$1:$I$89,5,0)</f>
        <v>-2.1282176021486519E-13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420.68062999212015</v>
      </c>
      <c r="AO88" s="62">
        <f t="shared" si="90"/>
        <v>655.24090633185676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259.52196118858711</v>
      </c>
      <c r="AV88" s="23">
        <f>EXP(-LN(2)/25)*AV87+(1-EXP(-LN(2)/25))/(LN(2)/25)*Calculateur!AQ88*Calculateur!AS88*VLOOKUP('Données projet'!$B$10,Paramètres!$A$1:$I$89,3,0)*0.475*44/12</f>
        <v>53.151317339155675</v>
      </c>
      <c r="AW88" s="23">
        <f>EXP(-LN(2)/2)*AW87+(1-EXP(-LN(2)/2))/(LN(2)/2)*AQ88*AT88*VLOOKUP('Données projet'!$B$10,Paramètres!$A$1:$I$89,3,0)*0.475*44/12</f>
        <v>3.1959261050209671</v>
      </c>
      <c r="AX88" s="23">
        <f t="shared" si="60"/>
        <v>315.8692046327638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3.2222222222222223</v>
      </c>
      <c r="BD88" s="13">
        <f>IF('Données projet'!$A$88&gt;35,BD87+BC88-BL87,IF(A88&lt;'Données projet'!$A$88,$BA$205^A88,IF(A88='Données projet'!$A$88,'Données projet'!$B$88,BD87+BC88-BL87)))</f>
        <v>108.88888888888893</v>
      </c>
      <c r="BE88" s="14">
        <f>BD88*VLOOKUP('Données projet'!$B$11,Paramètres!$A$1:$I$89,3,0)*VLOOKUP('Données projet'!$B$11,Paramètres!$A$1:$I$89,5,0)</f>
        <v>98.522666666666694</v>
      </c>
      <c r="BF88" s="14">
        <f t="shared" si="91"/>
        <v>26.60973896370853</v>
      </c>
      <c r="BG88" s="22">
        <f t="shared" si="61"/>
        <v>217.93893980623682</v>
      </c>
      <c r="BH88" s="62">
        <f t="shared" si="62"/>
        <v>511.27227313957013</v>
      </c>
      <c r="BI88" s="62">
        <f ca="1">AVERAGE(OFFSET($BH$3,0,0,'Données projet'!$E$11+1,1))-AVERAGE(OFFSET($H$3,0,0,'Données projet'!$E$11+1,1))</f>
        <v>138.3429338270858</v>
      </c>
      <c r="BJ88" s="62">
        <f t="shared" si="92"/>
        <v>88.30225651635925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7.2316286688280433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7.2316286688280433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3.2222222222222223</v>
      </c>
      <c r="BY88" s="13">
        <f>IF('Données projet'!$A$114&gt;35,BY87+BX88-CG87,IF(A88&lt;'Données projet'!$A$114,$BV$205^A88,IF(A88='Données projet'!$A$114,'Données projet'!$B$114,BY87+BX88-CG87)))</f>
        <v>108.88888888888893</v>
      </c>
      <c r="BZ88" s="14">
        <f>BY88*VLOOKUP('Données projet'!$B$12,Paramètres!$A$1:$I$89,3,0)*VLOOKUP('Données projet'!$B$12,Paramètres!$A$1:$I$89,5,0)</f>
        <v>91.728000000000037</v>
      </c>
      <c r="CA88" s="14">
        <f t="shared" si="93"/>
        <v>24.981514582386563</v>
      </c>
      <c r="CB88" s="22">
        <f t="shared" si="64"/>
        <v>203.26907123098999</v>
      </c>
      <c r="CC88" s="62">
        <f t="shared" si="65"/>
        <v>496.60240456432331</v>
      </c>
      <c r="CD88" s="62">
        <f ca="1">AVERAGE(OFFSET($CC$3,0,0,'Données projet'!$E$12+1,1))-AVERAGE(OFFSET($H$3,0,0,'Données projet'!$E$12+1,1))</f>
        <v>122.57815304102127</v>
      </c>
      <c r="CE88" s="62">
        <f t="shared" si="94"/>
        <v>80.106609825870578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6.7328956571847298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6.7328956571847298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-3.7243808037601412E-14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199.99826357281154</v>
      </c>
      <c r="CZ88" s="62">
        <f t="shared" si="96"/>
        <v>214.67424457475136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56.855626498501024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56.855626498501024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-5.6843418860808015E-14</v>
      </c>
      <c r="DP88" s="18">
        <f>DO88*VLOOKUP('Données projet'!$B$14,Paramètres!$A$1:$I$89,3,0)*VLOOKUP('Données projet'!$B$14,Paramètres!$A$1:$I$89,5,0)</f>
        <v>-4.5224624045658861E-14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248.15263300983543</v>
      </c>
      <c r="DU88" s="62">
        <f t="shared" si="98"/>
        <v>266.46511459244618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85.094550623171784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85.094550623171784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-5.6843418860808015E-14</v>
      </c>
      <c r="EK88" s="18">
        <f>EJ88*VLOOKUP('Données projet'!$B$15,Paramètres!$A$1:$I$89,3,0)*VLOOKUP('Données projet'!$B$15,Paramètres!$A$1:$I$89,5,0)</f>
        <v>-3.813056537183002E-14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205.35893113421139</v>
      </c>
      <c r="EP88" s="62">
        <f t="shared" si="100"/>
        <v>220.4399811285175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71.746385819536997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71.746385819536997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382.55387448074327</v>
      </c>
      <c r="T89" s="62">
        <f t="shared" si="88"/>
        <v>476.29465646955543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154.6373272746491</v>
      </c>
      <c r="AA89" s="23">
        <f>EXP(-LN(2)/25)*AA88+(1-EXP(-LN(2)/25))/(LN(2)/25)*Calculateur!V89*Calculateur!X89*VLOOKUP('Données projet'!$B$9,Paramètres!$A$1:$I$89,3,0)*0.475*44/12</f>
        <v>31.331348975033286</v>
      </c>
      <c r="AB89" s="23">
        <f>EXP(-LN(2)/2)*AB88+(1-EXP(-LN(2)/2))/(LN(2)/2)*V89*Y89*VLOOKUP('Données projet'!$B$9,Paramètres!$A$1:$I$89,3,0)*0.475*44/12</f>
        <v>6.8751038080211539E-3</v>
      </c>
      <c r="AC89" s="24">
        <f t="shared" si="57"/>
        <v>185.9755513534904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-3.4106051316484809E-13</v>
      </c>
      <c r="AJ89" s="14">
        <f>AI89*VLOOKUP('Données projet'!$B$10,Paramètres!$A$1:$I$89,3,0)*VLOOKUP('Données projet'!$B$10,Paramètres!$A$1:$I$89,5,0)</f>
        <v>-2.1282176021486519E-13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420.68062999212015</v>
      </c>
      <c r="AO89" s="62">
        <f t="shared" si="90"/>
        <v>655.24090633185676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254.43289382244512</v>
      </c>
      <c r="AV89" s="23">
        <f>EXP(-LN(2)/25)*AV88+(1-EXP(-LN(2)/25))/(LN(2)/25)*Calculateur!AQ89*Calculateur!AS89*VLOOKUP('Données projet'!$B$10,Paramètres!$A$1:$I$89,3,0)*0.475*44/12</f>
        <v>51.697891771410163</v>
      </c>
      <c r="AW89" s="23">
        <f>EXP(-LN(2)/2)*AW88+(1-EXP(-LN(2)/2))/(LN(2)/2)*AQ89*AT89*VLOOKUP('Données projet'!$B$10,Paramètres!$A$1:$I$89,3,0)*0.475*44/12</f>
        <v>2.259861021031436</v>
      </c>
      <c r="AX89" s="23">
        <f t="shared" si="60"/>
        <v>308.39064661488675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3.2222222222222223</v>
      </c>
      <c r="BD89" s="13">
        <f>IF('Données projet'!$A$88&gt;35,BD88+BC89-BL88,IF(A89&lt;'Données projet'!$A$88,$BA$205^A89,IF(A89='Données projet'!$A$88,'Données projet'!$B$88,BD88+BC89-BL88)))</f>
        <v>112.11111111111116</v>
      </c>
      <c r="BE89" s="14">
        <f>BD89*VLOOKUP('Données projet'!$B$11,Paramètres!$A$1:$I$89,3,0)*VLOOKUP('Données projet'!$B$11,Paramètres!$A$1:$I$89,5,0)</f>
        <v>101.43813333333338</v>
      </c>
      <c r="BF89" s="14">
        <f t="shared" si="91"/>
        <v>27.304327739854802</v>
      </c>
      <c r="BG89" s="22">
        <f t="shared" si="61"/>
        <v>224.22645303580273</v>
      </c>
      <c r="BH89" s="62">
        <f t="shared" si="62"/>
        <v>517.55978636913608</v>
      </c>
      <c r="BI89" s="62">
        <f ca="1">AVERAGE(OFFSET($BH$3,0,0,'Données projet'!$E$11+1,1))-AVERAGE(OFFSET($H$3,0,0,'Données projet'!$E$11+1,1))</f>
        <v>138.3429338270858</v>
      </c>
      <c r="BJ89" s="62">
        <f t="shared" si="92"/>
        <v>88.30225651635925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7.089820841490277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7.089820841490277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3.2222222222222223</v>
      </c>
      <c r="BY89" s="13">
        <f>IF('Données projet'!$A$114&gt;35,BY88+BX89-CG88,IF(A89&lt;'Données projet'!$A$114,$BV$205^A89,IF(A89='Données projet'!$A$114,'Données projet'!$B$114,BY88+BX89-CG88)))</f>
        <v>112.11111111111116</v>
      </c>
      <c r="BZ89" s="14">
        <f>BY89*VLOOKUP('Données projet'!$B$12,Paramètres!$A$1:$I$89,3,0)*VLOOKUP('Données projet'!$B$12,Paramètres!$A$1:$I$89,5,0)</f>
        <v>94.442400000000049</v>
      </c>
      <c r="CA89" s="14">
        <f t="shared" si="93"/>
        <v>25.633602138139221</v>
      </c>
      <c r="CB89" s="22">
        <f t="shared" si="64"/>
        <v>209.13237039059257</v>
      </c>
      <c r="CC89" s="62">
        <f t="shared" si="65"/>
        <v>502.46570372392591</v>
      </c>
      <c r="CD89" s="62">
        <f ca="1">AVERAGE(OFFSET($CC$3,0,0,'Données projet'!$E$12+1,1))-AVERAGE(OFFSET($H$3,0,0,'Données projet'!$E$12+1,1))</f>
        <v>122.57815304102127</v>
      </c>
      <c r="CE89" s="62">
        <f t="shared" si="94"/>
        <v>80.106609825870578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6.6008676800081894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6.6008676800081894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-3.7243808037601412E-14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199.99826357281154</v>
      </c>
      <c r="CZ89" s="62">
        <f t="shared" si="96"/>
        <v>214.67424457475136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55.740722341373363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55.740722341373363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-5.6843418860808015E-14</v>
      </c>
      <c r="DP89" s="18">
        <f>DO89*VLOOKUP('Données projet'!$B$14,Paramètres!$A$1:$I$89,3,0)*VLOOKUP('Données projet'!$B$14,Paramètres!$A$1:$I$89,5,0)</f>
        <v>-4.5224624045658861E-14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248.15263300983543</v>
      </c>
      <c r="DU89" s="62">
        <f t="shared" si="98"/>
        <v>266.46511459244618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83.42589838800231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83.42589838800231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-5.6843418860808015E-14</v>
      </c>
      <c r="EK89" s="18">
        <f>EJ89*VLOOKUP('Données projet'!$B$15,Paramètres!$A$1:$I$89,3,0)*VLOOKUP('Données projet'!$B$15,Paramètres!$A$1:$I$89,5,0)</f>
        <v>-3.813056537183002E-14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205.35893113421139</v>
      </c>
      <c r="EP89" s="62">
        <f t="shared" si="100"/>
        <v>220.4399811285175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70.339482954590196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70.339482954590196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382.55387448074327</v>
      </c>
      <c r="T90" s="62">
        <f t="shared" si="88"/>
        <v>476.29465646955543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151.60498360624959</v>
      </c>
      <c r="AA90" s="23">
        <f>EXP(-LN(2)/25)*AA89+(1-EXP(-LN(2)/25))/(LN(2)/25)*Calculateur!V90*Calculateur!X90*VLOOKUP('Données projet'!$B$9,Paramètres!$A$1:$I$89,3,0)*0.475*44/12</f>
        <v>30.474591589666968</v>
      </c>
      <c r="AB90" s="23">
        <f>EXP(-LN(2)/2)*AB89+(1-EXP(-LN(2)/2))/(LN(2)/2)*V90*Y90*VLOOKUP('Données projet'!$B$9,Paramètres!$A$1:$I$89,3,0)*0.475*44/12</f>
        <v>4.8614325240132136E-3</v>
      </c>
      <c r="AC90" s="24">
        <f t="shared" si="57"/>
        <v>182.08443662844059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-3.4106051316484809E-13</v>
      </c>
      <c r="AJ90" s="14">
        <f>AI90*VLOOKUP('Données projet'!$B$10,Paramètres!$A$1:$I$89,3,0)*VLOOKUP('Données projet'!$B$10,Paramètres!$A$1:$I$89,5,0)</f>
        <v>-2.1282176021486519E-13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420.68062999212015</v>
      </c>
      <c r="AO90" s="62">
        <f t="shared" si="90"/>
        <v>655.24090633185676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249.44361996332859</v>
      </c>
      <c r="AV90" s="23">
        <f>EXP(-LN(2)/25)*AV89+(1-EXP(-LN(2)/25))/(LN(2)/25)*Calculateur!AQ90*Calculateur!AS90*VLOOKUP('Données projet'!$B$10,Paramètres!$A$1:$I$89,3,0)*0.475*44/12</f>
        <v>50.284210202246982</v>
      </c>
      <c r="AW90" s="23">
        <f>EXP(-LN(2)/2)*AW89+(1-EXP(-LN(2)/2))/(LN(2)/2)*AQ90*AT90*VLOOKUP('Données projet'!$B$10,Paramètres!$A$1:$I$89,3,0)*0.475*44/12</f>
        <v>1.5979630525104835</v>
      </c>
      <c r="AX90" s="23">
        <f t="shared" si="60"/>
        <v>301.32579321808606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3.2222222222222223</v>
      </c>
      <c r="BD90" s="13">
        <f>IF('Données projet'!$A$88&gt;35,BD89+BC90-BL89,IF(A90&lt;'Données projet'!$A$88,$BA$205^A90,IF(A90='Données projet'!$A$88,'Données projet'!$B$88,BD89+BC90-BL89)))</f>
        <v>115.33333333333339</v>
      </c>
      <c r="BE90" s="14">
        <f>BD90*VLOOKUP('Données projet'!$B$11,Paramètres!$A$1:$I$89,3,0)*VLOOKUP('Données projet'!$B$11,Paramètres!$A$1:$I$89,5,0)</f>
        <v>104.35360000000004</v>
      </c>
      <c r="BF90" s="14">
        <f t="shared" si="91"/>
        <v>27.996596320952669</v>
      </c>
      <c r="BG90" s="22">
        <f t="shared" si="61"/>
        <v>230.50992525899264</v>
      </c>
      <c r="BH90" s="62">
        <f t="shared" si="62"/>
        <v>523.84325859232592</v>
      </c>
      <c r="BI90" s="62">
        <f ca="1">AVERAGE(OFFSET($BH$3,0,0,'Données projet'!$E$11+1,1))-AVERAGE(OFFSET($H$3,0,0,'Données projet'!$E$11+1,1))</f>
        <v>138.3429338270858</v>
      </c>
      <c r="BJ90" s="62">
        <f t="shared" si="92"/>
        <v>88.30225651635925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6.9507937791523702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6.9507937791523702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3.2222222222222223</v>
      </c>
      <c r="BY90" s="13">
        <f>IF('Données projet'!$A$114&gt;35,BY89+BX90-CG89,IF(A90&lt;'Données projet'!$A$114,$BV$205^A90,IF(A90='Données projet'!$A$114,'Données projet'!$B$114,BY89+BX90-CG89)))</f>
        <v>115.33333333333339</v>
      </c>
      <c r="BZ90" s="14">
        <f>BY90*VLOOKUP('Données projet'!$B$12,Paramètres!$A$1:$I$89,3,0)*VLOOKUP('Données projet'!$B$12,Paramètres!$A$1:$I$89,5,0)</f>
        <v>97.156800000000047</v>
      </c>
      <c r="CA90" s="14">
        <f t="shared" si="93"/>
        <v>26.283511469351001</v>
      </c>
      <c r="CB90" s="22">
        <f t="shared" si="64"/>
        <v>214.99187580911973</v>
      </c>
      <c r="CC90" s="62">
        <f t="shared" si="65"/>
        <v>508.32520914245305</v>
      </c>
      <c r="CD90" s="62">
        <f ca="1">AVERAGE(OFFSET($CC$3,0,0,'Données projet'!$E$12+1,1))-AVERAGE(OFFSET($H$3,0,0,'Données projet'!$E$12+1,1))</f>
        <v>122.57815304102127</v>
      </c>
      <c r="CE90" s="62">
        <f t="shared" si="94"/>
        <v>80.106609825870578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6.4714286909349656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6.4714286909349656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-3.7243808037601412E-14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199.99826357281154</v>
      </c>
      <c r="CZ90" s="62">
        <f t="shared" si="96"/>
        <v>214.67424457475136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54.647680774742589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54.647680774742589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-5.6843418860808015E-14</v>
      </c>
      <c r="DP90" s="18">
        <f>DO90*VLOOKUP('Données projet'!$B$14,Paramètres!$A$1:$I$89,3,0)*VLOOKUP('Données projet'!$B$14,Paramètres!$A$1:$I$89,5,0)</f>
        <v>-4.5224624045658861E-14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248.15263300983543</v>
      </c>
      <c r="DU90" s="62">
        <f t="shared" si="98"/>
        <v>266.46511459244618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81.789967405387145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81.789967405387145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-5.6843418860808015E-14</v>
      </c>
      <c r="EK90" s="18">
        <f>EJ90*VLOOKUP('Données projet'!$B$15,Paramètres!$A$1:$I$89,3,0)*VLOOKUP('Données projet'!$B$15,Paramètres!$A$1:$I$89,5,0)</f>
        <v>-3.813056537183002E-14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205.35893113421139</v>
      </c>
      <c r="EP90" s="62">
        <f t="shared" si="100"/>
        <v>220.4399811285175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68.960168596698978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68.960168596698978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382.55387448074327</v>
      </c>
      <c r="T91" s="62">
        <f t="shared" si="88"/>
        <v>476.29465646955543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148.6321023476404</v>
      </c>
      <c r="AA91" s="23">
        <f>EXP(-LN(2)/25)*AA90+(1-EXP(-LN(2)/25))/(LN(2)/25)*Calculateur!V91*Calculateur!X91*VLOOKUP('Données projet'!$B$9,Paramètres!$A$1:$I$89,3,0)*0.475*44/12</f>
        <v>29.641262280058402</v>
      </c>
      <c r="AB91" s="23">
        <f>EXP(-LN(2)/2)*AB90+(1-EXP(-LN(2)/2))/(LN(2)/2)*V91*Y91*VLOOKUP('Données projet'!$B$9,Paramètres!$A$1:$I$89,3,0)*0.475*44/12</f>
        <v>3.437551904010577E-3</v>
      </c>
      <c r="AC91" s="24">
        <f t="shared" si="57"/>
        <v>178.27680217960281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-3.4106051316484809E-13</v>
      </c>
      <c r="AJ91" s="14">
        <f>AI91*VLOOKUP('Données projet'!$B$10,Paramètres!$A$1:$I$89,3,0)*VLOOKUP('Données projet'!$B$10,Paramètres!$A$1:$I$89,5,0)</f>
        <v>-2.1282176021486519E-13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420.68062999212015</v>
      </c>
      <c r="AO91" s="62">
        <f t="shared" si="90"/>
        <v>655.24090633185676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244.55218272143276</v>
      </c>
      <c r="AV91" s="23">
        <f>EXP(-LN(2)/25)*AV90+(1-EXP(-LN(2)/25))/(LN(2)/25)*Calculateur!AQ91*Calculateur!AS91*VLOOKUP('Données projet'!$B$10,Paramètres!$A$1:$I$89,3,0)*0.475*44/12</f>
        <v>48.909185829934849</v>
      </c>
      <c r="AW91" s="23">
        <f>EXP(-LN(2)/2)*AW90+(1-EXP(-LN(2)/2))/(LN(2)/2)*AQ91*AT91*VLOOKUP('Données projet'!$B$10,Paramètres!$A$1:$I$89,3,0)*0.475*44/12</f>
        <v>1.129930510515718</v>
      </c>
      <c r="AX91" s="23">
        <f t="shared" si="60"/>
        <v>294.59129906188332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3.2222222222222223</v>
      </c>
      <c r="BD91" s="13">
        <f>IF('Données projet'!$A$88&gt;35,BD90+BC91-BL90,IF(A91&lt;'Données projet'!$A$88,$BA$205^A91,IF(A91='Données projet'!$A$88,'Données projet'!$B$88,BD90+BC91-BL90)))</f>
        <v>118.55555555555561</v>
      </c>
      <c r="BE91" s="14">
        <f>BD91*VLOOKUP('Données projet'!$B$11,Paramètres!$A$1:$I$89,3,0)*VLOOKUP('Données projet'!$B$11,Paramètres!$A$1:$I$89,5,0)</f>
        <v>107.26906666666672</v>
      </c>
      <c r="BF91" s="14">
        <f t="shared" si="91"/>
        <v>28.68661697623812</v>
      </c>
      <c r="BG91" s="22">
        <f t="shared" si="61"/>
        <v>236.78948234472591</v>
      </c>
      <c r="BH91" s="62">
        <f t="shared" si="62"/>
        <v>530.12281567805917</v>
      </c>
      <c r="BI91" s="62">
        <f ca="1">AVERAGE(OFFSET($BH$3,0,0,'Données projet'!$E$11+1,1))-AVERAGE(OFFSET($H$3,0,0,'Données projet'!$E$11+1,1))</f>
        <v>138.3429338270858</v>
      </c>
      <c r="BJ91" s="62">
        <f t="shared" si="92"/>
        <v>88.30225651635925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6.8144929527087754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6.8144929527087754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3.2222222222222223</v>
      </c>
      <c r="BY91" s="13">
        <f>IF('Données projet'!$A$114&gt;35,BY90+BX91-CG90,IF(A91&lt;'Données projet'!$A$114,$BV$205^A91,IF(A91='Données projet'!$A$114,'Données projet'!$B$114,BY90+BX91-CG90)))</f>
        <v>118.55555555555561</v>
      </c>
      <c r="BZ91" s="14">
        <f>BY91*VLOOKUP('Données projet'!$B$12,Paramètres!$A$1:$I$89,3,0)*VLOOKUP('Données projet'!$B$12,Paramètres!$A$1:$I$89,5,0)</f>
        <v>99.871200000000059</v>
      </c>
      <c r="CA91" s="14">
        <f t="shared" si="93"/>
        <v>26.931310423172821</v>
      </c>
      <c r="CB91" s="22">
        <f t="shared" si="64"/>
        <v>220.84770565369274</v>
      </c>
      <c r="CC91" s="62">
        <f t="shared" si="65"/>
        <v>514.18103898702611</v>
      </c>
      <c r="CD91" s="62">
        <f ca="1">AVERAGE(OFFSET($CC$3,0,0,'Données projet'!$E$12+1,1))-AVERAGE(OFFSET($H$3,0,0,'Données projet'!$E$12+1,1))</f>
        <v>122.57815304102127</v>
      </c>
      <c r="CE91" s="62">
        <f t="shared" si="94"/>
        <v>80.106609825870578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6.3445279214874803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6.3445279214874803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-3.7243808037601412E-14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199.99826357281154</v>
      </c>
      <c r="CZ91" s="62">
        <f t="shared" si="96"/>
        <v>214.67424457475136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53.576073086543921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53.576073086543921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-5.6843418860808015E-14</v>
      </c>
      <c r="DP91" s="18">
        <f>DO91*VLOOKUP('Données projet'!$B$14,Paramètres!$A$1:$I$89,3,0)*VLOOKUP('Données projet'!$B$14,Paramètres!$A$1:$I$89,5,0)</f>
        <v>-4.5224624045658861E-14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248.15263300983543</v>
      </c>
      <c r="DU91" s="62">
        <f t="shared" si="98"/>
        <v>266.46511459244618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80.186116031521692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80.186116031521692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-5.6843418860808015E-14</v>
      </c>
      <c r="EK91" s="18">
        <f>EJ91*VLOOKUP('Données projet'!$B$15,Paramètres!$A$1:$I$89,3,0)*VLOOKUP('Données projet'!$B$15,Paramètres!$A$1:$I$89,5,0)</f>
        <v>-3.813056537183002E-14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205.35893113421139</v>
      </c>
      <c r="EP91" s="62">
        <f t="shared" si="100"/>
        <v>220.4399811285175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67.60790175206732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67.60790175206732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382.55387448074327</v>
      </c>
      <c r="T92" s="62">
        <f t="shared" si="88"/>
        <v>476.29465646955543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145.717517477234</v>
      </c>
      <c r="AA92" s="23">
        <f>EXP(-LN(2)/25)*AA91+(1-EXP(-LN(2)/25))/(LN(2)/25)*Calculateur!V92*Calculateur!X92*VLOOKUP('Données projet'!$B$9,Paramètres!$A$1:$I$89,3,0)*0.475*44/12</f>
        <v>28.830720404243969</v>
      </c>
      <c r="AB92" s="23">
        <f>EXP(-LN(2)/2)*AB91+(1-EXP(-LN(2)/2))/(LN(2)/2)*V92*Y92*VLOOKUP('Données projet'!$B$9,Paramètres!$A$1:$I$89,3,0)*0.475*44/12</f>
        <v>2.4307162620066068E-3</v>
      </c>
      <c r="AC92" s="24">
        <f t="shared" si="57"/>
        <v>174.55066859773999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-3.4106051316484809E-13</v>
      </c>
      <c r="AJ92" s="14">
        <f>AI92*VLOOKUP('Données projet'!$B$10,Paramètres!$A$1:$I$89,3,0)*VLOOKUP('Données projet'!$B$10,Paramètres!$A$1:$I$89,5,0)</f>
        <v>-2.1282176021486519E-13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420.68062999212015</v>
      </c>
      <c r="AO92" s="62">
        <f t="shared" si="90"/>
        <v>655.24090633185676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239.75666358036838</v>
      </c>
      <c r="AV92" s="23">
        <f>EXP(-LN(2)/25)*AV91+(1-EXP(-LN(2)/25))/(LN(2)/25)*Calculateur!AQ92*Calculateur!AS92*VLOOKUP('Données projet'!$B$10,Paramètres!$A$1:$I$89,3,0)*0.475*44/12</f>
        <v>47.571761571392983</v>
      </c>
      <c r="AW92" s="23">
        <f>EXP(-LN(2)/2)*AW91+(1-EXP(-LN(2)/2))/(LN(2)/2)*AQ92*AT92*VLOOKUP('Données projet'!$B$10,Paramètres!$A$1:$I$89,3,0)*0.475*44/12</f>
        <v>0.79898152625524177</v>
      </c>
      <c r="AX92" s="23">
        <f t="shared" si="60"/>
        <v>288.12740667801665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3.2222222222222223</v>
      </c>
      <c r="BD92" s="13">
        <f>IF('Données projet'!$A$88&gt;35,BD91+BC92-BL91,IF(A92&lt;'Données projet'!$A$88,$BA$205^A92,IF(A92='Données projet'!$A$88,'Données projet'!$B$88,BD91+BC92-BL91)))</f>
        <v>121.77777777777784</v>
      </c>
      <c r="BE92" s="14">
        <f>BD92*VLOOKUP('Données projet'!$B$11,Paramètres!$A$1:$I$89,3,0)*VLOOKUP('Données projet'!$B$11,Paramètres!$A$1:$I$89,5,0)</f>
        <v>110.18453333333338</v>
      </c>
      <c r="BF92" s="14">
        <f t="shared" si="91"/>
        <v>29.374457822925873</v>
      </c>
      <c r="BG92" s="22">
        <f t="shared" si="61"/>
        <v>243.06524293048486</v>
      </c>
      <c r="BH92" s="62">
        <f t="shared" si="62"/>
        <v>536.3985762638182</v>
      </c>
      <c r="BI92" s="62">
        <f ca="1">AVERAGE(OFFSET($BH$3,0,0,'Données projet'!$E$11+1,1))-AVERAGE(OFFSET($H$3,0,0,'Données projet'!$E$11+1,1))</f>
        <v>138.3429338270858</v>
      </c>
      <c r="BJ92" s="62">
        <f t="shared" si="92"/>
        <v>88.30225651635925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6.6808649023364444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6.6808649023364444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3.2222222222222223</v>
      </c>
      <c r="BY92" s="13">
        <f>IF('Données projet'!$A$114&gt;35,BY91+BX92-CG91,IF(A92&lt;'Données projet'!$A$114,$BV$205^A92,IF(A92='Données projet'!$A$114,'Données projet'!$B$114,BY91+BX92-CG91)))</f>
        <v>121.77777777777784</v>
      </c>
      <c r="BZ92" s="14">
        <f>BY92*VLOOKUP('Données projet'!$B$12,Paramètres!$A$1:$I$89,3,0)*VLOOKUP('Données projet'!$B$12,Paramètres!$A$1:$I$89,5,0)</f>
        <v>102.58560000000006</v>
      </c>
      <c r="CA92" s="14">
        <f t="shared" si="93"/>
        <v>27.577062948792353</v>
      </c>
      <c r="CB92" s="22">
        <f t="shared" si="64"/>
        <v>226.69997130248012</v>
      </c>
      <c r="CC92" s="62">
        <f t="shared" si="65"/>
        <v>520.03330463581347</v>
      </c>
      <c r="CD92" s="62">
        <f ca="1">AVERAGE(OFFSET($CC$3,0,0,'Données projet'!$E$12+1,1))-AVERAGE(OFFSET($H$3,0,0,'Données projet'!$E$12+1,1))</f>
        <v>122.57815304102127</v>
      </c>
      <c r="CE92" s="62">
        <f t="shared" si="94"/>
        <v>80.106609825870578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6.220115598727034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6.220115598727034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-3.7243808037601412E-14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199.99826357281154</v>
      </c>
      <c r="CZ92" s="62">
        <f t="shared" si="96"/>
        <v>214.67424457475136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52.525478971494678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52.525478971494678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-5.6843418860808015E-14</v>
      </c>
      <c r="DP92" s="18">
        <f>DO92*VLOOKUP('Données projet'!$B$14,Paramètres!$A$1:$I$89,3,0)*VLOOKUP('Données projet'!$B$14,Paramètres!$A$1:$I$89,5,0)</f>
        <v>-4.5224624045658861E-14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248.15263300983543</v>
      </c>
      <c r="DU92" s="62">
        <f t="shared" si="98"/>
        <v>266.46511459244618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78.613715204844993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78.613715204844993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-5.6843418860808015E-14</v>
      </c>
      <c r="EK92" s="18">
        <f>EJ92*VLOOKUP('Données projet'!$B$15,Paramètres!$A$1:$I$89,3,0)*VLOOKUP('Données projet'!$B$15,Paramètres!$A$1:$I$89,5,0)</f>
        <v>-3.813056537183002E-14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205.35893113421139</v>
      </c>
      <c r="EP92" s="62">
        <f t="shared" si="100"/>
        <v>220.4399811285175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66.282152035457557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66.282152035457557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382.55387448074327</v>
      </c>
      <c r="T93" s="62">
        <f t="shared" si="88"/>
        <v>476.29465646955543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142.86008583841505</v>
      </c>
      <c r="AA93" s="23">
        <f>EXP(-LN(2)/25)*AA92+(1-EXP(-LN(2)/25))/(LN(2)/25)*Calculateur!V93*Calculateur!X93*VLOOKUP('Données projet'!$B$9,Paramètres!$A$1:$I$89,3,0)*0.475*44/12</f>
        <v>28.042342838648224</v>
      </c>
      <c r="AB93" s="23">
        <f>EXP(-LN(2)/2)*AB92+(1-EXP(-LN(2)/2))/(LN(2)/2)*V93*Y93*VLOOKUP('Données projet'!$B$9,Paramètres!$A$1:$I$89,3,0)*0.475*44/12</f>
        <v>1.7187759520052885E-3</v>
      </c>
      <c r="AC93" s="24">
        <f t="shared" si="57"/>
        <v>170.90414745301527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-3.4106051316484809E-13</v>
      </c>
      <c r="AJ93" s="14">
        <f>AI93*VLOOKUP('Données projet'!$B$10,Paramètres!$A$1:$I$89,3,0)*VLOOKUP('Données projet'!$B$10,Paramètres!$A$1:$I$89,5,0)</f>
        <v>-2.1282176021486519E-13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420.68062999212015</v>
      </c>
      <c r="AO93" s="62">
        <f t="shared" si="90"/>
        <v>655.24090633185676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235.05518164468242</v>
      </c>
      <c r="AV93" s="23">
        <f>EXP(-LN(2)/25)*AV92+(1-EXP(-LN(2)/25))/(LN(2)/25)*Calculateur!AQ93*Calculateur!AS93*VLOOKUP('Données projet'!$B$10,Paramètres!$A$1:$I$89,3,0)*0.475*44/12</f>
        <v>46.270909249533027</v>
      </c>
      <c r="AW93" s="23">
        <f>EXP(-LN(2)/2)*AW92+(1-EXP(-LN(2)/2))/(LN(2)/2)*AQ93*AT93*VLOOKUP('Données projet'!$B$10,Paramètres!$A$1:$I$89,3,0)*0.475*44/12</f>
        <v>0.56496525525785901</v>
      </c>
      <c r="AX93" s="23">
        <f t="shared" si="60"/>
        <v>281.89105614947329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125</v>
      </c>
      <c r="BB93" s="13">
        <f>VLOOKUP(A93,'Données projet'!$A$87:$I$107,9,0)</f>
        <v>3.2222222222222223</v>
      </c>
      <c r="BC93" s="13">
        <f t="array" ref="BC93">INDEX(BB:BB,MIN(IF(ISNUMBER(BB93:BB289),ROW(BB93:BB289),"")))</f>
        <v>3.2222222222222223</v>
      </c>
      <c r="BD93" s="13">
        <f>IF('Données projet'!$A$88&gt;35,BD92+BC93-BL92,IF(A93&lt;'Données projet'!$A$88,$BA$205^A93,IF(A93='Données projet'!$A$88,'Données projet'!$B$88,BD92+BC93-BL92)))</f>
        <v>125.00000000000007</v>
      </c>
      <c r="BE93" s="14">
        <f>BD93*VLOOKUP('Données projet'!$B$11,Paramètres!$A$1:$I$89,3,0)*VLOOKUP('Données projet'!$B$11,Paramètres!$A$1:$I$89,5,0)</f>
        <v>113.10000000000007</v>
      </c>
      <c r="BF93" s="14">
        <f t="shared" si="91"/>
        <v>30.060183168217279</v>
      </c>
      <c r="BG93" s="22">
        <f t="shared" si="61"/>
        <v>249.33731901797856</v>
      </c>
      <c r="BH93" s="62">
        <f t="shared" si="62"/>
        <v>542.6706523513119</v>
      </c>
      <c r="BI93" s="62">
        <f ca="1">AVERAGE(OFFSET($BH$3,0,0,'Données projet'!$E$11+1,1))-AVERAGE(OFFSET($H$3,0,0,'Données projet'!$E$11+1,1))</f>
        <v>138.3429338270858</v>
      </c>
      <c r="BJ93" s="62">
        <f t="shared" si="92"/>
        <v>88.30225651635925</v>
      </c>
      <c r="BK93" s="16">
        <f>IF(ISNA(VLOOKUP(A93,'Données projet'!$A$87:$I$107,3,0)),0,VLOOKUP(A93,'Données projet'!$A$87:$I$107,3,0))</f>
        <v>5</v>
      </c>
      <c r="BL93" s="16">
        <f>IF(ISNA(VLOOKUP(A93,'Données projet'!$A$87:$I$107,4,0)),0,VLOOKUP(A93,'Données projet'!$A$87:$I$107,4,0))</f>
        <v>22</v>
      </c>
      <c r="BM93" s="17">
        <f>IF(ISNA(VLOOKUP(A93,'Données projet'!$A$87:$I$107,5,0)),0%,VLOOKUP(A93,'Données projet'!$A$87:$I$107,5,0)*VLOOKUP('Données projet'!$B$11,Paramètres!$A$1:$I$89,7,0))</f>
        <v>0.30099999999999999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13.17337762376301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13.17337762376301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125</v>
      </c>
      <c r="BW93" s="13">
        <f>VLOOKUP(A93,'Données projet'!$A$113:$I$133,9,0)</f>
        <v>3.2222222222222223</v>
      </c>
      <c r="BX93" s="13">
        <f t="array" ref="BX93">INDEX(BW:BW,MIN(IF(ISNUMBER(BW93:BW289),ROW(BW93:BW289),"")))</f>
        <v>3.2222222222222223</v>
      </c>
      <c r="BY93" s="13">
        <f>IF('Données projet'!$A$114&gt;35,BY92+BX93-CG92,IF(A93&lt;'Données projet'!$A$114,$BV$205^A93,IF(A93='Données projet'!$A$114,'Données projet'!$B$114,BY92+BX93-CG92)))</f>
        <v>125.00000000000007</v>
      </c>
      <c r="BZ93" s="14">
        <f>BY93*VLOOKUP('Données projet'!$B$12,Paramètres!$A$1:$I$89,3,0)*VLOOKUP('Données projet'!$B$12,Paramètres!$A$1:$I$89,5,0)</f>
        <v>105.30000000000007</v>
      </c>
      <c r="CA93" s="14">
        <f t="shared" si="93"/>
        <v>28.220829418515059</v>
      </c>
      <c r="CB93" s="22">
        <f t="shared" si="64"/>
        <v>232.54877790391382</v>
      </c>
      <c r="CC93" s="62">
        <f t="shared" si="65"/>
        <v>525.88211123724716</v>
      </c>
      <c r="CD93" s="62">
        <f ca="1">AVERAGE(OFFSET($CC$3,0,0,'Données projet'!$E$12+1,1))-AVERAGE(OFFSET($H$3,0,0,'Données projet'!$E$12+1,1))</f>
        <v>122.57815304102127</v>
      </c>
      <c r="CE93" s="62">
        <f t="shared" si="94"/>
        <v>80.106609825870578</v>
      </c>
      <c r="CF93" s="16">
        <f>IF(ISNA(VLOOKUP(A93,'Données projet'!$A$113:$I$133,3,0)),0,VLOOKUP(A93,'Données projet'!$A$113:$I$133,3,0))</f>
        <v>5</v>
      </c>
      <c r="CG93" s="16">
        <f>IF(ISNA(VLOOKUP(A93,'Données projet'!$A$113:$I$133,4,0)),0,VLOOKUP(A93,'Données projet'!$A$113:$I$133,4,0))</f>
        <v>22</v>
      </c>
      <c r="CH93" s="17">
        <f>IF(ISNA(VLOOKUP(A93,'Données projet'!$A$113:$I$133,5,0)),0%,VLOOKUP(A93,'Données projet'!$A$113:$I$133,5,0)*VLOOKUP('Données projet'!$B$12,Paramètres!$A$1:$I$89,7,0))</f>
        <v>0.30099999999999999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12.264868822124182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12.264868822124182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-3.7243808037601412E-14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199.99826357281154</v>
      </c>
      <c r="CZ93" s="62">
        <f t="shared" si="96"/>
        <v>214.67424457475136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51.49548636624241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51.49548636624241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-5.6843418860808015E-14</v>
      </c>
      <c r="DP93" s="18">
        <f>DO93*VLOOKUP('Données projet'!$B$14,Paramètres!$A$1:$I$89,3,0)*VLOOKUP('Données projet'!$B$14,Paramètres!$A$1:$I$89,5,0)</f>
        <v>-4.5224624045658861E-14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248.15263300983543</v>
      </c>
      <c r="DU93" s="62">
        <f t="shared" si="98"/>
        <v>266.46511459244618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77.072148199309623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77.072148199309623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-5.6843418860808015E-14</v>
      </c>
      <c r="EK93" s="18">
        <f>EJ93*VLOOKUP('Données projet'!$B$15,Paramètres!$A$1:$I$89,3,0)*VLOOKUP('Données projet'!$B$15,Paramètres!$A$1:$I$89,5,0)</f>
        <v>-3.813056537183002E-14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205.35893113421139</v>
      </c>
      <c r="EP93" s="62">
        <f t="shared" si="100"/>
        <v>220.4399811285175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64.982399462163031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64.982399462163031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382.55387448074327</v>
      </c>
      <c r="T94" s="62">
        <f t="shared" si="88"/>
        <v>476.29465646955543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140.05868669117211</v>
      </c>
      <c r="AA94" s="23">
        <f>EXP(-LN(2)/25)*AA93+(1-EXP(-LN(2)/25))/(LN(2)/25)*Calculateur!V94*Calculateur!X94*VLOOKUP('Données projet'!$B$9,Paramètres!$A$1:$I$89,3,0)*0.475*44/12</f>
        <v>27.27552349904267</v>
      </c>
      <c r="AB94" s="23">
        <f>EXP(-LN(2)/2)*AB93+(1-EXP(-LN(2)/2))/(LN(2)/2)*V94*Y94*VLOOKUP('Données projet'!$B$9,Paramètres!$A$1:$I$89,3,0)*0.475*44/12</f>
        <v>1.2153581310033034E-3</v>
      </c>
      <c r="AC94" s="24">
        <f t="shared" si="57"/>
        <v>167.33542554834577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-3.4106051316484809E-13</v>
      </c>
      <c r="AJ94" s="14">
        <f>AI94*VLOOKUP('Données projet'!$B$10,Paramètres!$A$1:$I$89,3,0)*VLOOKUP('Données projet'!$B$10,Paramètres!$A$1:$I$89,5,0)</f>
        <v>-2.1282176021486519E-13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420.68062999212015</v>
      </c>
      <c r="AO94" s="62">
        <f t="shared" si="90"/>
        <v>655.24090633185676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230.44589290213443</v>
      </c>
      <c r="AV94" s="23">
        <f>EXP(-LN(2)/25)*AV93+(1-EXP(-LN(2)/25))/(LN(2)/25)*Calculateur!AQ94*Calculateur!AS94*VLOOKUP('Données projet'!$B$10,Paramètres!$A$1:$I$89,3,0)*0.475*44/12</f>
        <v>45.005628802823182</v>
      </c>
      <c r="AW94" s="23">
        <f>EXP(-LN(2)/2)*AW93+(1-EXP(-LN(2)/2))/(LN(2)/2)*AQ94*AT94*VLOOKUP('Données projet'!$B$10,Paramètres!$A$1:$I$89,3,0)*0.475*44/12</f>
        <v>0.39949076312762088</v>
      </c>
      <c r="AX94" s="23">
        <f t="shared" si="60"/>
        <v>275.85101246808523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3.1</v>
      </c>
      <c r="BD94" s="13">
        <f>IF('Données projet'!$A$88&gt;35,BD93+BC94-BL93,IF(A94&lt;'Données projet'!$A$88,$BA$205^A94,IF(A94='Données projet'!$A$88,'Données projet'!$B$88,BD93+BC94-BL93)))</f>
        <v>106.10000000000008</v>
      </c>
      <c r="BE94" s="14">
        <f>BD94*VLOOKUP('Données projet'!$B$11,Paramètres!$A$1:$I$89,3,0)*VLOOKUP('Données projet'!$B$11,Paramètres!$A$1:$I$89,5,0)</f>
        <v>95.99928000000007</v>
      </c>
      <c r="BF94" s="14">
        <f t="shared" si="91"/>
        <v>26.006628165014433</v>
      </c>
      <c r="BG94" s="22">
        <f t="shared" si="61"/>
        <v>212.49362338740025</v>
      </c>
      <c r="BH94" s="62">
        <f t="shared" si="62"/>
        <v>505.82695672073356</v>
      </c>
      <c r="BI94" s="62">
        <f ca="1">AVERAGE(OFFSET($BH$3,0,0,'Données projet'!$E$11+1,1))-AVERAGE(OFFSET($H$3,0,0,'Données projet'!$E$11+1,1))</f>
        <v>138.3429338270858</v>
      </c>
      <c r="BJ94" s="62">
        <f t="shared" si="92"/>
        <v>88.30225651635925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12.915055723527979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12.915055723527979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3.1</v>
      </c>
      <c r="BY94" s="13">
        <f>IF('Données projet'!$A$114&gt;35,BY93+BX94-CG93,IF(A94&lt;'Données projet'!$A$114,$BV$205^A94,IF(A94='Données projet'!$A$114,'Données projet'!$B$114,BY93+BX94-CG93)))</f>
        <v>106.10000000000008</v>
      </c>
      <c r="BZ94" s="14">
        <f>BY94*VLOOKUP('Données projet'!$B$12,Paramètres!$A$1:$I$89,3,0)*VLOOKUP('Données projet'!$B$12,Paramètres!$A$1:$I$89,5,0)</f>
        <v>89.378640000000075</v>
      </c>
      <c r="CA94" s="14">
        <f t="shared" si="93"/>
        <v>24.415307554466462</v>
      </c>
      <c r="CB94" s="22">
        <f t="shared" si="64"/>
        <v>198.19112532402923</v>
      </c>
      <c r="CC94" s="62">
        <f t="shared" si="65"/>
        <v>491.52445865736252</v>
      </c>
      <c r="CD94" s="62">
        <f ca="1">AVERAGE(OFFSET($CC$3,0,0,'Données projet'!$E$12+1,1))-AVERAGE(OFFSET($H$3,0,0,'Données projet'!$E$12+1,1))</f>
        <v>122.57815304102127</v>
      </c>
      <c r="CE94" s="62">
        <f t="shared" si="94"/>
        <v>80.106609825870578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12.024362225353638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12.024362225353638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-3.7243808037601412E-14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199.99826357281154</v>
      </c>
      <c r="CZ94" s="62">
        <f t="shared" si="96"/>
        <v>214.67424457475136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50.485691287745688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50.485691287745688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-5.6843418860808015E-14</v>
      </c>
      <c r="DP94" s="18">
        <f>DO94*VLOOKUP('Données projet'!$B$14,Paramètres!$A$1:$I$89,3,0)*VLOOKUP('Données projet'!$B$14,Paramètres!$A$1:$I$89,5,0)</f>
        <v>-4.5224624045658861E-14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248.15263300983543</v>
      </c>
      <c r="DU94" s="62">
        <f t="shared" si="98"/>
        <v>266.46511459244618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75.560810382489777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75.560810382489777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-5.6843418860808015E-14</v>
      </c>
      <c r="EK94" s="18">
        <f>EJ94*VLOOKUP('Données projet'!$B$15,Paramètres!$A$1:$I$89,3,0)*VLOOKUP('Données projet'!$B$15,Paramètres!$A$1:$I$89,5,0)</f>
        <v>-3.813056537183002E-14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205.35893113421139</v>
      </c>
      <c r="EP94" s="62">
        <f t="shared" si="100"/>
        <v>220.4399811285175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63.70813424406002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63.70813424406002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382.55387448074327</v>
      </c>
      <c r="T95" s="62">
        <f t="shared" si="88"/>
        <v>476.29465646955543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137.31222127252187</v>
      </c>
      <c r="AA95" s="23">
        <f>EXP(-LN(2)/25)*AA94+(1-EXP(-LN(2)/25))/(LN(2)/25)*Calculateur!V95*Calculateur!X95*VLOOKUP('Données projet'!$B$9,Paramètres!$A$1:$I$89,3,0)*0.475*44/12</f>
        <v>26.529672874603907</v>
      </c>
      <c r="AB95" s="23">
        <f>EXP(-LN(2)/2)*AB94+(1-EXP(-LN(2)/2))/(LN(2)/2)*V95*Y95*VLOOKUP('Données projet'!$B$9,Paramètres!$A$1:$I$89,3,0)*0.475*44/12</f>
        <v>8.5938797600264424E-4</v>
      </c>
      <c r="AC95" s="24">
        <f t="shared" si="57"/>
        <v>163.84275353510176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-3.4106051316484809E-13</v>
      </c>
      <c r="AJ95" s="14">
        <f>AI95*VLOOKUP('Données projet'!$B$10,Paramètres!$A$1:$I$89,3,0)*VLOOKUP('Données projet'!$B$10,Paramètres!$A$1:$I$89,5,0)</f>
        <v>-2.1282176021486519E-13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420.68062999212015</v>
      </c>
      <c r="AO95" s="62">
        <f t="shared" si="90"/>
        <v>655.24090633185676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225.92698950043928</v>
      </c>
      <c r="AV95" s="23">
        <f>EXP(-LN(2)/25)*AV94+(1-EXP(-LN(2)/25))/(LN(2)/25)*Calculateur!AQ95*Calculateur!AS95*VLOOKUP('Données projet'!$B$10,Paramètres!$A$1:$I$89,3,0)*0.475*44/12</f>
        <v>43.774947516466824</v>
      </c>
      <c r="AW95" s="23">
        <f>EXP(-LN(2)/2)*AW94+(1-EXP(-LN(2)/2))/(LN(2)/2)*AQ95*AT95*VLOOKUP('Données projet'!$B$10,Paramètres!$A$1:$I$89,3,0)*0.475*44/12</f>
        <v>0.28248262762892951</v>
      </c>
      <c r="AX95" s="23">
        <f t="shared" si="60"/>
        <v>269.98441964453502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3.1</v>
      </c>
      <c r="BD95" s="13">
        <f>IF('Données projet'!$A$88&gt;35,BD94+BC95-BL94,IF(A95&lt;'Données projet'!$A$88,$BA$205^A95,IF(A95='Données projet'!$A$88,'Données projet'!$B$88,BD94+BC95-BL94)))</f>
        <v>109.20000000000007</v>
      </c>
      <c r="BE95" s="14">
        <f>BD95*VLOOKUP('Données projet'!$B$11,Paramètres!$A$1:$I$89,3,0)*VLOOKUP('Données projet'!$B$11,Paramètres!$A$1:$I$89,5,0)</f>
        <v>98.804160000000067</v>
      </c>
      <c r="BF95" s="14">
        <f t="shared" si="91"/>
        <v>26.676905991504544</v>
      </c>
      <c r="BG95" s="22">
        <f t="shared" si="61"/>
        <v>218.54618993520387</v>
      </c>
      <c r="BH95" s="62">
        <f t="shared" si="62"/>
        <v>511.87952326853718</v>
      </c>
      <c r="BI95" s="62">
        <f ca="1">AVERAGE(OFFSET($BH$3,0,0,'Données projet'!$E$11+1,1))-AVERAGE(OFFSET($H$3,0,0,'Données projet'!$E$11+1,1))</f>
        <v>138.3429338270858</v>
      </c>
      <c r="BJ95" s="62">
        <f t="shared" si="92"/>
        <v>88.30225651635925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12.661799358195758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12.661799358195758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3.1</v>
      </c>
      <c r="BY95" s="13">
        <f>IF('Données projet'!$A$114&gt;35,BY94+BX95-CG94,IF(A95&lt;'Données projet'!$A$114,$BV$205^A95,IF(A95='Données projet'!$A$114,'Données projet'!$B$114,BY94+BX95-CG94)))</f>
        <v>109.20000000000007</v>
      </c>
      <c r="BZ95" s="14">
        <f>BY95*VLOOKUP('Données projet'!$B$12,Paramètres!$A$1:$I$89,3,0)*VLOOKUP('Données projet'!$B$12,Paramètres!$A$1:$I$89,5,0)</f>
        <v>91.990080000000077</v>
      </c>
      <c r="CA95" s="14">
        <f t="shared" si="93"/>
        <v>25.044571724233425</v>
      </c>
      <c r="CB95" s="22">
        <f t="shared" si="64"/>
        <v>203.83535175303999</v>
      </c>
      <c r="CC95" s="62">
        <f t="shared" si="65"/>
        <v>497.16868508637333</v>
      </c>
      <c r="CD95" s="62">
        <f ca="1">AVERAGE(OFFSET($CC$3,0,0,'Données projet'!$E$12+1,1))-AVERAGE(OFFSET($H$3,0,0,'Données projet'!$E$12+1,1))</f>
        <v>122.57815304102127</v>
      </c>
      <c r="CE95" s="62">
        <f t="shared" si="94"/>
        <v>80.106609825870578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11.788571816251224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11.788571816251224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-3.7243808037601412E-14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199.99826357281154</v>
      </c>
      <c r="CZ95" s="62">
        <f t="shared" si="96"/>
        <v>214.67424457475136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49.4956976748241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49.4956976748241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-5.6843418860808015E-14</v>
      </c>
      <c r="DP95" s="18">
        <f>DO95*VLOOKUP('Données projet'!$B$14,Paramètres!$A$1:$I$89,3,0)*VLOOKUP('Données projet'!$B$14,Paramètres!$A$1:$I$89,5,0)</f>
        <v>-4.5224624045658861E-14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248.15263300983543</v>
      </c>
      <c r="DU95" s="62">
        <f t="shared" si="98"/>
        <v>266.46511459244618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74.079108978432714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74.079108978432714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-5.6843418860808015E-14</v>
      </c>
      <c r="EK95" s="18">
        <f>EJ95*VLOOKUP('Données projet'!$B$15,Paramètres!$A$1:$I$89,3,0)*VLOOKUP('Données projet'!$B$15,Paramètres!$A$1:$I$89,5,0)</f>
        <v>-3.813056537183002E-14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205.35893113421139</v>
      </c>
      <c r="EP95" s="62">
        <f t="shared" si="100"/>
        <v>220.4399811285175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62.458856589658971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62.458856589658971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382.55387448074327</v>
      </c>
      <c r="T96" s="62">
        <f t="shared" si="88"/>
        <v>476.29465646955543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134.61961236555285</v>
      </c>
      <c r="AA96" s="23">
        <f>EXP(-LN(2)/25)*AA95+(1-EXP(-LN(2)/25))/(LN(2)/25)*Calculateur!V96*Calculateur!X96*VLOOKUP('Données projet'!$B$9,Paramètres!$A$1:$I$89,3,0)*0.475*44/12</f>
        <v>25.804217574713</v>
      </c>
      <c r="AB96" s="23">
        <f>EXP(-LN(2)/2)*AB95+(1-EXP(-LN(2)/2))/(LN(2)/2)*V96*Y96*VLOOKUP('Données projet'!$B$9,Paramètres!$A$1:$I$89,3,0)*0.475*44/12</f>
        <v>6.076790655016517E-4</v>
      </c>
      <c r="AC96" s="24">
        <f t="shared" si="57"/>
        <v>160.42443761933134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-3.4106051316484809E-13</v>
      </c>
      <c r="AJ96" s="14">
        <f>AI96*VLOOKUP('Données projet'!$B$10,Paramètres!$A$1:$I$89,3,0)*VLOOKUP('Données projet'!$B$10,Paramètres!$A$1:$I$89,5,0)</f>
        <v>-2.1282176021486519E-13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420.68062999212015</v>
      </c>
      <c r="AO96" s="62">
        <f t="shared" si="90"/>
        <v>655.24090633185676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221.49669903819245</v>
      </c>
      <c r="AV96" s="23">
        <f>EXP(-LN(2)/25)*AV95+(1-EXP(-LN(2)/25))/(LN(2)/25)*Calculateur!AQ96*Calculateur!AS96*VLOOKUP('Données projet'!$B$10,Paramètres!$A$1:$I$89,3,0)*0.475*44/12</f>
        <v>42.577919274604596</v>
      </c>
      <c r="AW96" s="23">
        <f>EXP(-LN(2)/2)*AW95+(1-EXP(-LN(2)/2))/(LN(2)/2)*AQ96*AT96*VLOOKUP('Données projet'!$B$10,Paramètres!$A$1:$I$89,3,0)*0.475*44/12</f>
        <v>0.19974538156381044</v>
      </c>
      <c r="AX96" s="23">
        <f t="shared" si="60"/>
        <v>264.27436369436083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3.1</v>
      </c>
      <c r="BD96" s="13">
        <f>IF('Données projet'!$A$88&gt;35,BD95+BC96-BL95,IF(A96&lt;'Données projet'!$A$88,$BA$205^A96,IF(A96='Données projet'!$A$88,'Données projet'!$B$88,BD95+BC96-BL95)))</f>
        <v>112.30000000000007</v>
      </c>
      <c r="BE96" s="14">
        <f>BD96*VLOOKUP('Données projet'!$B$11,Paramètres!$A$1:$I$89,3,0)*VLOOKUP('Données projet'!$B$11,Paramètres!$A$1:$I$89,5,0)</f>
        <v>101.60904000000005</v>
      </c>
      <c r="BF96" s="14">
        <f t="shared" si="91"/>
        <v>27.344972296383432</v>
      </c>
      <c r="BG96" s="22">
        <f t="shared" si="61"/>
        <v>224.59490474953455</v>
      </c>
      <c r="BH96" s="62">
        <f t="shared" si="62"/>
        <v>517.92823808286789</v>
      </c>
      <c r="BI96" s="62">
        <f ca="1">AVERAGE(OFFSET($BH$3,0,0,'Données projet'!$E$11+1,1))-AVERAGE(OFFSET($H$3,0,0,'Données projet'!$E$11+1,1))</f>
        <v>138.3429338270858</v>
      </c>
      <c r="BJ96" s="62">
        <f t="shared" si="92"/>
        <v>88.30225651635925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12.413509195716571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12.413509195716571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3.1</v>
      </c>
      <c r="BY96" s="13">
        <f>IF('Données projet'!$A$114&gt;35,BY95+BX96-CG95,IF(A96&lt;'Données projet'!$A$114,$BV$205^A96,IF(A96='Données projet'!$A$114,'Données projet'!$B$114,BY95+BX96-CG95)))</f>
        <v>112.30000000000007</v>
      </c>
      <c r="BZ96" s="14">
        <f>BY96*VLOOKUP('Données projet'!$B$12,Paramètres!$A$1:$I$89,3,0)*VLOOKUP('Données projet'!$B$12,Paramètres!$A$1:$I$89,5,0)</f>
        <v>94.601520000000065</v>
      </c>
      <c r="CA96" s="14">
        <f t="shared" si="93"/>
        <v>25.67175969327343</v>
      </c>
      <c r="CB96" s="22">
        <f t="shared" si="64"/>
        <v>209.47596213245131</v>
      </c>
      <c r="CC96" s="62">
        <f t="shared" si="65"/>
        <v>502.80929546578466</v>
      </c>
      <c r="CD96" s="62">
        <f ca="1">AVERAGE(OFFSET($CC$3,0,0,'Données projet'!$E$12+1,1))-AVERAGE(OFFSET($H$3,0,0,'Données projet'!$E$12+1,1))</f>
        <v>122.57815304102127</v>
      </c>
      <c r="CE96" s="62">
        <f t="shared" si="94"/>
        <v>80.106609825870578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11.55740511325336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11.55740511325336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-3.7243808037601412E-14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199.99826357281154</v>
      </c>
      <c r="CZ96" s="62">
        <f t="shared" si="96"/>
        <v>214.67424457475136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48.525117232815425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48.525117232815425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-5.6843418860808015E-14</v>
      </c>
      <c r="DP96" s="18">
        <f>DO96*VLOOKUP('Données projet'!$B$14,Paramètres!$A$1:$I$89,3,0)*VLOOKUP('Données projet'!$B$14,Paramètres!$A$1:$I$89,5,0)</f>
        <v>-4.5224624045658861E-14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248.15263300983543</v>
      </c>
      <c r="DU96" s="62">
        <f t="shared" si="98"/>
        <v>266.46511459244618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72.626462835160595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72.626462835160595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-5.6843418860808015E-14</v>
      </c>
      <c r="EK96" s="18">
        <f>EJ96*VLOOKUP('Données projet'!$B$15,Paramètres!$A$1:$I$89,3,0)*VLOOKUP('Données projet'!$B$15,Paramètres!$A$1:$I$89,5,0)</f>
        <v>-3.813056537183002E-14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205.35893113421139</v>
      </c>
      <c r="EP96" s="62">
        <f t="shared" si="100"/>
        <v>220.4399811285175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61.234076508076598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61.234076508076598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382.55387448074327</v>
      </c>
      <c r="T97" s="62">
        <f t="shared" si="88"/>
        <v>476.29465646955543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131.97980387692024</v>
      </c>
      <c r="AA97" s="23">
        <f>EXP(-LN(2)/25)*AA96+(1-EXP(-LN(2)/25))/(LN(2)/25)*Calculateur!V97*Calculateur!X97*VLOOKUP('Données projet'!$B$9,Paramètres!$A$1:$I$89,3,0)*0.475*44/12</f>
        <v>25.098599888147646</v>
      </c>
      <c r="AB97" s="23">
        <f>EXP(-LN(2)/2)*AB96+(1-EXP(-LN(2)/2))/(LN(2)/2)*V97*Y97*VLOOKUP('Données projet'!$B$9,Paramètres!$A$1:$I$89,3,0)*0.475*44/12</f>
        <v>4.2969398800132212E-4</v>
      </c>
      <c r="AC97" s="24">
        <f t="shared" si="57"/>
        <v>157.07883345905589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-3.4106051316484809E-13</v>
      </c>
      <c r="AJ97" s="14">
        <f>AI97*VLOOKUP('Données projet'!$B$10,Paramètres!$A$1:$I$89,3,0)*VLOOKUP('Données projet'!$B$10,Paramètres!$A$1:$I$89,5,0)</f>
        <v>-2.1282176021486519E-13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420.68062999212015</v>
      </c>
      <c r="AO97" s="62">
        <f t="shared" si="90"/>
        <v>655.24090633185676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217.15328386969992</v>
      </c>
      <c r="AV97" s="23">
        <f>EXP(-LN(2)/25)*AV96+(1-EXP(-LN(2)/25))/(LN(2)/25)*Calculateur!AQ97*Calculateur!AS97*VLOOKUP('Données projet'!$B$10,Paramètres!$A$1:$I$89,3,0)*0.475*44/12</f>
        <v>41.413623832965072</v>
      </c>
      <c r="AW97" s="23">
        <f>EXP(-LN(2)/2)*AW96+(1-EXP(-LN(2)/2))/(LN(2)/2)*AQ97*AT97*VLOOKUP('Données projet'!$B$10,Paramètres!$A$1:$I$89,3,0)*0.475*44/12</f>
        <v>0.14124131381446475</v>
      </c>
      <c r="AX97" s="23">
        <f t="shared" si="60"/>
        <v>258.70814901647947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3.1</v>
      </c>
      <c r="BD97" s="13">
        <f>IF('Données projet'!$A$88&gt;35,BD96+BC97-BL96,IF(A97&lt;'Données projet'!$A$88,$BA$205^A97,IF(A97='Données projet'!$A$88,'Données projet'!$B$88,BD96+BC97-BL96)))</f>
        <v>115.40000000000006</v>
      </c>
      <c r="BE97" s="14">
        <f>BD97*VLOOKUP('Données projet'!$B$11,Paramètres!$A$1:$I$89,3,0)*VLOOKUP('Données projet'!$B$11,Paramètres!$A$1:$I$89,5,0)</f>
        <v>104.41392000000005</v>
      </c>
      <c r="BF97" s="14">
        <f t="shared" si="91"/>
        <v>28.010895142032879</v>
      </c>
      <c r="BG97" s="22">
        <f t="shared" si="61"/>
        <v>230.63988637237398</v>
      </c>
      <c r="BH97" s="62">
        <f t="shared" si="62"/>
        <v>523.97321970570727</v>
      </c>
      <c r="BI97" s="62">
        <f ca="1">AVERAGE(OFFSET($BH$3,0,0,'Données projet'!$E$11+1,1))-AVERAGE(OFFSET($H$3,0,0,'Données projet'!$E$11+1,1))</f>
        <v>138.3429338270858</v>
      </c>
      <c r="BJ97" s="62">
        <f t="shared" si="92"/>
        <v>88.30225651635925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12.170087851881556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12.170087851881556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3.1</v>
      </c>
      <c r="BY97" s="13">
        <f>IF('Données projet'!$A$114&gt;35,BY96+BX97-CG96,IF(A97&lt;'Données projet'!$A$114,$BV$205^A97,IF(A97='Données projet'!$A$114,'Données projet'!$B$114,BY96+BX97-CG96)))</f>
        <v>115.40000000000006</v>
      </c>
      <c r="BZ97" s="14">
        <f>BY97*VLOOKUP('Données projet'!$B$12,Paramètres!$A$1:$I$89,3,0)*VLOOKUP('Données projet'!$B$12,Paramètres!$A$1:$I$89,5,0)</f>
        <v>97.212960000000066</v>
      </c>
      <c r="CA97" s="14">
        <f t="shared" si="93"/>
        <v>26.296935359296459</v>
      </c>
      <c r="CB97" s="22">
        <f t="shared" si="64"/>
        <v>215.11306775077477</v>
      </c>
      <c r="CC97" s="62">
        <f t="shared" si="65"/>
        <v>508.44640108410806</v>
      </c>
      <c r="CD97" s="62">
        <f ca="1">AVERAGE(OFFSET($CC$3,0,0,'Données projet'!$E$12+1,1))-AVERAGE(OFFSET($H$3,0,0,'Données projet'!$E$12+1,1))</f>
        <v>122.57815304102127</v>
      </c>
      <c r="CE97" s="62">
        <f t="shared" si="94"/>
        <v>80.106609825870578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11.330771448303517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11.330771448303517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-3.7243808037601412E-14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199.99826357281154</v>
      </c>
      <c r="CZ97" s="62">
        <f t="shared" si="96"/>
        <v>214.67424457475136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47.573569281278928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47.573569281278928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-5.6843418860808015E-14</v>
      </c>
      <c r="DP97" s="18">
        <f>DO97*VLOOKUP('Données projet'!$B$14,Paramètres!$A$1:$I$89,3,0)*VLOOKUP('Données projet'!$B$14,Paramètres!$A$1:$I$89,5,0)</f>
        <v>-4.5224624045658861E-14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248.15263300983543</v>
      </c>
      <c r="DU97" s="62">
        <f t="shared" si="98"/>
        <v>266.46511459244618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71.202302196731381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71.202302196731381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-5.6843418860808015E-14</v>
      </c>
      <c r="EK97" s="18">
        <f>EJ97*VLOOKUP('Données projet'!$B$15,Paramètres!$A$1:$I$89,3,0)*VLOOKUP('Données projet'!$B$15,Paramètres!$A$1:$I$89,5,0)</f>
        <v>-3.813056537183002E-14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205.35893113421139</v>
      </c>
      <c r="EP97" s="62">
        <f t="shared" si="100"/>
        <v>220.4399811285175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60.03331361685197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60.03331361685197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382.55387448074327</v>
      </c>
      <c r="T98" s="62">
        <f t="shared" si="88"/>
        <v>476.29465646955543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129.39176042262551</v>
      </c>
      <c r="AA98" s="23">
        <f>EXP(-LN(2)/25)*AA97+(1-EXP(-LN(2)/25))/(LN(2)/25)*Calculateur!V98*Calculateur!X98*VLOOKUP('Données projet'!$B$9,Paramètres!$A$1:$I$89,3,0)*0.475*44/12</f>
        <v>24.412277354328243</v>
      </c>
      <c r="AB98" s="23">
        <f>EXP(-LN(2)/2)*AB97+(1-EXP(-LN(2)/2))/(LN(2)/2)*V98*Y98*VLOOKUP('Données projet'!$B$9,Paramètres!$A$1:$I$89,3,0)*0.475*44/12</f>
        <v>3.0383953275082585E-4</v>
      </c>
      <c r="AC98" s="24">
        <f t="shared" si="57"/>
        <v>153.80434161648651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-3.4106051316484809E-13</v>
      </c>
      <c r="AJ98" s="14">
        <f>AI98*VLOOKUP('Données projet'!$B$10,Paramètres!$A$1:$I$89,3,0)*VLOOKUP('Données projet'!$B$10,Paramètres!$A$1:$I$89,5,0)</f>
        <v>-2.1282176021486519E-13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420.68062999212015</v>
      </c>
      <c r="AO98" s="62">
        <f t="shared" si="90"/>
        <v>655.24090633185676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212.89504042343987</v>
      </c>
      <c r="AV98" s="23">
        <f>EXP(-LN(2)/25)*AV97+(1-EXP(-LN(2)/25))/(LN(2)/25)*Calculateur!AQ98*Calculateur!AS98*VLOOKUP('Données projet'!$B$10,Paramètres!$A$1:$I$89,3,0)*0.475*44/12</f>
        <v>40.281166111404815</v>
      </c>
      <c r="AW98" s="23">
        <f>EXP(-LN(2)/2)*AW97+(1-EXP(-LN(2)/2))/(LN(2)/2)*AQ98*AT98*VLOOKUP('Données projet'!$B$10,Paramètres!$A$1:$I$89,3,0)*0.475*44/12</f>
        <v>9.9872690781905221E-2</v>
      </c>
      <c r="AX98" s="23">
        <f t="shared" si="60"/>
        <v>253.27607922562657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3.1</v>
      </c>
      <c r="BD98" s="13">
        <f>IF('Données projet'!$A$88&gt;35,BD97+BC98-BL97,IF(A98&lt;'Données projet'!$A$88,$BA$205^A98,IF(A98='Données projet'!$A$88,'Données projet'!$B$88,BD97+BC98-BL97)))</f>
        <v>118.50000000000006</v>
      </c>
      <c r="BE98" s="14">
        <f>BD98*VLOOKUP('Données projet'!$B$11,Paramètres!$A$1:$I$89,3,0)*VLOOKUP('Données projet'!$B$11,Paramètres!$A$1:$I$89,5,0)</f>
        <v>107.21880000000006</v>
      </c>
      <c r="BF98" s="14">
        <f t="shared" si="91"/>
        <v>28.674738725921312</v>
      </c>
      <c r="BG98" s="22">
        <f t="shared" si="61"/>
        <v>236.68124661431304</v>
      </c>
      <c r="BH98" s="62">
        <f t="shared" si="62"/>
        <v>530.01457994764633</v>
      </c>
      <c r="BI98" s="62">
        <f ca="1">AVERAGE(OFFSET($BH$3,0,0,'Données projet'!$E$11+1,1))-AVERAGE(OFFSET($H$3,0,0,'Données projet'!$E$11+1,1))</f>
        <v>138.3429338270858</v>
      </c>
      <c r="BJ98" s="62">
        <f t="shared" si="92"/>
        <v>88.30225651635925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11.931439852126786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11.931439852126786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3.1</v>
      </c>
      <c r="BY98" s="13">
        <f>IF('Données projet'!$A$114&gt;35,BY97+BX98-CG97,IF(A98&lt;'Données projet'!$A$114,$BV$205^A98,IF(A98='Données projet'!$A$114,'Données projet'!$B$114,BY97+BX98-CG97)))</f>
        <v>118.50000000000006</v>
      </c>
      <c r="BZ98" s="14">
        <f>BY98*VLOOKUP('Données projet'!$B$12,Paramètres!$A$1:$I$89,3,0)*VLOOKUP('Données projet'!$B$12,Paramètres!$A$1:$I$89,5,0)</f>
        <v>99.824400000000068</v>
      </c>
      <c r="CA98" s="14">
        <f t="shared" si="93"/>
        <v>26.920158991589524</v>
      </c>
      <c r="CB98" s="22">
        <f t="shared" si="64"/>
        <v>220.74677357701853</v>
      </c>
      <c r="CC98" s="62">
        <f t="shared" si="65"/>
        <v>514.08010691035179</v>
      </c>
      <c r="CD98" s="62">
        <f ca="1">AVERAGE(OFFSET($CC$3,0,0,'Données projet'!$E$12+1,1))-AVERAGE(OFFSET($H$3,0,0,'Données projet'!$E$12+1,1))</f>
        <v>122.57815304102127</v>
      </c>
      <c r="CE98" s="62">
        <f t="shared" si="94"/>
        <v>80.106609825870578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11.108581931290455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11.108581931290455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-3.7243808037601412E-14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199.99826357281154</v>
      </c>
      <c r="CZ98" s="62">
        <f t="shared" si="96"/>
        <v>214.67424457475136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46.640680604685116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46.640680604685116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-5.6843418860808015E-14</v>
      </c>
      <c r="DP98" s="18">
        <f>DO98*VLOOKUP('Données projet'!$B$14,Paramètres!$A$1:$I$89,3,0)*VLOOKUP('Données projet'!$B$14,Paramètres!$A$1:$I$89,5,0)</f>
        <v>-4.5224624045658861E-14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248.15263300983543</v>
      </c>
      <c r="DU98" s="62">
        <f t="shared" si="98"/>
        <v>266.46511459244618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69.80606847976955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69.80606847976955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-5.6843418860808015E-14</v>
      </c>
      <c r="EK98" s="18">
        <f>EJ98*VLOOKUP('Données projet'!$B$15,Paramètres!$A$1:$I$89,3,0)*VLOOKUP('Données projet'!$B$15,Paramètres!$A$1:$I$89,5,0)</f>
        <v>-3.813056537183002E-14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205.35893113421139</v>
      </c>
      <c r="EP98" s="62">
        <f t="shared" si="100"/>
        <v>220.4399811285175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58.856096953531207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58.856096953531207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382.55387448074327</v>
      </c>
      <c r="T99" s="62">
        <f t="shared" si="88"/>
        <v>476.29465646955543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126.85446692191886</v>
      </c>
      <c r="AA99" s="23">
        <f>EXP(-LN(2)/25)*AA98+(1-EXP(-LN(2)/25))/(LN(2)/25)*Calculateur!V99*Calculateur!X99*VLOOKUP('Données projet'!$B$9,Paramètres!$A$1:$I$89,3,0)*0.475*44/12</f>
        <v>23.744722346288267</v>
      </c>
      <c r="AB99" s="23">
        <f>EXP(-LN(2)/2)*AB98+(1-EXP(-LN(2)/2))/(LN(2)/2)*V99*Y99*VLOOKUP('Données projet'!$B$9,Paramètres!$A$1:$I$89,3,0)*0.475*44/12</f>
        <v>2.1484699400066106E-4</v>
      </c>
      <c r="AC99" s="24">
        <f t="shared" si="57"/>
        <v>150.59940411520111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-3.4106051316484809E-13</v>
      </c>
      <c r="AJ99" s="14">
        <f>AI99*VLOOKUP('Données projet'!$B$10,Paramètres!$A$1:$I$89,3,0)*VLOOKUP('Données projet'!$B$10,Paramètres!$A$1:$I$89,5,0)</f>
        <v>-2.1282176021486519E-13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420.68062999212015</v>
      </c>
      <c r="AO99" s="62">
        <f t="shared" si="90"/>
        <v>655.24090633185676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208.72029853388892</v>
      </c>
      <c r="AV99" s="23">
        <f>EXP(-LN(2)/25)*AV98+(1-EXP(-LN(2)/25))/(LN(2)/25)*Calculateur!AQ99*Calculateur!AS99*VLOOKUP('Données projet'!$B$10,Paramètres!$A$1:$I$89,3,0)*0.475*44/12</f>
        <v>39.179675505793988</v>
      </c>
      <c r="AW99" s="23">
        <f>EXP(-LN(2)/2)*AW98+(1-EXP(-LN(2)/2))/(LN(2)/2)*AQ99*AT99*VLOOKUP('Données projet'!$B$10,Paramètres!$A$1:$I$89,3,0)*0.475*44/12</f>
        <v>7.0620656907232376E-2</v>
      </c>
      <c r="AX99" s="23">
        <f t="shared" si="60"/>
        <v>247.97059469659015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3.1</v>
      </c>
      <c r="BD99" s="13">
        <f>IF('Données projet'!$A$88&gt;35,BD98+BC99-BL98,IF(A99&lt;'Données projet'!$A$88,$BA$205^A99,IF(A99='Données projet'!$A$88,'Données projet'!$B$88,BD98+BC99-BL98)))</f>
        <v>121.60000000000005</v>
      </c>
      <c r="BE99" s="14">
        <f>BD99*VLOOKUP('Données projet'!$B$11,Paramètres!$A$1:$I$89,3,0)*VLOOKUP('Données projet'!$B$11,Paramètres!$A$1:$I$89,5,0)</f>
        <v>110.02368000000004</v>
      </c>
      <c r="BF99" s="14">
        <f t="shared" si="91"/>
        <v>29.336563695360827</v>
      </c>
      <c r="BG99" s="22">
        <f t="shared" si="61"/>
        <v>242.71909110275354</v>
      </c>
      <c r="BH99" s="62">
        <f t="shared" si="62"/>
        <v>536.05242443608688</v>
      </c>
      <c r="BI99" s="62">
        <f ca="1">AVERAGE(OFFSET($BH$3,0,0,'Données projet'!$E$11+1,1))-AVERAGE(OFFSET($H$3,0,0,'Données projet'!$E$11+1,1))</f>
        <v>138.3429338270858</v>
      </c>
      <c r="BJ99" s="62">
        <f t="shared" si="92"/>
        <v>88.30225651635925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11.6974715940863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11.6974715940863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3.1</v>
      </c>
      <c r="BY99" s="13">
        <f>IF('Données projet'!$A$114&gt;35,BY98+BX99-CG98,IF(A99&lt;'Données projet'!$A$114,$BV$205^A99,IF(A99='Données projet'!$A$114,'Données projet'!$B$114,BY98+BX99-CG98)))</f>
        <v>121.60000000000005</v>
      </c>
      <c r="BZ99" s="14">
        <f>BY99*VLOOKUP('Données projet'!$B$12,Paramètres!$A$1:$I$89,3,0)*VLOOKUP('Données projet'!$B$12,Paramètres!$A$1:$I$89,5,0)</f>
        <v>102.43584000000006</v>
      </c>
      <c r="CA99" s="14">
        <f t="shared" si="93"/>
        <v>27.541487526513908</v>
      </c>
      <c r="CB99" s="22">
        <f t="shared" si="64"/>
        <v>226.37717877534513</v>
      </c>
      <c r="CC99" s="62">
        <f t="shared" si="65"/>
        <v>519.71051210867847</v>
      </c>
      <c r="CD99" s="62">
        <f ca="1">AVERAGE(OFFSET($CC$3,0,0,'Données projet'!$E$12+1,1))-AVERAGE(OFFSET($H$3,0,0,'Données projet'!$E$12+1,1))</f>
        <v>122.57815304102127</v>
      </c>
      <c r="CE99" s="62">
        <f t="shared" si="94"/>
        <v>80.106609825870578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10.890749415183796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10.890749415183796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-3.7243808037601412E-14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199.99826357281154</v>
      </c>
      <c r="CZ99" s="62">
        <f t="shared" si="96"/>
        <v>214.67424457475136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45.726085306033404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45.726085306033404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-5.6843418860808015E-14</v>
      </c>
      <c r="DP99" s="18">
        <f>DO99*VLOOKUP('Données projet'!$B$14,Paramètres!$A$1:$I$89,3,0)*VLOOKUP('Données projet'!$B$14,Paramètres!$A$1:$I$89,5,0)</f>
        <v>-4.5224624045658861E-14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248.15263300983543</v>
      </c>
      <c r="DU99" s="62">
        <f t="shared" si="98"/>
        <v>266.46511459244618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68.43721405437887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68.43721405437887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-5.6843418860808015E-14</v>
      </c>
      <c r="EK99" s="18">
        <f>EJ99*VLOOKUP('Données projet'!$B$15,Paramètres!$A$1:$I$89,3,0)*VLOOKUP('Données projet'!$B$15,Paramètres!$A$1:$I$89,5,0)</f>
        <v>-3.813056537183002E-14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205.35893113421139</v>
      </c>
      <c r="EP99" s="62">
        <f t="shared" si="100"/>
        <v>220.4399811285175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57.701964790946903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57.701964790946903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382.55387448074327</v>
      </c>
      <c r="T100" s="62">
        <f t="shared" si="88"/>
        <v>476.29465646955543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124.36692819916485</v>
      </c>
      <c r="AA100" s="23">
        <f>EXP(-LN(2)/25)*AA99+(1-EXP(-LN(2)/25))/(LN(2)/25)*Calculateur!V100*Calculateur!X100*VLOOKUP('Données projet'!$B$9,Paramètres!$A$1:$I$89,3,0)*0.475*44/12</f>
        <v>23.095421665048335</v>
      </c>
      <c r="AB100" s="23">
        <f>EXP(-LN(2)/2)*AB99+(1-EXP(-LN(2)/2))/(LN(2)/2)*V100*Y100*VLOOKUP('Données projet'!$B$9,Paramètres!$A$1:$I$89,3,0)*0.475*44/12</f>
        <v>1.5191976637541293E-4</v>
      </c>
      <c r="AC100" s="24">
        <f t="shared" si="57"/>
        <v>147.46250178397958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-3.4106051316484809E-13</v>
      </c>
      <c r="AJ100" s="14">
        <f>AI100*VLOOKUP('Données projet'!$B$10,Paramètres!$A$1:$I$89,3,0)*VLOOKUP('Données projet'!$B$10,Paramètres!$A$1:$I$89,5,0)</f>
        <v>-2.1282176021486519E-13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420.68062999212015</v>
      </c>
      <c r="AO100" s="62">
        <f t="shared" si="90"/>
        <v>655.24090633185676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204.62742078645095</v>
      </c>
      <c r="AV100" s="23">
        <f>EXP(-LN(2)/25)*AV99+(1-EXP(-LN(2)/25))/(LN(2)/25)*Calculateur!AQ100*Calculateur!AS100*VLOOKUP('Données projet'!$B$10,Paramètres!$A$1:$I$89,3,0)*0.475*44/12</f>
        <v>38.108305218718463</v>
      </c>
      <c r="AW100" s="23">
        <f>EXP(-LN(2)/2)*AW99+(1-EXP(-LN(2)/2))/(LN(2)/2)*AQ100*AT100*VLOOKUP('Données projet'!$B$10,Paramètres!$A$1:$I$89,3,0)*0.475*44/12</f>
        <v>4.9936345390952611E-2</v>
      </c>
      <c r="AX100" s="23">
        <f t="shared" si="60"/>
        <v>242.78566235056039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3.1</v>
      </c>
      <c r="BD100" s="13">
        <f>IF('Données projet'!$A$88&gt;35,BD99+BC100-BL99,IF(A100&lt;'Données projet'!$A$88,$BA$205^A100,IF(A100='Données projet'!$A$88,'Données projet'!$B$88,BD99+BC100-BL99)))</f>
        <v>124.70000000000005</v>
      </c>
      <c r="BE100" s="14">
        <f>BD100*VLOOKUP('Données projet'!$B$11,Paramètres!$A$1:$I$89,3,0)*VLOOKUP('Données projet'!$B$11,Paramètres!$A$1:$I$89,5,0)</f>
        <v>112.82856000000004</v>
      </c>
      <c r="BF100" s="14">
        <f t="shared" si="91"/>
        <v>29.996427429264088</v>
      </c>
      <c r="BG100" s="22">
        <f t="shared" si="61"/>
        <v>248.75351977263503</v>
      </c>
      <c r="BH100" s="62">
        <f t="shared" si="62"/>
        <v>542.08685310596832</v>
      </c>
      <c r="BI100" s="62">
        <f ca="1">AVERAGE(OFFSET($BH$3,0,0,'Données projet'!$E$11+1,1))-AVERAGE(OFFSET($H$3,0,0,'Données projet'!$E$11+1,1))</f>
        <v>138.3429338270858</v>
      </c>
      <c r="BJ100" s="62">
        <f t="shared" si="92"/>
        <v>88.30225651635925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11.468091310879442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11.468091310879442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3.1</v>
      </c>
      <c r="BY100" s="13">
        <f>IF('Données projet'!$A$114&gt;35,BY99+BX100-CG99,IF(A100&lt;'Données projet'!$A$114,$BV$205^A100,IF(A100='Données projet'!$A$114,'Données projet'!$B$114,BY99+BX100-CG99)))</f>
        <v>124.70000000000005</v>
      </c>
      <c r="BZ100" s="14">
        <f>BY100*VLOOKUP('Données projet'!$B$12,Paramètres!$A$1:$I$89,3,0)*VLOOKUP('Données projet'!$B$12,Paramètres!$A$1:$I$89,5,0)</f>
        <v>105.04728000000004</v>
      </c>
      <c r="CA100" s="14">
        <f t="shared" si="93"/>
        <v>28.160974832021637</v>
      </c>
      <c r="CB100" s="22">
        <f t="shared" si="64"/>
        <v>232.00437716577107</v>
      </c>
      <c r="CC100" s="62">
        <f t="shared" si="65"/>
        <v>525.33771049910433</v>
      </c>
      <c r="CD100" s="62">
        <f ca="1">AVERAGE(OFFSET($CC$3,0,0,'Données projet'!$E$12+1,1))-AVERAGE(OFFSET($H$3,0,0,'Données projet'!$E$12+1,1))</f>
        <v>122.57815304102127</v>
      </c>
      <c r="CE100" s="62">
        <f t="shared" si="94"/>
        <v>80.106609825870578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10.677188461853273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10.677188461853273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-3.7243808037601412E-14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199.99826357281154</v>
      </c>
      <c r="CZ100" s="62">
        <f t="shared" si="96"/>
        <v>214.67424457475136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44.829424663340198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44.829424663340198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-5.6843418860808015E-14</v>
      </c>
      <c r="DP100" s="18">
        <f>DO100*VLOOKUP('Données projet'!$B$14,Paramètres!$A$1:$I$89,3,0)*VLOOKUP('Données projet'!$B$14,Paramètres!$A$1:$I$89,5,0)</f>
        <v>-4.5224624045658861E-14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248.15263300983543</v>
      </c>
      <c r="DU100" s="62">
        <f t="shared" si="98"/>
        <v>266.46511459244618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67.095202029351341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67.095202029351341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-5.6843418860808015E-14</v>
      </c>
      <c r="EK100" s="18">
        <f>EJ100*VLOOKUP('Données projet'!$B$15,Paramètres!$A$1:$I$89,3,0)*VLOOKUP('Données projet'!$B$15,Paramètres!$A$1:$I$89,5,0)</f>
        <v>-3.813056537183002E-14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205.35893113421139</v>
      </c>
      <c r="EP100" s="62">
        <f t="shared" si="100"/>
        <v>220.4399811285175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56.570464456119765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56.570464456119765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382.55387448074327</v>
      </c>
      <c r="T101" s="62">
        <f t="shared" si="88"/>
        <v>476.29465646955543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121.92816859351524</v>
      </c>
      <c r="AA101" s="23">
        <f>EXP(-LN(2)/25)*AA100+(1-EXP(-LN(2)/25))/(LN(2)/25)*Calculateur!V101*Calculateur!X101*VLOOKUP('Données projet'!$B$9,Paramètres!$A$1:$I$89,3,0)*0.475*44/12</f>
        <v>22.463876145082146</v>
      </c>
      <c r="AB101" s="23">
        <f>EXP(-LN(2)/2)*AB100+(1-EXP(-LN(2)/2))/(LN(2)/2)*V101*Y101*VLOOKUP('Données projet'!$B$9,Paramètres!$A$1:$I$89,3,0)*0.475*44/12</f>
        <v>1.0742349700033053E-4</v>
      </c>
      <c r="AC101" s="24">
        <f t="shared" si="57"/>
        <v>144.39215216209439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-3.4106051316484809E-13</v>
      </c>
      <c r="AJ101" s="14">
        <f>AI101*VLOOKUP('Données projet'!$B$10,Paramètres!$A$1:$I$89,3,0)*VLOOKUP('Données projet'!$B$10,Paramètres!$A$1:$I$89,5,0)</f>
        <v>-2.1282176021486519E-13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420.68062999212015</v>
      </c>
      <c r="AO101" s="62">
        <f t="shared" si="90"/>
        <v>655.24090633185676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200.61480187523134</v>
      </c>
      <c r="AV101" s="23">
        <f>EXP(-LN(2)/25)*AV100+(1-EXP(-LN(2)/25))/(LN(2)/25)*Calculateur!AQ101*Calculateur!AS101*VLOOKUP('Données projet'!$B$10,Paramètres!$A$1:$I$89,3,0)*0.475*44/12</f>
        <v>37.066231608483932</v>
      </c>
      <c r="AW101" s="23">
        <f>EXP(-LN(2)/2)*AW100+(1-EXP(-LN(2)/2))/(LN(2)/2)*AQ101*AT101*VLOOKUP('Données projet'!$B$10,Paramètres!$A$1:$I$89,3,0)*0.475*44/12</f>
        <v>3.5310328453616188E-2</v>
      </c>
      <c r="AX101" s="23">
        <f t="shared" si="60"/>
        <v>237.7163438121689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3.1</v>
      </c>
      <c r="BD101" s="13">
        <f>IF('Données projet'!$A$88&gt;35,BD100+BC101-BL100,IF(A101&lt;'Données projet'!$A$88,$BA$205^A101,IF(A101='Données projet'!$A$88,'Données projet'!$B$88,BD100+BC101-BL100)))</f>
        <v>127.80000000000004</v>
      </c>
      <c r="BE101" s="14">
        <f>BD101*VLOOKUP('Données projet'!$B$11,Paramètres!$A$1:$I$89,3,0)*VLOOKUP('Données projet'!$B$11,Paramètres!$A$1:$I$89,5,0)</f>
        <v>115.63344000000004</v>
      </c>
      <c r="BF101" s="14">
        <f t="shared" si="91"/>
        <v>30.654384291094836</v>
      </c>
      <c r="BG101" s="22">
        <f t="shared" si="61"/>
        <v>254.78462730699025</v>
      </c>
      <c r="BH101" s="62">
        <f t="shared" si="62"/>
        <v>548.11796064032353</v>
      </c>
      <c r="BI101" s="62">
        <f ca="1">AVERAGE(OFFSET($BH$3,0,0,'Données projet'!$E$11+1,1))-AVERAGE(OFFSET($H$3,0,0,'Données projet'!$E$11+1,1))</f>
        <v>138.3429338270858</v>
      </c>
      <c r="BJ101" s="62">
        <f t="shared" si="92"/>
        <v>88.30225651635925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11.243209035118113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11.243209035118113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3.1</v>
      </c>
      <c r="BY101" s="13">
        <f>IF('Données projet'!$A$114&gt;35,BY100+BX101-CG100,IF(A101&lt;'Données projet'!$A$114,$BV$205^A101,IF(A101='Données projet'!$A$114,'Données projet'!$B$114,BY100+BX101-CG100)))</f>
        <v>127.80000000000004</v>
      </c>
      <c r="BZ101" s="14">
        <f>BY101*VLOOKUP('Données projet'!$B$12,Paramètres!$A$1:$I$89,3,0)*VLOOKUP('Données projet'!$B$12,Paramètres!$A$1:$I$89,5,0)</f>
        <v>107.65872000000005</v>
      </c>
      <c r="CA101" s="14">
        <f t="shared" si="93"/>
        <v>28.77867194512838</v>
      </c>
      <c r="CB101" s="22">
        <f t="shared" si="64"/>
        <v>237.62845763776531</v>
      </c>
      <c r="CC101" s="62">
        <f t="shared" si="65"/>
        <v>530.96179097109859</v>
      </c>
      <c r="CD101" s="62">
        <f ca="1">AVERAGE(OFFSET($CC$3,0,0,'Données projet'!$E$12+1,1))-AVERAGE(OFFSET($H$3,0,0,'Données projet'!$E$12+1,1))</f>
        <v>122.57815304102127</v>
      </c>
      <c r="CE101" s="62">
        <f t="shared" si="94"/>
        <v>80.106609825870578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10.467815308558242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10.467815308558242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-3.7243808037601412E-14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199.99826357281154</v>
      </c>
      <c r="CZ101" s="62">
        <f t="shared" si="96"/>
        <v>214.67424457475136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43.95034698894122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43.95034698894122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-5.6843418860808015E-14</v>
      </c>
      <c r="DP101" s="18">
        <f>DO101*VLOOKUP('Données projet'!$B$14,Paramètres!$A$1:$I$89,3,0)*VLOOKUP('Données projet'!$B$14,Paramètres!$A$1:$I$89,5,0)</f>
        <v>-4.5224624045658861E-14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248.15263300983543</v>
      </c>
      <c r="DU101" s="62">
        <f t="shared" si="98"/>
        <v>266.46511459244618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65.779506041588093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65.779506041588093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-5.6843418860808015E-14</v>
      </c>
      <c r="EK101" s="18">
        <f>EJ101*VLOOKUP('Données projet'!$B$15,Paramètres!$A$1:$I$89,3,0)*VLOOKUP('Données projet'!$B$15,Paramètres!$A$1:$I$89,5,0)</f>
        <v>-3.813056537183002E-14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205.35893113421139</v>
      </c>
      <c r="EP101" s="62">
        <f t="shared" si="100"/>
        <v>220.4399811285175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55.461152152711534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55.461152152711534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382.55387448074327</v>
      </c>
      <c r="T102" s="62">
        <f t="shared" si="88"/>
        <v>476.29465646955543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119.53723157623594</v>
      </c>
      <c r="AA102" s="23">
        <f>EXP(-LN(2)/25)*AA101+(1-EXP(-LN(2)/25))/(LN(2)/25)*Calculateur!V102*Calculateur!X102*VLOOKUP('Données projet'!$B$9,Paramètres!$A$1:$I$89,3,0)*0.475*44/12</f>
        <v>21.849600270570971</v>
      </c>
      <c r="AB102" s="23">
        <f>EXP(-LN(2)/2)*AB101+(1-EXP(-LN(2)/2))/(LN(2)/2)*V102*Y102*VLOOKUP('Données projet'!$B$9,Paramètres!$A$1:$I$89,3,0)*0.475*44/12</f>
        <v>7.5959883187706463E-5</v>
      </c>
      <c r="AC102" s="24">
        <f t="shared" si="57"/>
        <v>141.38690780669009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-3.4106051316484809E-13</v>
      </c>
      <c r="AJ102" s="14">
        <f>AI102*VLOOKUP('Données projet'!$B$10,Paramètres!$A$1:$I$89,3,0)*VLOOKUP('Données projet'!$B$10,Paramètres!$A$1:$I$89,5,0)</f>
        <v>-2.1282176021486519E-13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420.68062999212015</v>
      </c>
      <c r="AO102" s="62">
        <f t="shared" si="90"/>
        <v>655.24090633185676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196.68086797340484</v>
      </c>
      <c r="AV102" s="23">
        <f>EXP(-LN(2)/25)*AV101+(1-EXP(-LN(2)/25))/(LN(2)/25)*Calculateur!AQ102*Calculateur!AS102*VLOOKUP('Données projet'!$B$10,Paramètres!$A$1:$I$89,3,0)*0.475*44/12</f>
        <v>36.052653555921538</v>
      </c>
      <c r="AW102" s="23">
        <f>EXP(-LN(2)/2)*AW101+(1-EXP(-LN(2)/2))/(LN(2)/2)*AQ102*AT102*VLOOKUP('Données projet'!$B$10,Paramètres!$A$1:$I$89,3,0)*0.475*44/12</f>
        <v>2.4968172695476305E-2</v>
      </c>
      <c r="AX102" s="23">
        <f t="shared" si="60"/>
        <v>232.75848970202185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3.1</v>
      </c>
      <c r="BD102" s="13">
        <f>IF('Données projet'!$A$88&gt;35,BD101+BC102-BL101,IF(A102&lt;'Données projet'!$A$88,$BA$205^A102,IF(A102='Données projet'!$A$88,'Données projet'!$B$88,BD101+BC102-BL101)))</f>
        <v>130.90000000000003</v>
      </c>
      <c r="BE102" s="14">
        <f>BD102*VLOOKUP('Données projet'!$B$11,Paramètres!$A$1:$I$89,3,0)*VLOOKUP('Données projet'!$B$11,Paramètres!$A$1:$I$89,5,0)</f>
        <v>118.43832000000002</v>
      </c>
      <c r="BF102" s="14">
        <f t="shared" si="91"/>
        <v>31.310485856584627</v>
      </c>
      <c r="BG102" s="22">
        <f t="shared" si="61"/>
        <v>260.81250353355159</v>
      </c>
      <c r="BH102" s="62">
        <f t="shared" si="62"/>
        <v>554.14583686688491</v>
      </c>
      <c r="BI102" s="62">
        <f ca="1">AVERAGE(OFFSET($BH$3,0,0,'Données projet'!$E$11+1,1))-AVERAGE(OFFSET($H$3,0,0,'Données projet'!$E$11+1,1))</f>
        <v>138.3429338270858</v>
      </c>
      <c r="BJ102" s="62">
        <f t="shared" si="92"/>
        <v>88.30225651635925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11.022736563619819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11.022736563619819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3.1</v>
      </c>
      <c r="BY102" s="13">
        <f>IF('Données projet'!$A$114&gt;35,BY101+BX102-CG101,IF(A102&lt;'Données projet'!$A$114,$BV$205^A102,IF(A102='Données projet'!$A$114,'Données projet'!$B$114,BY101+BX102-CG101)))</f>
        <v>130.90000000000003</v>
      </c>
      <c r="BZ102" s="14">
        <f>BY102*VLOOKUP('Données projet'!$B$12,Paramètres!$A$1:$I$89,3,0)*VLOOKUP('Données projet'!$B$12,Paramètres!$A$1:$I$89,5,0)</f>
        <v>110.27016000000003</v>
      </c>
      <c r="CA102" s="14">
        <f t="shared" si="93"/>
        <v>29.394627285696128</v>
      </c>
      <c r="CB102" s="22">
        <f t="shared" si="64"/>
        <v>243.24950452258744</v>
      </c>
      <c r="CC102" s="62">
        <f t="shared" si="65"/>
        <v>536.58283785592073</v>
      </c>
      <c r="CD102" s="62">
        <f ca="1">AVERAGE(OFFSET($CC$3,0,0,'Données projet'!$E$12+1,1))-AVERAGE(OFFSET($H$3,0,0,'Données projet'!$E$12+1,1))</f>
        <v>122.57815304102127</v>
      </c>
      <c r="CE102" s="62">
        <f t="shared" si="94"/>
        <v>80.106609825870578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10.262547835094313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10.262547835094313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-3.7243808037601412E-14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199.99826357281154</v>
      </c>
      <c r="CZ102" s="62">
        <f t="shared" si="96"/>
        <v>214.67424457475136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43.088507491552768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43.088507491552768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-5.6843418860808015E-14</v>
      </c>
      <c r="DP102" s="18">
        <f>DO102*VLOOKUP('Données projet'!$B$14,Paramètres!$A$1:$I$89,3,0)*VLOOKUP('Données projet'!$B$14,Paramètres!$A$1:$I$89,5,0)</f>
        <v>-4.5224624045658861E-14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248.15263300983543</v>
      </c>
      <c r="DU102" s="62">
        <f t="shared" si="98"/>
        <v>266.46511459244618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64.489610049649556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64.489610049649556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-5.6843418860808015E-14</v>
      </c>
      <c r="EK102" s="18">
        <f>EJ102*VLOOKUP('Données projet'!$B$15,Paramètres!$A$1:$I$89,3,0)*VLOOKUP('Données projet'!$B$15,Paramètres!$A$1:$I$89,5,0)</f>
        <v>-3.813056537183002E-14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205.35893113421139</v>
      </c>
      <c r="EP102" s="62">
        <f t="shared" si="100"/>
        <v>220.4399811285175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54.373592786959442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54.373592786959442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382.55387448074327</v>
      </c>
      <c r="T103" s="62">
        <f t="shared" si="88"/>
        <v>476.29465646955543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117.19317937553789</v>
      </c>
      <c r="AA103" s="23">
        <f>EXP(-LN(2)/25)*AA102+(1-EXP(-LN(2)/25))/(LN(2)/25)*Calculateur!V103*Calculateur!X103*VLOOKUP('Données projet'!$B$9,Paramètres!$A$1:$I$89,3,0)*0.475*44/12</f>
        <v>21.252121802151667</v>
      </c>
      <c r="AB103" s="23">
        <f>EXP(-LN(2)/2)*AB102+(1-EXP(-LN(2)/2))/(LN(2)/2)*V103*Y103*VLOOKUP('Données projet'!$B$9,Paramètres!$A$1:$I$89,3,0)*0.475*44/12</f>
        <v>5.3711748500165265E-5</v>
      </c>
      <c r="AC103" s="24">
        <f t="shared" si="57"/>
        <v>138.44535488943808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-3.4106051316484809E-13</v>
      </c>
      <c r="AJ103" s="14">
        <f>AI103*VLOOKUP('Données projet'!$B$10,Paramètres!$A$1:$I$89,3,0)*VLOOKUP('Données projet'!$B$10,Paramètres!$A$1:$I$89,5,0)</f>
        <v>-2.1282176021486519E-13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420.68062999212015</v>
      </c>
      <c r="AO103" s="62">
        <f t="shared" si="90"/>
        <v>655.24090633185676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192.82407611593044</v>
      </c>
      <c r="AV103" s="23">
        <f>EXP(-LN(2)/25)*AV102+(1-EXP(-LN(2)/25))/(LN(2)/25)*Calculateur!AQ103*Calculateur!AS103*VLOOKUP('Données projet'!$B$10,Paramètres!$A$1:$I$89,3,0)*0.475*44/12</f>
        <v>35.06679184850821</v>
      </c>
      <c r="AW103" s="23">
        <f>EXP(-LN(2)/2)*AW102+(1-EXP(-LN(2)/2))/(LN(2)/2)*AQ103*AT103*VLOOKUP('Données projet'!$B$10,Paramètres!$A$1:$I$89,3,0)*0.475*44/12</f>
        <v>1.7655164226808094E-2</v>
      </c>
      <c r="AX103" s="23">
        <f t="shared" si="60"/>
        <v>227.90852312866545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134</v>
      </c>
      <c r="BB103" s="13">
        <f>VLOOKUP(A103,'Données projet'!$A$87:$I$107,9,0)</f>
        <v>3.1</v>
      </c>
      <c r="BC103" s="13">
        <f t="array" ref="BC103">INDEX(BB:BB,MIN(IF(ISNUMBER(BB103:BB299),ROW(BB103:BB299),"")))</f>
        <v>3.1</v>
      </c>
      <c r="BD103" s="13">
        <f>IF('Données projet'!$A$88&gt;35,BD102+BC103-BL102,IF(A103&lt;'Données projet'!$A$88,$BA$205^A103,IF(A103='Données projet'!$A$88,'Données projet'!$B$88,BD102+BC103-BL102)))</f>
        <v>134.00000000000003</v>
      </c>
      <c r="BE103" s="14">
        <f>BD103*VLOOKUP('Données projet'!$B$11,Paramètres!$A$1:$I$89,3,0)*VLOOKUP('Données projet'!$B$11,Paramètres!$A$1:$I$89,5,0)</f>
        <v>121.24320000000003</v>
      </c>
      <c r="BF103" s="14">
        <f t="shared" si="91"/>
        <v>31.964781119270363</v>
      </c>
      <c r="BG103" s="22">
        <f t="shared" si="61"/>
        <v>266.83723378272924</v>
      </c>
      <c r="BH103" s="62">
        <f t="shared" si="62"/>
        <v>560.17056711606256</v>
      </c>
      <c r="BI103" s="62">
        <f ca="1">AVERAGE(OFFSET($BH$3,0,0,'Données projet'!$E$11+1,1))-AVERAGE(OFFSET($H$3,0,0,'Données projet'!$E$11+1,1))</f>
        <v>138.3429338270858</v>
      </c>
      <c r="BJ103" s="62">
        <f t="shared" si="92"/>
        <v>88.30225651635925</v>
      </c>
      <c r="BK103" s="16">
        <f>IF(ISNA(VLOOKUP(A103,'Données projet'!$A$87:$I$107,3,0)),0,VLOOKUP(A103,'Données projet'!$A$87:$I$107,3,0))</f>
        <v>6</v>
      </c>
      <c r="BL103" s="16">
        <f>IF(ISNA(VLOOKUP(A103,'Données projet'!$A$87:$I$107,4,0)),0,VLOOKUP(A103,'Données projet'!$A$87:$I$107,4,0))</f>
        <v>22</v>
      </c>
      <c r="BM103" s="17">
        <f>IF(ISNA(VLOOKUP(A103,'Données projet'!$A$87:$I$107,5,0)),0%,VLOOKUP(A103,'Données projet'!$A$87:$I$107,5,0)*VLOOKUP('Données projet'!$B$11,Paramètres!$A$1:$I$89,7,0))</f>
        <v>0.30099999999999999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17.430107830048836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17.430107830048836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134</v>
      </c>
      <c r="BW103" s="13">
        <f>VLOOKUP(A103,'Données projet'!$A$113:$I$133,9,0)</f>
        <v>3.1</v>
      </c>
      <c r="BX103" s="13">
        <f t="array" ref="BX103">INDEX(BW:BW,MIN(IF(ISNUMBER(BW103:BW299),ROW(BW103:BW299),"")))</f>
        <v>3.1</v>
      </c>
      <c r="BY103" s="13">
        <f>IF('Données projet'!$A$114&gt;35,BY102+BX103-CG102,IF(A103&lt;'Données projet'!$A$114,$BV$205^A103,IF(A103='Données projet'!$A$114,'Données projet'!$B$114,BY102+BX103-CG102)))</f>
        <v>134.00000000000003</v>
      </c>
      <c r="BZ103" s="14">
        <f>BY103*VLOOKUP('Données projet'!$B$12,Paramètres!$A$1:$I$89,3,0)*VLOOKUP('Données projet'!$B$12,Paramètres!$A$1:$I$89,5,0)</f>
        <v>112.88160000000002</v>
      </c>
      <c r="CA103" s="14">
        <f t="shared" si="93"/>
        <v>30.008886849394283</v>
      </c>
      <c r="CB103" s="22">
        <f t="shared" si="64"/>
        <v>248.86759792936175</v>
      </c>
      <c r="CC103" s="62">
        <f t="shared" si="65"/>
        <v>542.20093126269512</v>
      </c>
      <c r="CD103" s="62">
        <f ca="1">AVERAGE(OFFSET($CC$3,0,0,'Données projet'!$E$12+1,1))-AVERAGE(OFFSET($H$3,0,0,'Données projet'!$E$12+1,1))</f>
        <v>122.57815304102127</v>
      </c>
      <c r="CE103" s="62">
        <f t="shared" si="94"/>
        <v>80.106609825870578</v>
      </c>
      <c r="CF103" s="16">
        <f>IF(ISNA(VLOOKUP(A103,'Données projet'!$A$113:$I$133,3,0)),0,VLOOKUP(A103,'Données projet'!$A$113:$I$133,3,0))</f>
        <v>6</v>
      </c>
      <c r="CG103" s="16">
        <f>IF(ISNA(VLOOKUP(A103,'Données projet'!$A$113:$I$133,4,0)),0,VLOOKUP(A103,'Données projet'!$A$113:$I$133,4,0))</f>
        <v>22</v>
      </c>
      <c r="CH103" s="17">
        <f>IF(ISNA(VLOOKUP(A103,'Données projet'!$A$113:$I$133,5,0)),0%,VLOOKUP(A103,'Données projet'!$A$113:$I$133,5,0)*VLOOKUP('Données projet'!$B$12,Paramètres!$A$1:$I$89,7,0))</f>
        <v>0.30099999999999999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16.228031427976504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16.228031427976504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-3.7243808037601412E-14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199.99826357281154</v>
      </c>
      <c r="CZ103" s="62">
        <f t="shared" si="96"/>
        <v>214.67424457475136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42.243568141037919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42.243568141037919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-5.6843418860808015E-14</v>
      </c>
      <c r="DP103" s="18">
        <f>DO103*VLOOKUP('Données projet'!$B$14,Paramètres!$A$1:$I$89,3,0)*VLOOKUP('Données projet'!$B$14,Paramètres!$A$1:$I$89,5,0)</f>
        <v>-4.5224624045658861E-14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248.15263300983543</v>
      </c>
      <c r="DU103" s="62">
        <f t="shared" si="98"/>
        <v>266.46511459244618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63.225008131354073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63.225008131354073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-5.6843418860808015E-14</v>
      </c>
      <c r="EK103" s="18">
        <f>EJ103*VLOOKUP('Données projet'!$B$15,Paramètres!$A$1:$I$89,3,0)*VLOOKUP('Données projet'!$B$15,Paramètres!$A$1:$I$89,5,0)</f>
        <v>-3.813056537183002E-14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205.35893113421139</v>
      </c>
      <c r="EP103" s="62">
        <f t="shared" si="100"/>
        <v>220.4399811285175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53.307359797024034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53.307359797024034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382.55387448074327</v>
      </c>
      <c r="T104" s="62">
        <f t="shared" si="88"/>
        <v>476.29465646955543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114.89509260876487</v>
      </c>
      <c r="AA104" s="23">
        <f>EXP(-LN(2)/25)*AA103+(1-EXP(-LN(2)/25))/(LN(2)/25)*Calculateur!V104*Calculateur!X104*VLOOKUP('Données projet'!$B$9,Paramètres!$A$1:$I$89,3,0)*0.475*44/12</f>
        <v>20.670981413871317</v>
      </c>
      <c r="AB104" s="23">
        <f>EXP(-LN(2)/2)*AB103+(1-EXP(-LN(2)/2))/(LN(2)/2)*V104*Y104*VLOOKUP('Données projet'!$B$9,Paramètres!$A$1:$I$89,3,0)*0.475*44/12</f>
        <v>3.7979941593853231E-5</v>
      </c>
      <c r="AC104" s="24">
        <f t="shared" si="57"/>
        <v>135.5661120025778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-3.4106051316484809E-13</v>
      </c>
      <c r="AJ104" s="14">
        <f>AI104*VLOOKUP('Données projet'!$B$10,Paramètres!$A$1:$I$89,3,0)*VLOOKUP('Données projet'!$B$10,Paramètres!$A$1:$I$89,5,0)</f>
        <v>-2.1282176021486519E-13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420.68062999212015</v>
      </c>
      <c r="AO104" s="62">
        <f t="shared" si="90"/>
        <v>655.24090633185676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189.04291359437033</v>
      </c>
      <c r="AV104" s="23">
        <f>EXP(-LN(2)/25)*AV103+(1-EXP(-LN(2)/25))/(LN(2)/25)*Calculateur!AQ104*Calculateur!AS104*VLOOKUP('Données projet'!$B$10,Paramètres!$A$1:$I$89,3,0)*0.475*44/12</f>
        <v>34.107888581328318</v>
      </c>
      <c r="AW104" s="23">
        <f>EXP(-LN(2)/2)*AW103+(1-EXP(-LN(2)/2))/(LN(2)/2)*AQ104*AT104*VLOOKUP('Données projet'!$B$10,Paramètres!$A$1:$I$89,3,0)*0.475*44/12</f>
        <v>1.2484086347738153E-2</v>
      </c>
      <c r="AX104" s="23">
        <f t="shared" si="60"/>
        <v>223.1632862620464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3.4</v>
      </c>
      <c r="BD104" s="13">
        <f>IF('Données projet'!$A$88&gt;35,BD103+BC104-BL103,IF(A104&lt;'Données projet'!$A$88,$BA$205^A104,IF(A104='Données projet'!$A$88,'Données projet'!$B$88,BD103+BC104-BL103)))</f>
        <v>115.40000000000003</v>
      </c>
      <c r="BE104" s="14">
        <f>BD104*VLOOKUP('Données projet'!$B$11,Paramètres!$A$1:$I$89,3,0)*VLOOKUP('Données projet'!$B$11,Paramètres!$A$1:$I$89,5,0)</f>
        <v>104.41392000000003</v>
      </c>
      <c r="BF104" s="14">
        <f t="shared" si="91"/>
        <v>28.010895142032854</v>
      </c>
      <c r="BG104" s="22">
        <f t="shared" si="61"/>
        <v>230.63988637237392</v>
      </c>
      <c r="BH104" s="62">
        <f t="shared" si="62"/>
        <v>523.97321970570727</v>
      </c>
      <c r="BI104" s="62">
        <f ca="1">AVERAGE(OFFSET($BH$3,0,0,'Données projet'!$E$11+1,1))-AVERAGE(OFFSET($H$3,0,0,'Données projet'!$E$11+1,1))</f>
        <v>138.3429338270858</v>
      </c>
      <c r="BJ104" s="62">
        <f t="shared" si="92"/>
        <v>88.30225651635925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17.088314046817601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17.088314046817601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3.4</v>
      </c>
      <c r="BY104" s="13">
        <f>IF('Données projet'!$A$114&gt;35,BY103+BX104-CG103,IF(A104&lt;'Données projet'!$A$114,$BV$205^A104,IF(A104='Données projet'!$A$114,'Données projet'!$B$114,BY103+BX104-CG103)))</f>
        <v>115.40000000000003</v>
      </c>
      <c r="BZ104" s="14">
        <f>BY104*VLOOKUP('Données projet'!$B$12,Paramètres!$A$1:$I$89,3,0)*VLOOKUP('Données projet'!$B$12,Paramètres!$A$1:$I$89,5,0)</f>
        <v>97.212960000000038</v>
      </c>
      <c r="CA104" s="14">
        <f t="shared" si="93"/>
        <v>26.296935359296459</v>
      </c>
      <c r="CB104" s="22">
        <f t="shared" si="64"/>
        <v>215.11306775077469</v>
      </c>
      <c r="CC104" s="62">
        <f t="shared" si="65"/>
        <v>508.446401084108</v>
      </c>
      <c r="CD104" s="62">
        <f ca="1">AVERAGE(OFFSET($CC$3,0,0,'Données projet'!$E$12+1,1))-AVERAGE(OFFSET($H$3,0,0,'Données projet'!$E$12+1,1))</f>
        <v>122.57815304102127</v>
      </c>
      <c r="CE104" s="62">
        <f t="shared" si="94"/>
        <v>80.106609825870578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15.909809629795697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15.909809629795697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-3.7243808037601412E-14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199.99826357281154</v>
      </c>
      <c r="CZ104" s="62">
        <f t="shared" si="96"/>
        <v>214.67424457475136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41.415197535824547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41.415197535824547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-5.6843418860808015E-14</v>
      </c>
      <c r="DP104" s="18">
        <f>DO104*VLOOKUP('Données projet'!$B$14,Paramètres!$A$1:$I$89,3,0)*VLOOKUP('Données projet'!$B$14,Paramètres!$A$1:$I$89,5,0)</f>
        <v>-4.5224624045658861E-14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248.15263300983543</v>
      </c>
      <c r="DU104" s="62">
        <f t="shared" si="98"/>
        <v>266.46511459244618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61.985204285345354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61.985204285345354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-5.6843418860808015E-14</v>
      </c>
      <c r="EK104" s="18">
        <f>EJ104*VLOOKUP('Données projet'!$B$15,Paramètres!$A$1:$I$89,3,0)*VLOOKUP('Données projet'!$B$15,Paramètres!$A$1:$I$89,5,0)</f>
        <v>-3.813056537183002E-14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205.35893113421139</v>
      </c>
      <c r="EP104" s="62">
        <f t="shared" si="100"/>
        <v>220.4399811285175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52.26203498568335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52.26203498568335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382.55387448074327</v>
      </c>
      <c r="T105" s="62">
        <f t="shared" si="88"/>
        <v>476.29465646955543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112.64206992179375</v>
      </c>
      <c r="AA105" s="23">
        <f>EXP(-LN(2)/25)*AA104+(1-EXP(-LN(2)/25))/(LN(2)/25)*Calculateur!V105*Calculateur!X105*VLOOKUP('Données projet'!$B$9,Paramètres!$A$1:$I$89,3,0)*0.475*44/12</f>
        <v>20.105732340069338</v>
      </c>
      <c r="AB105" s="23">
        <f>EXP(-LN(2)/2)*AB104+(1-EXP(-LN(2)/2))/(LN(2)/2)*V105*Y105*VLOOKUP('Données projet'!$B$9,Paramètres!$A$1:$I$89,3,0)*0.475*44/12</f>
        <v>2.6855874250082633E-5</v>
      </c>
      <c r="AC105" s="24">
        <f t="shared" si="57"/>
        <v>132.74782911773733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-3.4106051316484809E-13</v>
      </c>
      <c r="AJ105" s="14">
        <f>AI105*VLOOKUP('Données projet'!$B$10,Paramètres!$A$1:$I$89,3,0)*VLOOKUP('Données projet'!$B$10,Paramètres!$A$1:$I$89,5,0)</f>
        <v>-2.1282176021486519E-13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420.68062999212015</v>
      </c>
      <c r="AO105" s="62">
        <f t="shared" si="90"/>
        <v>655.24090633185676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185.33589736357663</v>
      </c>
      <c r="AV105" s="23">
        <f>EXP(-LN(2)/25)*AV104+(1-EXP(-LN(2)/25))/(LN(2)/25)*Calculateur!AQ105*Calculateur!AS105*VLOOKUP('Données projet'!$B$10,Paramètres!$A$1:$I$89,3,0)*0.475*44/12</f>
        <v>33.175206574415988</v>
      </c>
      <c r="AW105" s="23">
        <f>EXP(-LN(2)/2)*AW104+(1-EXP(-LN(2)/2))/(LN(2)/2)*AQ105*AT105*VLOOKUP('Données projet'!$B$10,Paramètres!$A$1:$I$89,3,0)*0.475*44/12</f>
        <v>8.8275821134040471E-3</v>
      </c>
      <c r="AX105" s="23">
        <f t="shared" si="60"/>
        <v>218.51993152010604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3.4</v>
      </c>
      <c r="BD105" s="13">
        <f>IF('Données projet'!$A$88&gt;35,BD104+BC105-BL104,IF(A105&lt;'Données projet'!$A$88,$BA$205^A105,IF(A105='Données projet'!$A$88,'Données projet'!$B$88,BD104+BC105-BL104)))</f>
        <v>118.80000000000004</v>
      </c>
      <c r="BE105" s="14">
        <f>BD105*VLOOKUP('Données projet'!$B$11,Paramètres!$A$1:$I$89,3,0)*VLOOKUP('Données projet'!$B$11,Paramètres!$A$1:$I$89,5,0)</f>
        <v>107.49024000000004</v>
      </c>
      <c r="BF105" s="14">
        <f t="shared" si="91"/>
        <v>28.738873585294066</v>
      </c>
      <c r="BG105" s="22">
        <f t="shared" si="61"/>
        <v>237.26570616105383</v>
      </c>
      <c r="BH105" s="62">
        <f t="shared" si="62"/>
        <v>530.59903949438717</v>
      </c>
      <c r="BI105" s="62">
        <f ca="1">AVERAGE(OFFSET($BH$3,0,0,'Données projet'!$E$11+1,1))-AVERAGE(OFFSET($H$3,0,0,'Données projet'!$E$11+1,1))</f>
        <v>138.3429338270858</v>
      </c>
      <c r="BJ105" s="62">
        <f t="shared" si="92"/>
        <v>88.30225651635925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16.753222631201908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16.753222631201908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3.4</v>
      </c>
      <c r="BY105" s="13">
        <f>IF('Données projet'!$A$114&gt;35,BY104+BX105-CG104,IF(A105&lt;'Données projet'!$A$114,$BV$205^A105,IF(A105='Données projet'!$A$114,'Données projet'!$B$114,BY104+BX105-CG104)))</f>
        <v>118.80000000000004</v>
      </c>
      <c r="BZ105" s="14">
        <f>BY105*VLOOKUP('Données projet'!$B$12,Paramètres!$A$1:$I$89,3,0)*VLOOKUP('Données projet'!$B$12,Paramètres!$A$1:$I$89,5,0)</f>
        <v>100.07712000000005</v>
      </c>
      <c r="CA105" s="14">
        <f t="shared" si="93"/>
        <v>26.980369500487996</v>
      </c>
      <c r="CB105" s="22">
        <f t="shared" si="64"/>
        <v>221.29179421335002</v>
      </c>
      <c r="CC105" s="62">
        <f t="shared" si="65"/>
        <v>514.6251275466833</v>
      </c>
      <c r="CD105" s="62">
        <f ca="1">AVERAGE(OFFSET($CC$3,0,0,'Données projet'!$E$12+1,1))-AVERAGE(OFFSET($H$3,0,0,'Données projet'!$E$12+1,1))</f>
        <v>122.57815304102127</v>
      </c>
      <c r="CE105" s="62">
        <f t="shared" si="94"/>
        <v>80.106609825870578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15.597827966981084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15.597827966981084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-3.7243808037601412E-14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199.99826357281154</v>
      </c>
      <c r="CZ105" s="62">
        <f t="shared" si="96"/>
        <v>214.67424457475136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40.603070772923232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40.603070772923232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-5.6843418860808015E-14</v>
      </c>
      <c r="DP105" s="18">
        <f>DO105*VLOOKUP('Données projet'!$B$14,Paramètres!$A$1:$I$89,3,0)*VLOOKUP('Données projet'!$B$14,Paramètres!$A$1:$I$89,5,0)</f>
        <v>-4.5224624045658861E-14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248.15263300983543</v>
      </c>
      <c r="DU105" s="62">
        <f t="shared" si="98"/>
        <v>266.46511459244618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60.769712236551193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60.769712236551193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-5.6843418860808015E-14</v>
      </c>
      <c r="EK105" s="18">
        <f>EJ105*VLOOKUP('Données projet'!$B$15,Paramètres!$A$1:$I$89,3,0)*VLOOKUP('Données projet'!$B$15,Paramètres!$A$1:$I$89,5,0)</f>
        <v>-3.813056537183002E-14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205.35893113421139</v>
      </c>
      <c r="EP105" s="62">
        <f t="shared" si="100"/>
        <v>220.4399811285175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51.237208356307882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51.237208356307882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382.55387448074327</v>
      </c>
      <c r="T106" s="62">
        <f t="shared" si="88"/>
        <v>476.29465646955543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110.43322763550599</v>
      </c>
      <c r="AA106" s="23">
        <f>EXP(-LN(2)/25)*AA105+(1-EXP(-LN(2)/25))/(LN(2)/25)*Calculateur!V106*Calculateur!X106*VLOOKUP('Données projet'!$B$9,Paramètres!$A$1:$I$89,3,0)*0.475*44/12</f>
        <v>19.555940031915629</v>
      </c>
      <c r="AB106" s="23">
        <f>EXP(-LN(2)/2)*AB105+(1-EXP(-LN(2)/2))/(LN(2)/2)*V106*Y106*VLOOKUP('Données projet'!$B$9,Paramètres!$A$1:$I$89,3,0)*0.475*44/12</f>
        <v>1.8989970796926616E-5</v>
      </c>
      <c r="AC106" s="24">
        <f t="shared" si="57"/>
        <v>129.98918665739239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-3.4106051316484809E-13</v>
      </c>
      <c r="AJ106" s="14">
        <f>AI106*VLOOKUP('Données projet'!$B$10,Paramètres!$A$1:$I$89,3,0)*VLOOKUP('Données projet'!$B$10,Paramètres!$A$1:$I$89,5,0)</f>
        <v>-2.1282176021486519E-13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420.68062999212015</v>
      </c>
      <c r="AO106" s="62">
        <f t="shared" si="90"/>
        <v>655.24090633185676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181.70157346001216</v>
      </c>
      <c r="AV106" s="23">
        <f>EXP(-LN(2)/25)*AV105+(1-EXP(-LN(2)/25))/(LN(2)/25)*Calculateur!AQ106*Calculateur!AS106*VLOOKUP('Données projet'!$B$10,Paramètres!$A$1:$I$89,3,0)*0.475*44/12</f>
        <v>32.268028806030294</v>
      </c>
      <c r="AW106" s="23">
        <f>EXP(-LN(2)/2)*AW105+(1-EXP(-LN(2)/2))/(LN(2)/2)*AQ106*AT106*VLOOKUP('Données projet'!$B$10,Paramètres!$A$1:$I$89,3,0)*0.475*44/12</f>
        <v>6.2420431738690763E-3</v>
      </c>
      <c r="AX106" s="23">
        <f t="shared" si="60"/>
        <v>213.97584430921631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3.4</v>
      </c>
      <c r="BD106" s="13">
        <f>IF('Données projet'!$A$88&gt;35,BD105+BC106-BL105,IF(A106&lt;'Données projet'!$A$88,$BA$205^A106,IF(A106='Données projet'!$A$88,'Données projet'!$B$88,BD105+BC106-BL105)))</f>
        <v>122.20000000000005</v>
      </c>
      <c r="BE106" s="14">
        <f>BD106*VLOOKUP('Données projet'!$B$11,Paramètres!$A$1:$I$89,3,0)*VLOOKUP('Données projet'!$B$11,Paramètres!$A$1:$I$89,5,0)</f>
        <v>110.56656000000004</v>
      </c>
      <c r="BF106" s="14">
        <f t="shared" si="91"/>
        <v>29.464430590067003</v>
      </c>
      <c r="BG106" s="22">
        <f t="shared" si="61"/>
        <v>243.8873086110334</v>
      </c>
      <c r="BH106" s="62">
        <f t="shared" si="62"/>
        <v>537.22064194436666</v>
      </c>
      <c r="BI106" s="62">
        <f ca="1">AVERAGE(OFFSET($BH$3,0,0,'Données projet'!$E$11+1,1))-AVERAGE(OFFSET($H$3,0,0,'Données projet'!$E$11+1,1))</f>
        <v>138.3429338270858</v>
      </c>
      <c r="BJ106" s="62">
        <f t="shared" si="92"/>
        <v>88.30225651635925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16.424702153860853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16.424702153860853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3.4</v>
      </c>
      <c r="BY106" s="13">
        <f>IF('Données projet'!$A$114&gt;35,BY105+BX106-CG105,IF(A106&lt;'Données projet'!$A$114,$BV$205^A106,IF(A106='Données projet'!$A$114,'Données projet'!$B$114,BY105+BX106-CG105)))</f>
        <v>122.20000000000005</v>
      </c>
      <c r="BZ106" s="14">
        <f>BY106*VLOOKUP('Données projet'!$B$12,Paramètres!$A$1:$I$89,3,0)*VLOOKUP('Données projet'!$B$12,Paramètres!$A$1:$I$89,5,0)</f>
        <v>102.94128000000005</v>
      </c>
      <c r="CA106" s="14">
        <f t="shared" si="93"/>
        <v>27.661530368687725</v>
      </c>
      <c r="CB106" s="22">
        <f t="shared" si="64"/>
        <v>227.46656139213121</v>
      </c>
      <c r="CC106" s="62">
        <f t="shared" si="65"/>
        <v>520.79989472546458</v>
      </c>
      <c r="CD106" s="62">
        <f ca="1">AVERAGE(OFFSET($CC$3,0,0,'Données projet'!$E$12+1,1))-AVERAGE(OFFSET($H$3,0,0,'Données projet'!$E$12+1,1))</f>
        <v>122.57815304102127</v>
      </c>
      <c r="CE106" s="62">
        <f t="shared" si="94"/>
        <v>80.106609825870578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15.291964074284241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15.291964074284241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-3.7243808037601412E-14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199.99826357281154</v>
      </c>
      <c r="CZ106" s="62">
        <f t="shared" si="96"/>
        <v>214.67424457475136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39.806869320493995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39.806869320493995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-5.6843418860808015E-14</v>
      </c>
      <c r="DP106" s="18">
        <f>DO106*VLOOKUP('Données projet'!$B$14,Paramètres!$A$1:$I$89,3,0)*VLOOKUP('Données projet'!$B$14,Paramètres!$A$1:$I$89,5,0)</f>
        <v>-4.5224624045658861E-14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248.15263300983543</v>
      </c>
      <c r="DU106" s="62">
        <f t="shared" si="98"/>
        <v>266.46511459244618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59.578055245456937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59.578055245456937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-5.6843418860808015E-14</v>
      </c>
      <c r="EK106" s="18">
        <f>EJ106*VLOOKUP('Données projet'!$B$15,Paramètres!$A$1:$I$89,3,0)*VLOOKUP('Données projet'!$B$15,Paramètres!$A$1:$I$89,5,0)</f>
        <v>-3.813056537183002E-14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205.35893113421139</v>
      </c>
      <c r="EP106" s="62">
        <f t="shared" si="100"/>
        <v>220.4399811285175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50.232477952051944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50.232477952051944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382.55387448074327</v>
      </c>
      <c r="T107" s="62">
        <f t="shared" si="88"/>
        <v>476.29465646955543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108.26769939919156</v>
      </c>
      <c r="AA107" s="23">
        <f>EXP(-LN(2)/25)*AA106+(1-EXP(-LN(2)/25))/(LN(2)/25)*Calculateur!V107*Calculateur!X107*VLOOKUP('Données projet'!$B$9,Paramètres!$A$1:$I$89,3,0)*0.475*44/12</f>
        <v>19.021181823340704</v>
      </c>
      <c r="AB107" s="23">
        <f>EXP(-LN(2)/2)*AB106+(1-EXP(-LN(2)/2))/(LN(2)/2)*V107*Y107*VLOOKUP('Données projet'!$B$9,Paramètres!$A$1:$I$89,3,0)*0.475*44/12</f>
        <v>1.3427937125041316E-5</v>
      </c>
      <c r="AC107" s="24">
        <f t="shared" si="57"/>
        <v>127.28889465046939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-3.4106051316484809E-13</v>
      </c>
      <c r="AJ107" s="14">
        <f>AI107*VLOOKUP('Données projet'!$B$10,Paramètres!$A$1:$I$89,3,0)*VLOOKUP('Données projet'!$B$10,Paramètres!$A$1:$I$89,5,0)</f>
        <v>-2.1282176021486519E-13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420.68062999212015</v>
      </c>
      <c r="AO107" s="62">
        <f t="shared" si="90"/>
        <v>655.24090633185676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178.13851643147788</v>
      </c>
      <c r="AV107" s="23">
        <f>EXP(-LN(2)/25)*AV106+(1-EXP(-LN(2)/25))/(LN(2)/25)*Calculateur!AQ107*Calculateur!AS107*VLOOKUP('Données projet'!$B$10,Paramètres!$A$1:$I$89,3,0)*0.475*44/12</f>
        <v>31.385657861427511</v>
      </c>
      <c r="AW107" s="23">
        <f>EXP(-LN(2)/2)*AW106+(1-EXP(-LN(2)/2))/(LN(2)/2)*AQ107*AT107*VLOOKUP('Données projet'!$B$10,Paramètres!$A$1:$I$89,3,0)*0.475*44/12</f>
        <v>4.4137910567020235E-3</v>
      </c>
      <c r="AX107" s="23">
        <f t="shared" si="60"/>
        <v>209.52858808396209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3.4</v>
      </c>
      <c r="BD107" s="13">
        <f>IF('Données projet'!$A$88&gt;35,BD106+BC107-BL106,IF(A107&lt;'Données projet'!$A$88,$BA$205^A107,IF(A107='Données projet'!$A$88,'Données projet'!$B$88,BD106+BC107-BL106)))</f>
        <v>125.60000000000005</v>
      </c>
      <c r="BE107" s="14">
        <f>BD107*VLOOKUP('Données projet'!$B$11,Paramètres!$A$1:$I$89,3,0)*VLOOKUP('Données projet'!$B$11,Paramètres!$A$1:$I$89,5,0)</f>
        <v>113.64288000000005</v>
      </c>
      <c r="BF107" s="14">
        <f t="shared" si="91"/>
        <v>30.187641268716654</v>
      </c>
      <c r="BG107" s="22">
        <f t="shared" si="61"/>
        <v>250.50482454301491</v>
      </c>
      <c r="BH107" s="62">
        <f t="shared" si="62"/>
        <v>543.83815787634819</v>
      </c>
      <c r="BI107" s="62">
        <f ca="1">AVERAGE(OFFSET($BH$3,0,0,'Données projet'!$E$11+1,1))-AVERAGE(OFFSET($H$3,0,0,'Données projet'!$E$11+1,1))</f>
        <v>138.3429338270858</v>
      </c>
      <c r="BJ107" s="62">
        <f t="shared" si="92"/>
        <v>88.30225651635925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16.102623762702752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16.102623762702752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3.4</v>
      </c>
      <c r="BY107" s="13">
        <f>IF('Données projet'!$A$114&gt;35,BY106+BX107-CG106,IF(A107&lt;'Données projet'!$A$114,$BV$205^A107,IF(A107='Données projet'!$A$114,'Données projet'!$B$114,BY106+BX107-CG106)))</f>
        <v>125.60000000000005</v>
      </c>
      <c r="BZ107" s="14">
        <f>BY107*VLOOKUP('Données projet'!$B$12,Paramètres!$A$1:$I$89,3,0)*VLOOKUP('Données projet'!$B$12,Paramètres!$A$1:$I$89,5,0)</f>
        <v>105.80544000000005</v>
      </c>
      <c r="CA107" s="14">
        <f t="shared" si="93"/>
        <v>28.340488480207132</v>
      </c>
      <c r="CB107" s="22">
        <f t="shared" si="64"/>
        <v>233.63749210302748</v>
      </c>
      <c r="CC107" s="62">
        <f t="shared" si="65"/>
        <v>526.97082543636077</v>
      </c>
      <c r="CD107" s="62">
        <f ca="1">AVERAGE(OFFSET($CC$3,0,0,'Données projet'!$E$12+1,1))-AVERAGE(OFFSET($H$3,0,0,'Données projet'!$E$12+1,1))</f>
        <v>122.57815304102127</v>
      </c>
      <c r="CE107" s="62">
        <f t="shared" si="94"/>
        <v>80.106609825870578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14.99209798596463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14.99209798596463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-3.7243808037601412E-14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199.99826357281154</v>
      </c>
      <c r="CZ107" s="62">
        <f t="shared" si="96"/>
        <v>214.67424457475136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39.026280892911963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39.026280892911963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-5.6843418860808015E-14</v>
      </c>
      <c r="DP107" s="18">
        <f>DO107*VLOOKUP('Données projet'!$B$14,Paramètres!$A$1:$I$89,3,0)*VLOOKUP('Données projet'!$B$14,Paramètres!$A$1:$I$89,5,0)</f>
        <v>-4.5224624045658861E-14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248.15263300983543</v>
      </c>
      <c r="DU107" s="62">
        <f t="shared" si="98"/>
        <v>266.46511459244618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58.409765921119046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58.409765921119046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-5.6843418860808015E-14</v>
      </c>
      <c r="EK107" s="18">
        <f>EJ107*VLOOKUP('Données projet'!$B$15,Paramètres!$A$1:$I$89,3,0)*VLOOKUP('Données projet'!$B$15,Paramètres!$A$1:$I$89,5,0)</f>
        <v>-3.813056537183002E-14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205.35893113421139</v>
      </c>
      <c r="EP107" s="62">
        <f t="shared" si="100"/>
        <v>220.4399811285175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49.24744969819843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49.24744969819843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382.55387448074327</v>
      </c>
      <c r="T108" s="62">
        <f t="shared" si="88"/>
        <v>476.29465646955543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106.14463585074945</v>
      </c>
      <c r="AA108" s="23">
        <f>EXP(-LN(2)/25)*AA107+(1-EXP(-LN(2)/25))/(LN(2)/25)*Calculateur!V108*Calculateur!X108*VLOOKUP('Données projet'!$B$9,Paramètres!$A$1:$I$89,3,0)*0.475*44/12</f>
        <v>18.501046606100974</v>
      </c>
      <c r="AB108" s="23">
        <f>EXP(-LN(2)/2)*AB107+(1-EXP(-LN(2)/2))/(LN(2)/2)*V108*Y108*VLOOKUP('Données projet'!$B$9,Paramètres!$A$1:$I$89,3,0)*0.475*44/12</f>
        <v>9.4949853984633079E-6</v>
      </c>
      <c r="AC108" s="24">
        <f t="shared" si="57"/>
        <v>124.64569195183581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-3.4106051316484809E-13</v>
      </c>
      <c r="AJ108" s="14">
        <f>AI108*VLOOKUP('Données projet'!$B$10,Paramètres!$A$1:$I$89,3,0)*VLOOKUP('Données projet'!$B$10,Paramètres!$A$1:$I$89,5,0)</f>
        <v>-2.1282176021486519E-13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420.68062999212015</v>
      </c>
      <c r="AO108" s="62">
        <f t="shared" si="90"/>
        <v>655.24090633185676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174.64532877802296</v>
      </c>
      <c r="AV108" s="23">
        <f>EXP(-LN(2)/25)*AV107+(1-EXP(-LN(2)/25))/(LN(2)/25)*Calculateur!AQ108*Calculateur!AS108*VLOOKUP('Données projet'!$B$10,Paramètres!$A$1:$I$89,3,0)*0.475*44/12</f>
        <v>30.527415396706761</v>
      </c>
      <c r="AW108" s="23">
        <f>EXP(-LN(2)/2)*AW107+(1-EXP(-LN(2)/2))/(LN(2)/2)*AQ108*AT108*VLOOKUP('Données projet'!$B$10,Paramètres!$A$1:$I$89,3,0)*0.475*44/12</f>
        <v>3.1210215869345382E-3</v>
      </c>
      <c r="AX108" s="23">
        <f t="shared" si="60"/>
        <v>205.17586519631666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3.4</v>
      </c>
      <c r="BD108" s="13">
        <f>IF('Données projet'!$A$88&gt;35,BD107+BC108-BL107,IF(A108&lt;'Données projet'!$A$88,$BA$205^A108,IF(A108='Données projet'!$A$88,'Données projet'!$B$88,BD107+BC108-BL107)))</f>
        <v>129.00000000000006</v>
      </c>
      <c r="BE108" s="14">
        <f>BD108*VLOOKUP('Données projet'!$B$11,Paramètres!$A$1:$I$89,3,0)*VLOOKUP('Données projet'!$B$11,Paramètres!$A$1:$I$89,5,0)</f>
        <v>116.71920000000004</v>
      </c>
      <c r="BF108" s="14">
        <f t="shared" si="91"/>
        <v>30.908576435525916</v>
      </c>
      <c r="BG108" s="22">
        <f t="shared" si="61"/>
        <v>257.11837729187437</v>
      </c>
      <c r="BH108" s="62">
        <f t="shared" si="62"/>
        <v>550.45171062520762</v>
      </c>
      <c r="BI108" s="62">
        <f ca="1">AVERAGE(OFFSET($BH$3,0,0,'Données projet'!$E$11+1,1))-AVERAGE(OFFSET($H$3,0,0,'Données projet'!$E$11+1,1))</f>
        <v>138.3429338270858</v>
      </c>
      <c r="BJ108" s="62">
        <f t="shared" si="92"/>
        <v>88.30225651635925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15.786861132346841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15.786861132346841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3.4</v>
      </c>
      <c r="BY108" s="13">
        <f>IF('Données projet'!$A$114&gt;35,BY107+BX108-CG107,IF(A108&lt;'Données projet'!$A$114,$BV$205^A108,IF(A108='Données projet'!$A$114,'Données projet'!$B$114,BY107+BX108-CG107)))</f>
        <v>129.00000000000006</v>
      </c>
      <c r="BZ108" s="14">
        <f>BY108*VLOOKUP('Données projet'!$B$12,Paramètres!$A$1:$I$89,3,0)*VLOOKUP('Données projet'!$B$12,Paramètres!$A$1:$I$89,5,0)</f>
        <v>108.66960000000006</v>
      </c>
      <c r="CA108" s="14">
        <f t="shared" si="93"/>
        <v>29.017310316271132</v>
      </c>
      <c r="CB108" s="22">
        <f t="shared" si="64"/>
        <v>239.80470213417229</v>
      </c>
      <c r="CC108" s="62">
        <f t="shared" si="65"/>
        <v>533.13803546750557</v>
      </c>
      <c r="CD108" s="62">
        <f ca="1">AVERAGE(OFFSET($CC$3,0,0,'Données projet'!$E$12+1,1))-AVERAGE(OFFSET($H$3,0,0,'Données projet'!$E$12+1,1))</f>
        <v>122.57815304102127</v>
      </c>
      <c r="CE108" s="62">
        <f t="shared" si="94"/>
        <v>80.106609825870578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14.698112088736712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14.698112088736712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-3.7243808037601412E-14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199.99826357281154</v>
      </c>
      <c r="CZ108" s="62">
        <f t="shared" si="96"/>
        <v>214.67424457475136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38.260999328282885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38.260999328282885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-5.6843418860808015E-14</v>
      </c>
      <c r="DP108" s="18">
        <f>DO108*VLOOKUP('Données projet'!$B$14,Paramètres!$A$1:$I$89,3,0)*VLOOKUP('Données projet'!$B$14,Paramètres!$A$1:$I$89,5,0)</f>
        <v>-4.5224624045658861E-14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248.15263300983543</v>
      </c>
      <c r="DU108" s="62">
        <f t="shared" si="98"/>
        <v>266.46511459244618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57.264386037845291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57.264386037845291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-5.6843418860808015E-14</v>
      </c>
      <c r="EK108" s="18">
        <f>EJ108*VLOOKUP('Données projet'!$B$15,Paramètres!$A$1:$I$89,3,0)*VLOOKUP('Données projet'!$B$15,Paramètres!$A$1:$I$89,5,0)</f>
        <v>-3.813056537183002E-14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205.35893113421139</v>
      </c>
      <c r="EP108" s="62">
        <f t="shared" si="100"/>
        <v>220.4399811285175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48.281737247595068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48.281737247595068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382.55387448074327</v>
      </c>
      <c r="T109" s="62">
        <f t="shared" si="88"/>
        <v>476.29465646955543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104.0632042835514</v>
      </c>
      <c r="AA109" s="23">
        <f>EXP(-LN(2)/25)*AA108+(1-EXP(-LN(2)/25))/(LN(2)/25)*Calculateur!V109*Calculateur!X109*VLOOKUP('Données projet'!$B$9,Paramètres!$A$1:$I$89,3,0)*0.475*44/12</f>
        <v>17.995134513729386</v>
      </c>
      <c r="AB109" s="23">
        <f>EXP(-LN(2)/2)*AB108+(1-EXP(-LN(2)/2))/(LN(2)/2)*V109*Y109*VLOOKUP('Données projet'!$B$9,Paramètres!$A$1:$I$89,3,0)*0.475*44/12</f>
        <v>6.7139685625206581E-6</v>
      </c>
      <c r="AC109" s="24">
        <f t="shared" si="57"/>
        <v>122.05834551124934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-3.4106051316484809E-13</v>
      </c>
      <c r="AJ109" s="14">
        <f>AI109*VLOOKUP('Données projet'!$B$10,Paramètres!$A$1:$I$89,3,0)*VLOOKUP('Données projet'!$B$10,Paramètres!$A$1:$I$89,5,0)</f>
        <v>-2.1282176021486519E-13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420.68062999212015</v>
      </c>
      <c r="AO109" s="62">
        <f t="shared" si="90"/>
        <v>655.24090633185676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171.22064040381821</v>
      </c>
      <c r="AV109" s="23">
        <f>EXP(-LN(2)/25)*AV108+(1-EXP(-LN(2)/25))/(LN(2)/25)*Calculateur!AQ109*Calculateur!AS109*VLOOKUP('Données projet'!$B$10,Paramètres!$A$1:$I$89,3,0)*0.475*44/12</f>
        <v>29.692641617316809</v>
      </c>
      <c r="AW109" s="23">
        <f>EXP(-LN(2)/2)*AW108+(1-EXP(-LN(2)/2))/(LN(2)/2)*AQ109*AT109*VLOOKUP('Données projet'!$B$10,Paramètres!$A$1:$I$89,3,0)*0.475*44/12</f>
        <v>2.2068955283510118E-3</v>
      </c>
      <c r="AX109" s="23">
        <f t="shared" si="60"/>
        <v>200.91548891666338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3.4</v>
      </c>
      <c r="BD109" s="13">
        <f>IF('Données projet'!$A$88&gt;35,BD108+BC109-BL108,IF(A109&lt;'Données projet'!$A$88,$BA$205^A109,IF(A109='Données projet'!$A$88,'Données projet'!$B$88,BD108+BC109-BL108)))</f>
        <v>132.40000000000006</v>
      </c>
      <c r="BE109" s="14">
        <f>BD109*VLOOKUP('Données projet'!$B$11,Paramètres!$A$1:$I$89,3,0)*VLOOKUP('Données projet'!$B$11,Paramètres!$A$1:$I$89,5,0)</f>
        <v>119.79552000000005</v>
      </c>
      <c r="BF109" s="14">
        <f t="shared" si="91"/>
        <v>31.627302959354271</v>
      </c>
      <c r="BG109" s="22">
        <f t="shared" si="61"/>
        <v>263.72808332087544</v>
      </c>
      <c r="BH109" s="62">
        <f t="shared" si="62"/>
        <v>557.06141665420876</v>
      </c>
      <c r="BI109" s="62">
        <f ca="1">AVERAGE(OFFSET($BH$3,0,0,'Données projet'!$E$11+1,1))-AVERAGE(OFFSET($H$3,0,0,'Données projet'!$E$11+1,1))</f>
        <v>138.3429338270858</v>
      </c>
      <c r="BJ109" s="62">
        <f t="shared" si="92"/>
        <v>88.30225651635925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15.477290414576022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15.477290414576022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3.4</v>
      </c>
      <c r="BY109" s="13">
        <f>IF('Données projet'!$A$114&gt;35,BY108+BX109-CG108,IF(A109&lt;'Données projet'!$A$114,$BV$205^A109,IF(A109='Données projet'!$A$114,'Données projet'!$B$114,BY108+BX109-CG108)))</f>
        <v>132.40000000000006</v>
      </c>
      <c r="BZ109" s="14">
        <f>BY109*VLOOKUP('Données projet'!$B$12,Paramètres!$A$1:$I$89,3,0)*VLOOKUP('Données projet'!$B$12,Paramètres!$A$1:$I$89,5,0)</f>
        <v>111.53376000000006</v>
      </c>
      <c r="CA109" s="14">
        <f t="shared" si="93"/>
        <v>29.692058654097856</v>
      </c>
      <c r="CB109" s="22">
        <f t="shared" si="64"/>
        <v>245.96830082255383</v>
      </c>
      <c r="CC109" s="62">
        <f t="shared" si="65"/>
        <v>539.30163415588709</v>
      </c>
      <c r="CD109" s="62">
        <f ca="1">AVERAGE(OFFSET($CC$3,0,0,'Données projet'!$E$12+1,1))-AVERAGE(OFFSET($H$3,0,0,'Données projet'!$E$12+1,1))</f>
        <v>122.57815304102127</v>
      </c>
      <c r="CE109" s="62">
        <f t="shared" si="94"/>
        <v>80.106609825870578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14.409891075639743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14.409891075639743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-3.7243808037601412E-14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199.99826357281154</v>
      </c>
      <c r="CZ109" s="62">
        <f t="shared" si="96"/>
        <v>214.67424457475136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37.510724468360522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37.510724468360522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-5.6843418860808015E-14</v>
      </c>
      <c r="DP109" s="18">
        <f>DO109*VLOOKUP('Données projet'!$B$14,Paramètres!$A$1:$I$89,3,0)*VLOOKUP('Données projet'!$B$14,Paramètres!$A$1:$I$89,5,0)</f>
        <v>-4.5224624045658861E-14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248.15263300983543</v>
      </c>
      <c r="DU109" s="62">
        <f t="shared" si="98"/>
        <v>266.46511459244618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56.141466355469795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56.141466355469795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-5.6843418860808015E-14</v>
      </c>
      <c r="EK109" s="18">
        <f>EJ109*VLOOKUP('Données projet'!$B$15,Paramètres!$A$1:$I$89,3,0)*VLOOKUP('Données projet'!$B$15,Paramètres!$A$1:$I$89,5,0)</f>
        <v>-3.813056537183002E-14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205.35893113421139</v>
      </c>
      <c r="EP109" s="62">
        <f t="shared" si="100"/>
        <v>220.4399811285175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47.33496182912161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47.33496182912161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382.55387448074327</v>
      </c>
      <c r="T110" s="62">
        <f t="shared" si="88"/>
        <v>476.29465646955543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102.02258831983821</v>
      </c>
      <c r="AA110" s="23">
        <f>EXP(-LN(2)/25)*AA109+(1-EXP(-LN(2)/25))/(LN(2)/25)*Calculateur!V110*Calculateur!X110*VLOOKUP('Données projet'!$B$9,Paramètres!$A$1:$I$89,3,0)*0.475*44/12</f>
        <v>17.503056614128461</v>
      </c>
      <c r="AB110" s="23">
        <f>EXP(-LN(2)/2)*AB109+(1-EXP(-LN(2)/2))/(LN(2)/2)*V110*Y110*VLOOKUP('Données projet'!$B$9,Paramètres!$A$1:$I$89,3,0)*0.475*44/12</f>
        <v>4.7474926992316539E-6</v>
      </c>
      <c r="AC110" s="24">
        <f t="shared" si="57"/>
        <v>119.52564968145937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-3.4106051316484809E-13</v>
      </c>
      <c r="AJ110" s="14">
        <f>AI110*VLOOKUP('Données projet'!$B$10,Paramètres!$A$1:$I$89,3,0)*VLOOKUP('Données projet'!$B$10,Paramètres!$A$1:$I$89,5,0)</f>
        <v>-2.1282176021486519E-13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420.68062999212015</v>
      </c>
      <c r="AO110" s="62">
        <f t="shared" si="90"/>
        <v>655.24090633185676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167.86310807977796</v>
      </c>
      <c r="AV110" s="23">
        <f>EXP(-LN(2)/25)*AV109+(1-EXP(-LN(2)/25))/(LN(2)/25)*Calculateur!AQ110*Calculateur!AS110*VLOOKUP('Données projet'!$B$10,Paramètres!$A$1:$I$89,3,0)*0.475*44/12</f>
        <v>28.880694770823123</v>
      </c>
      <c r="AW110" s="23">
        <f>EXP(-LN(2)/2)*AW109+(1-EXP(-LN(2)/2))/(LN(2)/2)*AQ110*AT110*VLOOKUP('Données projet'!$B$10,Paramètres!$A$1:$I$89,3,0)*0.475*44/12</f>
        <v>1.5605107934672691E-3</v>
      </c>
      <c r="AX110" s="23">
        <f t="shared" si="60"/>
        <v>196.74536336139454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3.4</v>
      </c>
      <c r="BD110" s="13">
        <f>IF('Données projet'!$A$88&gt;35,BD109+BC110-BL109,IF(A110&lt;'Données projet'!$A$88,$BA$205^A110,IF(A110='Données projet'!$A$88,'Données projet'!$B$88,BD109+BC110-BL109)))</f>
        <v>135.80000000000007</v>
      </c>
      <c r="BE110" s="14">
        <f>BD110*VLOOKUP('Données projet'!$B$11,Paramètres!$A$1:$I$89,3,0)*VLOOKUP('Données projet'!$B$11,Paramètres!$A$1:$I$89,5,0)</f>
        <v>122.87184000000006</v>
      </c>
      <c r="BF110" s="14">
        <f t="shared" si="91"/>
        <v>32.343884079052209</v>
      </c>
      <c r="BG110" s="22">
        <f t="shared" si="61"/>
        <v>270.33405277101605</v>
      </c>
      <c r="BH110" s="62">
        <f t="shared" si="62"/>
        <v>563.66738610434936</v>
      </c>
      <c r="BI110" s="62">
        <f ca="1">AVERAGE(OFFSET($BH$3,0,0,'Données projet'!$E$11+1,1))-AVERAGE(OFFSET($H$3,0,0,'Données projet'!$E$11+1,1))</f>
        <v>138.3429338270858</v>
      </c>
      <c r="BJ110" s="62">
        <f t="shared" si="92"/>
        <v>88.30225651635925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15.173790189761196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15.173790189761196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3.4</v>
      </c>
      <c r="BY110" s="13">
        <f>IF('Données projet'!$A$114&gt;35,BY109+BX110-CG109,IF(A110&lt;'Données projet'!$A$114,$BV$205^A110,IF(A110='Données projet'!$A$114,'Données projet'!$B$114,BY109+BX110-CG109)))</f>
        <v>135.80000000000007</v>
      </c>
      <c r="BZ110" s="14">
        <f>BY110*VLOOKUP('Données projet'!$B$12,Paramètres!$A$1:$I$89,3,0)*VLOOKUP('Données projet'!$B$12,Paramètres!$A$1:$I$89,5,0)</f>
        <v>114.39792000000006</v>
      </c>
      <c r="CA110" s="14">
        <f t="shared" si="93"/>
        <v>30.364792863013299</v>
      </c>
      <c r="CB110" s="22">
        <f t="shared" si="64"/>
        <v>252.12839156974823</v>
      </c>
      <c r="CC110" s="62">
        <f t="shared" si="65"/>
        <v>545.46172490308152</v>
      </c>
      <c r="CD110" s="62">
        <f ca="1">AVERAGE(OFFSET($CC$3,0,0,'Données projet'!$E$12+1,1))-AVERAGE(OFFSET($H$3,0,0,'Données projet'!$E$12+1,1))</f>
        <v>122.57815304102127</v>
      </c>
      <c r="CE110" s="62">
        <f t="shared" si="94"/>
        <v>80.106609825870578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14.127321900812147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14.127321900812147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-3.7243808037601412E-14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199.99826357281154</v>
      </c>
      <c r="CZ110" s="62">
        <f t="shared" si="96"/>
        <v>214.67424457475136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36.775162040818756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36.775162040818756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-5.6843418860808015E-14</v>
      </c>
      <c r="DP110" s="18">
        <f>DO110*VLOOKUP('Données projet'!$B$14,Paramètres!$A$1:$I$89,3,0)*VLOOKUP('Données projet'!$B$14,Paramètres!$A$1:$I$89,5,0)</f>
        <v>-4.5224624045658861E-14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248.15263300983543</v>
      </c>
      <c r="DU110" s="62">
        <f t="shared" si="98"/>
        <v>266.46511459244618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55.040566443152301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55.040566443152301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-5.6843418860808015E-14</v>
      </c>
      <c r="EK110" s="18">
        <f>EJ110*VLOOKUP('Données projet'!$B$15,Paramètres!$A$1:$I$89,3,0)*VLOOKUP('Données projet'!$B$15,Paramètres!$A$1:$I$89,5,0)</f>
        <v>-3.813056537183002E-14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205.35893113421139</v>
      </c>
      <c r="EP110" s="62">
        <f t="shared" si="100"/>
        <v>220.4399811285175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46.406752099128433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46.406752099128433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382.55387448074327</v>
      </c>
      <c r="T111" s="62">
        <f t="shared" si="88"/>
        <v>476.29465646955543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100.02198759052058</v>
      </c>
      <c r="AA111" s="23">
        <f>EXP(-LN(2)/25)*AA110+(1-EXP(-LN(2)/25))/(LN(2)/25)*Calculateur!V111*Calculateur!X111*VLOOKUP('Données projet'!$B$9,Paramètres!$A$1:$I$89,3,0)*0.475*44/12</f>
        <v>17.024434610569376</v>
      </c>
      <c r="AB111" s="23">
        <f>EXP(-LN(2)/2)*AB110+(1-EXP(-LN(2)/2))/(LN(2)/2)*V111*Y111*VLOOKUP('Données projet'!$B$9,Paramètres!$A$1:$I$89,3,0)*0.475*44/12</f>
        <v>3.3569842812603291E-6</v>
      </c>
      <c r="AC111" s="24">
        <f t="shared" si="57"/>
        <v>117.04642555807423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-3.4106051316484809E-13</v>
      </c>
      <c r="AJ111" s="14">
        <f>AI111*VLOOKUP('Données projet'!$B$10,Paramètres!$A$1:$I$89,3,0)*VLOOKUP('Données projet'!$B$10,Paramètres!$A$1:$I$89,5,0)</f>
        <v>-2.1282176021486519E-13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420.68062999212015</v>
      </c>
      <c r="AO111" s="62">
        <f t="shared" si="90"/>
        <v>655.24090633185676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164.57141491671962</v>
      </c>
      <c r="AV111" s="23">
        <f>EXP(-LN(2)/25)*AV110+(1-EXP(-LN(2)/25))/(LN(2)/25)*Calculateur!AQ111*Calculateur!AS111*VLOOKUP('Données projet'!$B$10,Paramètres!$A$1:$I$89,3,0)*0.475*44/12</f>
        <v>28.090950653545235</v>
      </c>
      <c r="AW111" s="23">
        <f>EXP(-LN(2)/2)*AW110+(1-EXP(-LN(2)/2))/(LN(2)/2)*AQ111*AT111*VLOOKUP('Données projet'!$B$10,Paramètres!$A$1:$I$89,3,0)*0.475*44/12</f>
        <v>1.1034477641755059E-3</v>
      </c>
      <c r="AX111" s="23">
        <f t="shared" si="60"/>
        <v>192.66346901802902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3.4</v>
      </c>
      <c r="BD111" s="13">
        <f>IF('Données projet'!$A$88&gt;35,BD110+BC111-BL110,IF(A111&lt;'Données projet'!$A$88,$BA$205^A111,IF(A111='Données projet'!$A$88,'Données projet'!$B$88,BD110+BC111-BL110)))</f>
        <v>139.20000000000007</v>
      </c>
      <c r="BE111" s="14">
        <f>BD111*VLOOKUP('Données projet'!$B$11,Paramètres!$A$1:$I$89,3,0)*VLOOKUP('Données projet'!$B$11,Paramètres!$A$1:$I$89,5,0)</f>
        <v>125.94816000000006</v>
      </c>
      <c r="BF111" s="14">
        <f t="shared" si="91"/>
        <v>33.058379686398517</v>
      </c>
      <c r="BG111" s="22">
        <f t="shared" si="61"/>
        <v>276.93638995381087</v>
      </c>
      <c r="BH111" s="62">
        <f t="shared" si="62"/>
        <v>570.26972328714419</v>
      </c>
      <c r="BI111" s="62">
        <f ca="1">AVERAGE(OFFSET($BH$3,0,0,'Données projet'!$E$11+1,1))-AVERAGE(OFFSET($H$3,0,0,'Données projet'!$E$11+1,1))</f>
        <v>138.3429338270858</v>
      </c>
      <c r="BJ111" s="62">
        <f t="shared" si="92"/>
        <v>88.30225651635925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14.876241419238129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14.876241419238129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3.4</v>
      </c>
      <c r="BY111" s="13">
        <f>IF('Données projet'!$A$114&gt;35,BY110+BX111-CG110,IF(A111&lt;'Données projet'!$A$114,$BV$205^A111,IF(A111='Données projet'!$A$114,'Données projet'!$B$114,BY110+BX111-CG110)))</f>
        <v>139.20000000000007</v>
      </c>
      <c r="BZ111" s="14">
        <f>BY111*VLOOKUP('Données projet'!$B$12,Paramètres!$A$1:$I$89,3,0)*VLOOKUP('Données projet'!$B$12,Paramètres!$A$1:$I$89,5,0)</f>
        <v>117.26208000000008</v>
      </c>
      <c r="CA111" s="14">
        <f t="shared" si="93"/>
        <v>31.035569170075775</v>
      </c>
      <c r="CB111" s="22">
        <f t="shared" si="64"/>
        <v>258.28507230454881</v>
      </c>
      <c r="CC111" s="62">
        <f t="shared" si="65"/>
        <v>551.61840563788212</v>
      </c>
      <c r="CD111" s="62">
        <f ca="1">AVERAGE(OFFSET($CC$3,0,0,'Données projet'!$E$12+1,1))-AVERAGE(OFFSET($H$3,0,0,'Données projet'!$E$12+1,1))</f>
        <v>122.57815304102127</v>
      </c>
      <c r="CE111" s="62">
        <f t="shared" si="94"/>
        <v>80.106609825870578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13.850293735152741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13.850293735152741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-3.7243808037601412E-14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199.99826357281154</v>
      </c>
      <c r="CZ111" s="62">
        <f t="shared" si="96"/>
        <v>214.67424457475136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36.054023543832301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36.054023543832301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-5.6843418860808015E-14</v>
      </c>
      <c r="DP111" s="18">
        <f>DO111*VLOOKUP('Données projet'!$B$14,Paramètres!$A$1:$I$89,3,0)*VLOOKUP('Données projet'!$B$14,Paramètres!$A$1:$I$89,5,0)</f>
        <v>-4.5224624045658861E-14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248.15263300983543</v>
      </c>
      <c r="DU111" s="62">
        <f t="shared" si="98"/>
        <v>266.46511459244618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53.961254506632713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53.961254506632713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-5.6843418860808015E-14</v>
      </c>
      <c r="EK111" s="18">
        <f>EJ111*VLOOKUP('Données projet'!$B$15,Paramètres!$A$1:$I$89,3,0)*VLOOKUP('Données projet'!$B$15,Paramètres!$A$1:$I$89,5,0)</f>
        <v>-3.813056537183002E-14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205.35893113421139</v>
      </c>
      <c r="EP111" s="62">
        <f t="shared" si="100"/>
        <v>220.4399811285175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45.496743995788385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45.496743995788385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382.55387448074327</v>
      </c>
      <c r="T112" s="62">
        <f t="shared" si="88"/>
        <v>476.29465646955543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98.060617421258925</v>
      </c>
      <c r="AA112" s="23">
        <f>EXP(-LN(2)/25)*AA111+(1-EXP(-LN(2)/25))/(LN(2)/25)*Calculateur!V112*Calculateur!X112*VLOOKUP('Données projet'!$B$9,Paramètres!$A$1:$I$89,3,0)*0.475*44/12</f>
        <v>16.55890055086725</v>
      </c>
      <c r="AB112" s="23">
        <f>EXP(-LN(2)/2)*AB111+(1-EXP(-LN(2)/2))/(LN(2)/2)*V112*Y112*VLOOKUP('Données projet'!$B$9,Paramètres!$A$1:$I$89,3,0)*0.475*44/12</f>
        <v>2.373746349615827E-6</v>
      </c>
      <c r="AC112" s="24">
        <f t="shared" si="57"/>
        <v>114.61952034587253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-3.4106051316484809E-13</v>
      </c>
      <c r="AJ112" s="14">
        <f>AI112*VLOOKUP('Données projet'!$B$10,Paramètres!$A$1:$I$89,3,0)*VLOOKUP('Données projet'!$B$10,Paramètres!$A$1:$I$89,5,0)</f>
        <v>-2.1282176021486519E-13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420.68062999212015</v>
      </c>
      <c r="AO112" s="62">
        <f t="shared" si="90"/>
        <v>655.24090633185676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161.34426984885428</v>
      </c>
      <c r="AV112" s="23">
        <f>EXP(-LN(2)/25)*AV111+(1-EXP(-LN(2)/25))/(LN(2)/25)*Calculateur!AQ112*Calculateur!AS112*VLOOKUP('Données projet'!$B$10,Paramètres!$A$1:$I$89,3,0)*0.475*44/12</f>
        <v>27.322802130685147</v>
      </c>
      <c r="AW112" s="23">
        <f>EXP(-LN(2)/2)*AW111+(1-EXP(-LN(2)/2))/(LN(2)/2)*AQ112*AT112*VLOOKUP('Données projet'!$B$10,Paramètres!$A$1:$I$89,3,0)*0.475*44/12</f>
        <v>7.8025539673363454E-4</v>
      </c>
      <c r="AX112" s="23">
        <f t="shared" si="60"/>
        <v>188.66785223493616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3.4</v>
      </c>
      <c r="BD112" s="13">
        <f>IF('Données projet'!$A$88&gt;35,BD111+BC112-BL111,IF(A112&lt;'Données projet'!$A$88,$BA$205^A112,IF(A112='Données projet'!$A$88,'Données projet'!$B$88,BD111+BC112-BL111)))</f>
        <v>142.60000000000008</v>
      </c>
      <c r="BE112" s="14">
        <f>BD112*VLOOKUP('Données projet'!$B$11,Paramètres!$A$1:$I$89,3,0)*VLOOKUP('Données projet'!$B$11,Paramètres!$A$1:$I$89,5,0)</f>
        <v>129.02448000000007</v>
      </c>
      <c r="BF112" s="14">
        <f t="shared" si="91"/>
        <v>33.770846580616279</v>
      </c>
      <c r="BG112" s="22">
        <f t="shared" si="61"/>
        <v>283.53519379457344</v>
      </c>
      <c r="BH112" s="62">
        <f t="shared" si="62"/>
        <v>576.86852712790676</v>
      </c>
      <c r="BI112" s="62">
        <f ca="1">AVERAGE(OFFSET($BH$3,0,0,'Données projet'!$E$11+1,1))-AVERAGE(OFFSET($H$3,0,0,'Données projet'!$E$11+1,1))</f>
        <v>138.3429338270858</v>
      </c>
      <c r="BJ112" s="62">
        <f t="shared" si="92"/>
        <v>88.30225651635925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14.58452739861819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14.58452739861819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3.4</v>
      </c>
      <c r="BY112" s="13">
        <f>IF('Données projet'!$A$114&gt;35,BY111+BX112-CG111,IF(A112&lt;'Données projet'!$A$114,$BV$205^A112,IF(A112='Données projet'!$A$114,'Données projet'!$B$114,BY111+BX112-CG111)))</f>
        <v>142.60000000000008</v>
      </c>
      <c r="BZ112" s="14">
        <f>BY112*VLOOKUP('Données projet'!$B$12,Paramètres!$A$1:$I$89,3,0)*VLOOKUP('Données projet'!$B$12,Paramètres!$A$1:$I$89,5,0)</f>
        <v>120.12624000000008</v>
      </c>
      <c r="CA112" s="14">
        <f t="shared" si="93"/>
        <v>31.704440899018472</v>
      </c>
      <c r="CB112" s="22">
        <f t="shared" si="64"/>
        <v>264.43843589912393</v>
      </c>
      <c r="CC112" s="62">
        <f t="shared" si="65"/>
        <v>557.77176923245725</v>
      </c>
      <c r="CD112" s="62">
        <f ca="1">AVERAGE(OFFSET($CC$3,0,0,'Données projet'!$E$12+1,1))-AVERAGE(OFFSET($H$3,0,0,'Données projet'!$E$12+1,1))</f>
        <v>122.57815304102127</v>
      </c>
      <c r="CE112" s="62">
        <f t="shared" si="94"/>
        <v>80.106609825870578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13.578697922851418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13.578697922851418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-3.7243808037601412E-14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199.99826357281154</v>
      </c>
      <c r="CZ112" s="62">
        <f t="shared" si="96"/>
        <v>214.67424457475136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35.347026132920703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35.347026132920703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-5.6843418860808015E-14</v>
      </c>
      <c r="DP112" s="18">
        <f>DO112*VLOOKUP('Données projet'!$B$14,Paramètres!$A$1:$I$89,3,0)*VLOOKUP('Données projet'!$B$14,Paramètres!$A$1:$I$89,5,0)</f>
        <v>-4.5224624045658861E-14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248.15263300983543</v>
      </c>
      <c r="DU112" s="62">
        <f t="shared" si="98"/>
        <v>266.46511459244618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52.903107218872996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52.903107218872996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-5.6843418860808015E-14</v>
      </c>
      <c r="EK112" s="18">
        <f>EJ112*VLOOKUP('Données projet'!$B$15,Paramètres!$A$1:$I$89,3,0)*VLOOKUP('Données projet'!$B$15,Paramètres!$A$1:$I$89,5,0)</f>
        <v>-3.813056537183002E-14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205.35893113421139</v>
      </c>
      <c r="EP112" s="62">
        <f t="shared" si="100"/>
        <v>220.4399811285175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44.6045805963047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44.6045805963047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382.55387448074327</v>
      </c>
      <c r="T113" s="62">
        <f t="shared" si="88"/>
        <v>476.29465646955543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96.137708524698809</v>
      </c>
      <c r="AA113" s="23">
        <f>EXP(-LN(2)/25)*AA112+(1-EXP(-LN(2)/25))/(LN(2)/25)*Calculateur!V113*Calculateur!X113*VLOOKUP('Données projet'!$B$9,Paramètres!$A$1:$I$89,3,0)*0.475*44/12</f>
        <v>16.10609654450905</v>
      </c>
      <c r="AB113" s="23">
        <f>EXP(-LN(2)/2)*AB112+(1-EXP(-LN(2)/2))/(LN(2)/2)*V113*Y113*VLOOKUP('Données projet'!$B$9,Paramètres!$A$1:$I$89,3,0)*0.475*44/12</f>
        <v>1.6784921406301645E-6</v>
      </c>
      <c r="AC113" s="24">
        <f t="shared" si="57"/>
        <v>112.24380674770001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-3.4106051316484809E-13</v>
      </c>
      <c r="AJ113" s="14">
        <f>AI113*VLOOKUP('Données projet'!$B$10,Paramètres!$A$1:$I$89,3,0)*VLOOKUP('Données projet'!$B$10,Paramètres!$A$1:$I$89,5,0)</f>
        <v>-2.1282176021486519E-13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420.68062999212015</v>
      </c>
      <c r="AO113" s="62">
        <f t="shared" si="90"/>
        <v>655.24090633185676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158.18040712740566</v>
      </c>
      <c r="AV113" s="23">
        <f>EXP(-LN(2)/25)*AV112+(1-EXP(-LN(2)/25))/(LN(2)/25)*Calculateur!AQ113*Calculateur!AS113*VLOOKUP('Données projet'!$B$10,Paramètres!$A$1:$I$89,3,0)*0.475*44/12</f>
        <v>26.575658669577845</v>
      </c>
      <c r="AW113" s="23">
        <f>EXP(-LN(2)/2)*AW112+(1-EXP(-LN(2)/2))/(LN(2)/2)*AQ113*AT113*VLOOKUP('Données projet'!$B$10,Paramètres!$A$1:$I$89,3,0)*0.475*44/12</f>
        <v>5.5172388208775294E-4</v>
      </c>
      <c r="AX113" s="23">
        <f t="shared" si="60"/>
        <v>184.7566175208656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146</v>
      </c>
      <c r="BB113" s="13">
        <f>VLOOKUP(A113,'Données projet'!$A$87:$I$107,9,0)</f>
        <v>3.4</v>
      </c>
      <c r="BC113" s="13">
        <f t="array" ref="BC113">INDEX(BB:BB,MIN(IF(ISNUMBER(BB113:BB309),ROW(BB113:BB309),"")))</f>
        <v>3.4</v>
      </c>
      <c r="BD113" s="13">
        <f>IF('Données projet'!$A$88&gt;35,BD112+BC113-BL112,IF(A113&lt;'Données projet'!$A$88,$BA$205^A113,IF(A113='Données projet'!$A$88,'Données projet'!$B$88,BD112+BC113-BL112)))</f>
        <v>146.00000000000009</v>
      </c>
      <c r="BE113" s="14">
        <f>BD113*VLOOKUP('Données projet'!$B$11,Paramètres!$A$1:$I$89,3,0)*VLOOKUP('Données projet'!$B$11,Paramètres!$A$1:$I$89,5,0)</f>
        <v>132.10080000000008</v>
      </c>
      <c r="BF113" s="14">
        <f t="shared" si="91"/>
        <v>34.48133869793115</v>
      </c>
      <c r="BG113" s="22">
        <f t="shared" si="61"/>
        <v>290.13055823223016</v>
      </c>
      <c r="BH113" s="62">
        <f t="shared" si="62"/>
        <v>583.46389156556347</v>
      </c>
      <c r="BI113" s="62">
        <f ca="1">AVERAGE(OFFSET($BH$3,0,0,'Données projet'!$E$11+1,1))-AVERAGE(OFFSET($H$3,0,0,'Données projet'!$E$11+1,1))</f>
        <v>138.3429338270858</v>
      </c>
      <c r="BJ113" s="62">
        <f t="shared" si="92"/>
        <v>88.30225651635925</v>
      </c>
      <c r="BK113" s="16">
        <f>IF(ISNA(VLOOKUP(A113,'Données projet'!$A$87:$I$107,3,0)),0,VLOOKUP(A113,'Données projet'!$A$87:$I$107,3,0))</f>
        <v>7</v>
      </c>
      <c r="BL113" s="16">
        <f>IF(ISNA(VLOOKUP(A113,'Données projet'!$A$87:$I$107,4,0)),0,VLOOKUP(A113,'Données projet'!$A$87:$I$107,4,0))</f>
        <v>24</v>
      </c>
      <c r="BM113" s="17">
        <f>IF(ISNA(VLOOKUP(A113,'Données projet'!$A$87:$I$107,5,0)),0%,VLOOKUP(A113,'Données projet'!$A$87:$I$107,5,0)*VLOOKUP('Données projet'!$B$11,Paramètres!$A$1:$I$89,7,0))</f>
        <v>0.30099999999999999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21.524192338090437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21.524192338090437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146</v>
      </c>
      <c r="BW113" s="13">
        <f>VLOOKUP(A113,'Données projet'!$A$113:$I$133,9,0)</f>
        <v>3.4</v>
      </c>
      <c r="BX113" s="13">
        <f t="array" ref="BX113">INDEX(BW:BW,MIN(IF(ISNUMBER(BW113:BW309),ROW(BW113:BW309),"")))</f>
        <v>3.4</v>
      </c>
      <c r="BY113" s="13">
        <f>IF('Données projet'!$A$114&gt;35,BY112+BX113-CG112,IF(A113&lt;'Données projet'!$A$114,$BV$205^A113,IF(A113='Données projet'!$A$114,'Données projet'!$B$114,BY112+BX113-CG112)))</f>
        <v>146.00000000000009</v>
      </c>
      <c r="BZ113" s="14">
        <f>BY113*VLOOKUP('Données projet'!$B$12,Paramètres!$A$1:$I$89,3,0)*VLOOKUP('Données projet'!$B$12,Paramètres!$A$1:$I$89,5,0)</f>
        <v>122.99040000000008</v>
      </c>
      <c r="CA113" s="14">
        <f t="shared" si="93"/>
        <v>32.371458685761105</v>
      </c>
      <c r="CB113" s="22">
        <f t="shared" si="64"/>
        <v>270.58857054436737</v>
      </c>
      <c r="CC113" s="62">
        <f t="shared" si="65"/>
        <v>563.92190387770074</v>
      </c>
      <c r="CD113" s="62">
        <f ca="1">AVERAGE(OFFSET($CC$3,0,0,'Données projet'!$E$12+1,1))-AVERAGE(OFFSET($H$3,0,0,'Données projet'!$E$12+1,1))</f>
        <v>122.57815304102127</v>
      </c>
      <c r="CE113" s="62">
        <f t="shared" si="94"/>
        <v>80.106609825870578</v>
      </c>
      <c r="CF113" s="16">
        <f>IF(ISNA(VLOOKUP(A113,'Données projet'!$A$113:$I$133,3,0)),0,VLOOKUP(A113,'Données projet'!$A$113:$I$133,3,0))</f>
        <v>7</v>
      </c>
      <c r="CG113" s="16">
        <f>IF(ISNA(VLOOKUP(A113,'Données projet'!$A$113:$I$133,4,0)),0,VLOOKUP(A113,'Données projet'!$A$113:$I$133,4,0))</f>
        <v>24</v>
      </c>
      <c r="CH113" s="17">
        <f>IF(ISNA(VLOOKUP(A113,'Données projet'!$A$113:$I$133,5,0)),0%,VLOOKUP(A113,'Données projet'!$A$113:$I$133,5,0)*VLOOKUP('Données projet'!$B$12,Paramètres!$A$1:$I$89,7,0))</f>
        <v>0.30099999999999999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20.039765280291096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20.039765280291096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-3.7243808037601412E-14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199.99826357281154</v>
      </c>
      <c r="CZ113" s="62">
        <f t="shared" si="96"/>
        <v>214.67424457475136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34.653892510011239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34.653892510011239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-5.6843418860808015E-14</v>
      </c>
      <c r="DP113" s="18">
        <f>DO113*VLOOKUP('Données projet'!$B$14,Paramètres!$A$1:$I$89,3,0)*VLOOKUP('Données projet'!$B$14,Paramètres!$A$1:$I$89,5,0)</f>
        <v>-4.5224624045658861E-14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248.15263300983543</v>
      </c>
      <c r="DU113" s="62">
        <f t="shared" si="98"/>
        <v>266.46511459244618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51.865709554020128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51.865709554020128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-5.6843418860808015E-14</v>
      </c>
      <c r="EK113" s="18">
        <f>EJ113*VLOOKUP('Données projet'!$B$15,Paramètres!$A$1:$I$89,3,0)*VLOOKUP('Données projet'!$B$15,Paramètres!$A$1:$I$89,5,0)</f>
        <v>-3.813056537183002E-14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205.35893113421139</v>
      </c>
      <c r="EP113" s="62">
        <f t="shared" si="100"/>
        <v>220.4399811285175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43.729911976918949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43.729911976918949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382.55387448074327</v>
      </c>
      <c r="T114" s="62">
        <f t="shared" si="88"/>
        <v>476.29465646955543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94.252506698741627</v>
      </c>
      <c r="AA114" s="23">
        <f>EXP(-LN(2)/25)*AA113+(1-EXP(-LN(2)/25))/(LN(2)/25)*Calculateur!V114*Calculateur!X114*VLOOKUP('Données projet'!$B$9,Paramètres!$A$1:$I$89,3,0)*0.475*44/12</f>
        <v>15.665674487516643</v>
      </c>
      <c r="AB114" s="23">
        <f>EXP(-LN(2)/2)*AB113+(1-EXP(-LN(2)/2))/(LN(2)/2)*V114*Y114*VLOOKUP('Données projet'!$B$9,Paramètres!$A$1:$I$89,3,0)*0.475*44/12</f>
        <v>1.1868731748079135E-6</v>
      </c>
      <c r="AC114" s="24">
        <f t="shared" si="57"/>
        <v>109.91818237313144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-3.4106051316484809E-13</v>
      </c>
      <c r="AJ114" s="14">
        <f>AI114*VLOOKUP('Données projet'!$B$10,Paramètres!$A$1:$I$89,3,0)*VLOOKUP('Données projet'!$B$10,Paramètres!$A$1:$I$89,5,0)</f>
        <v>-2.1282176021486519E-13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420.68062999212015</v>
      </c>
      <c r="AO114" s="62">
        <f t="shared" si="90"/>
        <v>655.24090633185676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155.07858582415892</v>
      </c>
      <c r="AV114" s="23">
        <f>EXP(-LN(2)/25)*AV113+(1-EXP(-LN(2)/25))/(LN(2)/25)*Calculateur!AQ114*Calculateur!AS114*VLOOKUP('Données projet'!$B$10,Paramètres!$A$1:$I$89,3,0)*0.475*44/12</f>
        <v>25.848945885705088</v>
      </c>
      <c r="AW114" s="23">
        <f>EXP(-LN(2)/2)*AW113+(1-EXP(-LN(2)/2))/(LN(2)/2)*AQ114*AT114*VLOOKUP('Données projet'!$B$10,Paramètres!$A$1:$I$89,3,0)*0.475*44/12</f>
        <v>3.9012769836681727E-4</v>
      </c>
      <c r="AX114" s="23">
        <f t="shared" si="60"/>
        <v>180.92792183756237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3.0833333333333335</v>
      </c>
      <c r="BD114" s="13">
        <f>IF('Données projet'!$A$88&gt;35,BD113+BC114-BL113,IF(A114&lt;'Données projet'!$A$88,$BA$205^A114,IF(A114='Données projet'!$A$88,'Données projet'!$B$88,BD113+BC114-BL113)))</f>
        <v>125.08333333333343</v>
      </c>
      <c r="BE114" s="14">
        <f>BD114*VLOOKUP('Données projet'!$B$11,Paramètres!$A$1:$I$89,3,0)*VLOOKUP('Données projet'!$B$11,Paramètres!$A$1:$I$89,5,0)</f>
        <v>113.1754000000001</v>
      </c>
      <c r="BF114" s="14">
        <f t="shared" si="91"/>
        <v>30.077889933236836</v>
      </c>
      <c r="BG114" s="22">
        <f t="shared" si="61"/>
        <v>249.49947996705433</v>
      </c>
      <c r="BH114" s="62">
        <f t="shared" si="62"/>
        <v>542.83281330038767</v>
      </c>
      <c r="BI114" s="62">
        <f ca="1">AVERAGE(OFFSET($BH$3,0,0,'Données projet'!$E$11+1,1))-AVERAGE(OFFSET($H$3,0,0,'Données projet'!$E$11+1,1))</f>
        <v>138.3429338270858</v>
      </c>
      <c r="BJ114" s="62">
        <f t="shared" si="92"/>
        <v>88.30225651635925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21.102116054801481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21.102116054801481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3.0833333333333335</v>
      </c>
      <c r="BY114" s="13">
        <f>IF('Données projet'!$A$114&gt;35,BY113+BX114-CG113,IF(A114&lt;'Données projet'!$A$114,$BV$205^A114,IF(A114='Données projet'!$A$114,'Données projet'!$B$114,BY113+BX114-CG113)))</f>
        <v>125.08333333333343</v>
      </c>
      <c r="BZ114" s="14">
        <f>BY114*VLOOKUP('Données projet'!$B$12,Paramètres!$A$1:$I$89,3,0)*VLOOKUP('Données projet'!$B$12,Paramètres!$A$1:$I$89,5,0)</f>
        <v>105.3702000000001</v>
      </c>
      <c r="CA114" s="14">
        <f t="shared" si="93"/>
        <v>28.237452723581907</v>
      </c>
      <c r="CB114" s="22">
        <f t="shared" si="64"/>
        <v>232.69999516023861</v>
      </c>
      <c r="CC114" s="62">
        <f t="shared" si="65"/>
        <v>526.03332849357196</v>
      </c>
      <c r="CD114" s="62">
        <f ca="1">AVERAGE(OFFSET($CC$3,0,0,'Données projet'!$E$12+1,1))-AVERAGE(OFFSET($H$3,0,0,'Données projet'!$E$12+1,1))</f>
        <v>122.57815304102127</v>
      </c>
      <c r="CE114" s="62">
        <f t="shared" si="94"/>
        <v>80.106609825870578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19.646797706194484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19.646797706194484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-3.7243808037601412E-14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199.99826357281154</v>
      </c>
      <c r="CZ114" s="62">
        <f t="shared" si="96"/>
        <v>214.67424457475136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33.974350814677265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33.974350814677265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-5.6843418860808015E-14</v>
      </c>
      <c r="DP114" s="18">
        <f>DO114*VLOOKUP('Données projet'!$B$14,Paramètres!$A$1:$I$89,3,0)*VLOOKUP('Données projet'!$B$14,Paramètres!$A$1:$I$89,5,0)</f>
        <v>-4.5224624045658861E-14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248.15263300983543</v>
      </c>
      <c r="DU114" s="62">
        <f t="shared" si="98"/>
        <v>266.46511459244618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50.848654624624928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50.848654624624928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-5.6843418860808015E-14</v>
      </c>
      <c r="EK114" s="18">
        <f>EJ114*VLOOKUP('Données projet'!$B$15,Paramètres!$A$1:$I$89,3,0)*VLOOKUP('Données projet'!$B$15,Paramètres!$A$1:$I$89,5,0)</f>
        <v>-3.813056537183002E-14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205.35893113421139</v>
      </c>
      <c r="EP114" s="62">
        <f t="shared" si="100"/>
        <v>220.4399811285175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42.872395075664173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42.872395075664173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382.55387448074327</v>
      </c>
      <c r="T115" s="62">
        <f t="shared" si="88"/>
        <v>476.29465646955543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92.404272530731888</v>
      </c>
      <c r="AA115" s="23">
        <f>EXP(-LN(2)/25)*AA114+(1-EXP(-LN(2)/25))/(LN(2)/25)*Calculateur!V115*Calculateur!X115*VLOOKUP('Données projet'!$B$9,Paramètres!$A$1:$I$89,3,0)*0.475*44/12</f>
        <v>15.237295794833484</v>
      </c>
      <c r="AB115" s="23">
        <f>EXP(-LN(2)/2)*AB114+(1-EXP(-LN(2)/2))/(LN(2)/2)*V115*Y115*VLOOKUP('Données projet'!$B$9,Paramètres!$A$1:$I$89,3,0)*0.475*44/12</f>
        <v>8.3924607031508227E-7</v>
      </c>
      <c r="AC115" s="24">
        <f t="shared" si="57"/>
        <v>107.64156916481144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-3.4106051316484809E-13</v>
      </c>
      <c r="AJ115" s="14">
        <f>AI115*VLOOKUP('Données projet'!$B$10,Paramètres!$A$1:$I$89,3,0)*VLOOKUP('Données projet'!$B$10,Paramètres!$A$1:$I$89,5,0)</f>
        <v>-2.1282176021486519E-13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420.68062999212015</v>
      </c>
      <c r="AO115" s="62">
        <f t="shared" si="90"/>
        <v>655.24090633185676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152.03758934474467</v>
      </c>
      <c r="AV115" s="23">
        <f>EXP(-LN(2)/25)*AV114+(1-EXP(-LN(2)/25))/(LN(2)/25)*Calculateur!AQ115*Calculateur!AS115*VLOOKUP('Données projet'!$B$10,Paramètres!$A$1:$I$89,3,0)*0.475*44/12</f>
        <v>25.142105101123498</v>
      </c>
      <c r="AW115" s="23">
        <f>EXP(-LN(2)/2)*AW114+(1-EXP(-LN(2)/2))/(LN(2)/2)*AQ115*AT115*VLOOKUP('Données projet'!$B$10,Paramètres!$A$1:$I$89,3,0)*0.475*44/12</f>
        <v>2.7586194104387647E-4</v>
      </c>
      <c r="AX115" s="23">
        <f t="shared" si="60"/>
        <v>177.17997030780921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3.0833333333333335</v>
      </c>
      <c r="BD115" s="13">
        <f>IF('Données projet'!$A$88&gt;35,BD114+BC115-BL114,IF(A115&lt;'Données projet'!$A$88,$BA$205^A115,IF(A115='Données projet'!$A$88,'Données projet'!$B$88,BD114+BC115-BL114)))</f>
        <v>128.16666666666677</v>
      </c>
      <c r="BE115" s="14">
        <f>BD115*VLOOKUP('Données projet'!$B$11,Paramètres!$A$1:$I$89,3,0)*VLOOKUP('Données projet'!$B$11,Paramètres!$A$1:$I$89,5,0)</f>
        <v>115.96520000000008</v>
      </c>
      <c r="BF115" s="14">
        <f t="shared" si="91"/>
        <v>30.732083470875732</v>
      </c>
      <c r="BG115" s="22">
        <f t="shared" si="61"/>
        <v>255.49776871177539</v>
      </c>
      <c r="BH115" s="62">
        <f t="shared" si="62"/>
        <v>548.83110204510876</v>
      </c>
      <c r="BI115" s="62">
        <f ca="1">AVERAGE(OFFSET($BH$3,0,0,'Données projet'!$E$11+1,1))-AVERAGE(OFFSET($H$3,0,0,'Données projet'!$E$11+1,1))</f>
        <v>138.3429338270858</v>
      </c>
      <c r="BJ115" s="62">
        <f t="shared" si="92"/>
        <v>88.30225651635925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20.68831642998671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20.68831642998671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3.0833333333333335</v>
      </c>
      <c r="BY115" s="13">
        <f>IF('Données projet'!$A$114&gt;35,BY114+BX115-CG114,IF(A115&lt;'Données projet'!$A$114,$BV$205^A115,IF(A115='Données projet'!$A$114,'Données projet'!$B$114,BY114+BX115-CG114)))</f>
        <v>128.16666666666677</v>
      </c>
      <c r="BZ115" s="14">
        <f>BY115*VLOOKUP('Données projet'!$B$12,Paramètres!$A$1:$I$89,3,0)*VLOOKUP('Données projet'!$B$12,Paramètres!$A$1:$I$89,5,0)</f>
        <v>107.9676000000001</v>
      </c>
      <c r="CA115" s="14">
        <f t="shared" si="93"/>
        <v>28.85161678669121</v>
      </c>
      <c r="CB115" s="22">
        <f t="shared" si="64"/>
        <v>238.29346923682067</v>
      </c>
      <c r="CC115" s="62">
        <f t="shared" si="65"/>
        <v>531.62680257015404</v>
      </c>
      <c r="CD115" s="62">
        <f ca="1">AVERAGE(OFFSET($CC$3,0,0,'Données projet'!$E$12+1,1))-AVERAGE(OFFSET($H$3,0,0,'Données projet'!$E$12+1,1))</f>
        <v>122.57815304102127</v>
      </c>
      <c r="CE115" s="62">
        <f t="shared" si="94"/>
        <v>80.106609825870578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19.26153598653935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19.26153598653935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-3.7243808037601412E-14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199.99826357281154</v>
      </c>
      <c r="CZ115" s="62">
        <f t="shared" si="96"/>
        <v>214.67424457475136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33.308134517509281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33.308134517509281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-5.6843418860808015E-14</v>
      </c>
      <c r="DP115" s="18">
        <f>DO115*VLOOKUP('Données projet'!$B$14,Paramètres!$A$1:$I$89,3,0)*VLOOKUP('Données projet'!$B$14,Paramètres!$A$1:$I$89,5,0)</f>
        <v>-4.5224624045658861E-14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248.15263300983543</v>
      </c>
      <c r="DU115" s="62">
        <f t="shared" si="98"/>
        <v>266.46511459244618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49.851543522052914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49.851543522052914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-5.6843418860808015E-14</v>
      </c>
      <c r="EK115" s="18">
        <f>EJ115*VLOOKUP('Données projet'!$B$15,Paramètres!$A$1:$I$89,3,0)*VLOOKUP('Données projet'!$B$15,Paramètres!$A$1:$I$89,5,0)</f>
        <v>-3.813056537183002E-14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205.35893113421139</v>
      </c>
      <c r="EP115" s="62">
        <f t="shared" si="100"/>
        <v>220.4399811285175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42.031693557809341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42.031693557809341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382.55387448074327</v>
      </c>
      <c r="T116" s="62">
        <f t="shared" si="88"/>
        <v>476.29465646955543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90.592281107445288</v>
      </c>
      <c r="AA116" s="23">
        <f>EXP(-LN(2)/25)*AA115+(1-EXP(-LN(2)/25))/(LN(2)/25)*Calculateur!V116*Calculateur!X116*VLOOKUP('Données projet'!$B$9,Paramètres!$A$1:$I$89,3,0)*0.475*44/12</f>
        <v>14.820631140029201</v>
      </c>
      <c r="AB116" s="23">
        <f>EXP(-LN(2)/2)*AB115+(1-EXP(-LN(2)/2))/(LN(2)/2)*V116*Y116*VLOOKUP('Données projet'!$B$9,Paramètres!$A$1:$I$89,3,0)*0.475*44/12</f>
        <v>5.9343658740395674E-7</v>
      </c>
      <c r="AC116" s="24">
        <f t="shared" si="57"/>
        <v>105.41291284091108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-3.4106051316484809E-13</v>
      </c>
      <c r="AJ116" s="14">
        <f>AI116*VLOOKUP('Données projet'!$B$10,Paramètres!$A$1:$I$89,3,0)*VLOOKUP('Données projet'!$B$10,Paramètres!$A$1:$I$89,5,0)</f>
        <v>-2.1282176021486519E-13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420.68062999212015</v>
      </c>
      <c r="AO116" s="62">
        <f t="shared" si="90"/>
        <v>655.24090633185676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149.05622495146704</v>
      </c>
      <c r="AV116" s="23">
        <f>EXP(-LN(2)/25)*AV115+(1-EXP(-LN(2)/25))/(LN(2)/25)*Calculateur!AQ116*Calculateur!AS116*VLOOKUP('Données projet'!$B$10,Paramètres!$A$1:$I$89,3,0)*0.475*44/12</f>
        <v>24.454592914967431</v>
      </c>
      <c r="AW116" s="23">
        <f>EXP(-LN(2)/2)*AW115+(1-EXP(-LN(2)/2))/(LN(2)/2)*AQ116*AT116*VLOOKUP('Données projet'!$B$10,Paramètres!$A$1:$I$89,3,0)*0.475*44/12</f>
        <v>1.9506384918340864E-4</v>
      </c>
      <c r="AX116" s="23">
        <f t="shared" si="60"/>
        <v>173.51101293028367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3.0833333333333335</v>
      </c>
      <c r="BD116" s="13">
        <f>IF('Données projet'!$A$88&gt;35,BD115+BC116-BL115,IF(A116&lt;'Données projet'!$A$88,$BA$205^A116,IF(A116='Données projet'!$A$88,'Données projet'!$B$88,BD115+BC116-BL115)))</f>
        <v>131.25000000000011</v>
      </c>
      <c r="BE116" s="14">
        <f>BD116*VLOOKUP('Données projet'!$B$11,Paramètres!$A$1:$I$89,3,0)*VLOOKUP('Données projet'!$B$11,Paramètres!$A$1:$I$89,5,0)</f>
        <v>118.75500000000009</v>
      </c>
      <c r="BF116" s="14">
        <f t="shared" si="91"/>
        <v>31.384447472481</v>
      </c>
      <c r="BG116" s="22">
        <f t="shared" si="61"/>
        <v>261.49287101457122</v>
      </c>
      <c r="BH116" s="62">
        <f t="shared" si="62"/>
        <v>554.82620434790454</v>
      </c>
      <c r="BI116" s="62">
        <f ca="1">AVERAGE(OFFSET($BH$3,0,0,'Données projet'!$E$11+1,1))-AVERAGE(OFFSET($H$3,0,0,'Données projet'!$E$11+1,1))</f>
        <v>138.3429338270858</v>
      </c>
      <c r="BJ116" s="62">
        <f t="shared" si="92"/>
        <v>88.30225651635925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20.282631163421708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20.282631163421708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3.0833333333333335</v>
      </c>
      <c r="BY116" s="13">
        <f>IF('Données projet'!$A$114&gt;35,BY115+BX116-CG115,IF(A116&lt;'Données projet'!$A$114,$BV$205^A116,IF(A116='Données projet'!$A$114,'Données projet'!$B$114,BY115+BX116-CG115)))</f>
        <v>131.25000000000011</v>
      </c>
      <c r="BZ116" s="14">
        <f>BY116*VLOOKUP('Données projet'!$B$12,Paramètres!$A$1:$I$89,3,0)*VLOOKUP('Données projet'!$B$12,Paramètres!$A$1:$I$89,5,0)</f>
        <v>110.56500000000011</v>
      </c>
      <c r="CA116" s="14">
        <f t="shared" si="93"/>
        <v>29.464063261320391</v>
      </c>
      <c r="CB116" s="22">
        <f t="shared" si="64"/>
        <v>243.88395184679987</v>
      </c>
      <c r="CC116" s="62">
        <f t="shared" si="65"/>
        <v>537.21728518013322</v>
      </c>
      <c r="CD116" s="62">
        <f ca="1">AVERAGE(OFFSET($CC$3,0,0,'Données projet'!$E$12+1,1))-AVERAGE(OFFSET($H$3,0,0,'Données projet'!$E$12+1,1))</f>
        <v>122.57815304102127</v>
      </c>
      <c r="CE116" s="62">
        <f t="shared" si="94"/>
        <v>80.106609825870578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18.883829014220208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18.883829014220208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-3.7243808037601412E-14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199.99826357281154</v>
      </c>
      <c r="CZ116" s="62">
        <f t="shared" si="96"/>
        <v>214.67424457475136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32.654982315576945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32.654982315576945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-5.6843418860808015E-14</v>
      </c>
      <c r="DP116" s="18">
        <f>DO116*VLOOKUP('Données projet'!$B$14,Paramètres!$A$1:$I$89,3,0)*VLOOKUP('Données projet'!$B$14,Paramètres!$A$1:$I$89,5,0)</f>
        <v>-4.5224624045658861E-14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248.15263300983543</v>
      </c>
      <c r="DU116" s="62">
        <f t="shared" si="98"/>
        <v>266.46511459244618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48.873985160024617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48.873985160024617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-5.6843418860808015E-14</v>
      </c>
      <c r="EK116" s="18">
        <f>EJ116*VLOOKUP('Données projet'!$B$15,Paramètres!$A$1:$I$89,3,0)*VLOOKUP('Données projet'!$B$15,Paramètres!$A$1:$I$89,5,0)</f>
        <v>-3.813056537183002E-14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205.35893113421139</v>
      </c>
      <c r="EP116" s="62">
        <f t="shared" si="100"/>
        <v>220.4399811285175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41.207477683942344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41.207477683942344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382.55387448074327</v>
      </c>
      <c r="T117" s="62">
        <f t="shared" si="88"/>
        <v>476.29465646955543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88.815821730763702</v>
      </c>
      <c r="AA117" s="23">
        <f>EXP(-LN(2)/25)*AA116+(1-EXP(-LN(2)/25))/(LN(2)/25)*Calculateur!V117*Calculateur!X117*VLOOKUP('Données projet'!$B$9,Paramètres!$A$1:$I$89,3,0)*0.475*44/12</f>
        <v>14.415360202121985</v>
      </c>
      <c r="AB117" s="23">
        <f>EXP(-LN(2)/2)*AB116+(1-EXP(-LN(2)/2))/(LN(2)/2)*V117*Y117*VLOOKUP('Données projet'!$B$9,Paramètres!$A$1:$I$89,3,0)*0.475*44/12</f>
        <v>4.1962303515754113E-7</v>
      </c>
      <c r="AC117" s="24">
        <f t="shared" si="57"/>
        <v>103.23118235250872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-3.4106051316484809E-13</v>
      </c>
      <c r="AJ117" s="14">
        <f>AI117*VLOOKUP('Données projet'!$B$10,Paramètres!$A$1:$I$89,3,0)*VLOOKUP('Données projet'!$B$10,Paramètres!$A$1:$I$89,5,0)</f>
        <v>-2.1282176021486519E-13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420.68062999212015</v>
      </c>
      <c r="AO117" s="62">
        <f t="shared" si="90"/>
        <v>655.24090633185676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146.13332329548885</v>
      </c>
      <c r="AV117" s="23">
        <f>EXP(-LN(2)/25)*AV116+(1-EXP(-LN(2)/25))/(LN(2)/25)*Calculateur!AQ117*Calculateur!AS117*VLOOKUP('Données projet'!$B$10,Paramètres!$A$1:$I$89,3,0)*0.475*44/12</f>
        <v>23.785880785696499</v>
      </c>
      <c r="AW117" s="23">
        <f>EXP(-LN(2)/2)*AW116+(1-EXP(-LN(2)/2))/(LN(2)/2)*AQ117*AT117*VLOOKUP('Données projet'!$B$10,Paramètres!$A$1:$I$89,3,0)*0.475*44/12</f>
        <v>1.3793097052193824E-4</v>
      </c>
      <c r="AX117" s="23">
        <f t="shared" si="60"/>
        <v>169.91934201215585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3.0833333333333335</v>
      </c>
      <c r="BD117" s="13">
        <f>IF('Données projet'!$A$88&gt;35,BD116+BC117-BL116,IF(A117&lt;'Données projet'!$A$88,$BA$205^A117,IF(A117='Données projet'!$A$88,'Données projet'!$B$88,BD116+BC117-BL116)))</f>
        <v>134.33333333333346</v>
      </c>
      <c r="BE117" s="14">
        <f>BD117*VLOOKUP('Données projet'!$B$11,Paramètres!$A$1:$I$89,3,0)*VLOOKUP('Données projet'!$B$11,Paramètres!$A$1:$I$89,5,0)</f>
        <v>121.54480000000011</v>
      </c>
      <c r="BF117" s="14">
        <f t="shared" si="91"/>
        <v>32.035029863819865</v>
      </c>
      <c r="BG117" s="22">
        <f t="shared" si="61"/>
        <v>267.48487034615312</v>
      </c>
      <c r="BH117" s="62">
        <f t="shared" si="62"/>
        <v>560.81820367948649</v>
      </c>
      <c r="BI117" s="62">
        <f ca="1">AVERAGE(OFFSET($BH$3,0,0,'Données projet'!$E$11+1,1))-AVERAGE(OFFSET($H$3,0,0,'Données projet'!$E$11+1,1))</f>
        <v>138.3429338270858</v>
      </c>
      <c r="BJ117" s="62">
        <f t="shared" si="92"/>
        <v>88.30225651635925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19.884901137490466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19.884901137490466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3.0833333333333335</v>
      </c>
      <c r="BY117" s="13">
        <f>IF('Données projet'!$A$114&gt;35,BY116+BX117-CG116,IF(A117&lt;'Données projet'!$A$114,$BV$205^A117,IF(A117='Données projet'!$A$114,'Données projet'!$B$114,BY116+BX117-CG116)))</f>
        <v>134.33333333333346</v>
      </c>
      <c r="BZ117" s="14">
        <f>BY117*VLOOKUP('Données projet'!$B$12,Paramètres!$A$1:$I$89,3,0)*VLOOKUP('Données projet'!$B$12,Paramètres!$A$1:$I$89,5,0)</f>
        <v>113.16240000000012</v>
      </c>
      <c r="CA117" s="14">
        <f t="shared" si="93"/>
        <v>30.074837140704993</v>
      </c>
      <c r="CB117" s="22">
        <f t="shared" si="64"/>
        <v>249.47152135339471</v>
      </c>
      <c r="CC117" s="62">
        <f t="shared" si="65"/>
        <v>542.80485468672805</v>
      </c>
      <c r="CD117" s="62">
        <f ca="1">AVERAGE(OFFSET($CC$3,0,0,'Données projet'!$E$12+1,1))-AVERAGE(OFFSET($H$3,0,0,'Données projet'!$E$12+1,1))</f>
        <v>122.57815304102127</v>
      </c>
      <c r="CE117" s="62">
        <f t="shared" si="94"/>
        <v>80.106609825870578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18.513528645249739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18.513528645249739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-3.7243808037601412E-14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199.99826357281154</v>
      </c>
      <c r="CZ117" s="62">
        <f t="shared" si="96"/>
        <v>214.67424457475136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32.014638029940997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32.014638029940997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-5.6843418860808015E-14</v>
      </c>
      <c r="DP117" s="18">
        <f>DO117*VLOOKUP('Données projet'!$B$14,Paramètres!$A$1:$I$89,3,0)*VLOOKUP('Données projet'!$B$14,Paramètres!$A$1:$I$89,5,0)</f>
        <v>-4.5224624045658861E-14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248.15263300983543</v>
      </c>
      <c r="DU117" s="62">
        <f t="shared" si="98"/>
        <v>266.46511459244618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47.91559612122397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47.91559612122397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-5.6843418860808015E-14</v>
      </c>
      <c r="EK117" s="18">
        <f>EJ117*VLOOKUP('Données projet'!$B$15,Paramètres!$A$1:$I$89,3,0)*VLOOKUP('Données projet'!$B$15,Paramètres!$A$1:$I$89,5,0)</f>
        <v>-3.813056537183002E-14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205.35893113421139</v>
      </c>
      <c r="EP117" s="62">
        <f t="shared" si="100"/>
        <v>220.4399811285175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40.399424180639841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40.399424180639841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382.55387448074327</v>
      </c>
      <c r="T118" s="62">
        <f t="shared" si="88"/>
        <v>476.29465646955543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87.074197638925611</v>
      </c>
      <c r="AA118" s="23">
        <f>EXP(-LN(2)/25)*AA117+(1-EXP(-LN(2)/25))/(LN(2)/25)*Calculateur!V118*Calculateur!X118*VLOOKUP('Données projet'!$B$9,Paramètres!$A$1:$I$89,3,0)*0.475*44/12</f>
        <v>14.021171419324112</v>
      </c>
      <c r="AB118" s="23">
        <f>EXP(-LN(2)/2)*AB117+(1-EXP(-LN(2)/2))/(LN(2)/2)*V118*Y118*VLOOKUP('Données projet'!$B$9,Paramètres!$A$1:$I$89,3,0)*0.475*44/12</f>
        <v>2.9671829370197837E-7</v>
      </c>
      <c r="AC118" s="24">
        <f t="shared" si="57"/>
        <v>101.09536935496803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-3.4106051316484809E-13</v>
      </c>
      <c r="AJ118" s="14">
        <f>AI118*VLOOKUP('Données projet'!$B$10,Paramètres!$A$1:$I$89,3,0)*VLOOKUP('Données projet'!$B$10,Paramètres!$A$1:$I$89,5,0)</f>
        <v>-2.1282176021486519E-13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420.68062999212015</v>
      </c>
      <c r="AO118" s="62">
        <f t="shared" si="90"/>
        <v>655.24090633185676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143.26773795819042</v>
      </c>
      <c r="AV118" s="23">
        <f>EXP(-LN(2)/25)*AV117+(1-EXP(-LN(2)/25))/(LN(2)/25)*Calculateur!AQ118*Calculateur!AS118*VLOOKUP('Données projet'!$B$10,Paramètres!$A$1:$I$89,3,0)*0.475*44/12</f>
        <v>23.13545462476652</v>
      </c>
      <c r="AW118" s="23">
        <f>EXP(-LN(2)/2)*AW117+(1-EXP(-LN(2)/2))/(LN(2)/2)*AQ118*AT118*VLOOKUP('Données projet'!$B$10,Paramètres!$A$1:$I$89,3,0)*0.475*44/12</f>
        <v>9.7531924591704318E-5</v>
      </c>
      <c r="AX118" s="23">
        <f t="shared" si="60"/>
        <v>166.40329011488151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3.0833333333333335</v>
      </c>
      <c r="BD118" s="13">
        <f>IF('Données projet'!$A$88&gt;35,BD117+BC118-BL117,IF(A118&lt;'Données projet'!$A$88,$BA$205^A118,IF(A118='Données projet'!$A$88,'Données projet'!$B$88,BD117+BC118-BL117)))</f>
        <v>137.4166666666668</v>
      </c>
      <c r="BE118" s="14">
        <f>BD118*VLOOKUP('Données projet'!$B$11,Paramètres!$A$1:$I$89,3,0)*VLOOKUP('Données projet'!$B$11,Paramètres!$A$1:$I$89,5,0)</f>
        <v>124.33460000000012</v>
      </c>
      <c r="BF118" s="14">
        <f t="shared" si="91"/>
        <v>32.683876245042413</v>
      </c>
      <c r="BG118" s="22">
        <f t="shared" si="61"/>
        <v>273.47384612678246</v>
      </c>
      <c r="BH118" s="62">
        <f t="shared" si="62"/>
        <v>566.80717946011578</v>
      </c>
      <c r="BI118" s="62">
        <f ca="1">AVERAGE(OFFSET($BH$3,0,0,'Données projet'!$E$11+1,1))-AVERAGE(OFFSET($H$3,0,0,'Données projet'!$E$11+1,1))</f>
        <v>138.3429338270858</v>
      </c>
      <c r="BJ118" s="62">
        <f t="shared" si="92"/>
        <v>88.30225651635925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19.494970354776374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19.494970354776374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3.0833333333333335</v>
      </c>
      <c r="BY118" s="13">
        <f>IF('Données projet'!$A$114&gt;35,BY117+BX118-CG117,IF(A118&lt;'Données projet'!$A$114,$BV$205^A118,IF(A118='Données projet'!$A$114,'Données projet'!$B$114,BY117+BX118-CG117)))</f>
        <v>137.4166666666668</v>
      </c>
      <c r="BZ118" s="14">
        <f>BY118*VLOOKUP('Données projet'!$B$12,Paramètres!$A$1:$I$89,3,0)*VLOOKUP('Données projet'!$B$12,Paramètres!$A$1:$I$89,5,0)</f>
        <v>115.75980000000014</v>
      </c>
      <c r="CA118" s="14">
        <f t="shared" si="93"/>
        <v>30.683981234765689</v>
      </c>
      <c r="CB118" s="22">
        <f t="shared" si="64"/>
        <v>255.05625231721714</v>
      </c>
      <c r="CC118" s="62">
        <f t="shared" si="65"/>
        <v>548.38958565055043</v>
      </c>
      <c r="CD118" s="62">
        <f ca="1">AVERAGE(OFFSET($CC$3,0,0,'Données projet'!$E$12+1,1))-AVERAGE(OFFSET($H$3,0,0,'Données projet'!$E$12+1,1))</f>
        <v>122.57815304102127</v>
      </c>
      <c r="CE118" s="62">
        <f t="shared" si="94"/>
        <v>80.106609825870578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18.150489640653859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18.150489640653859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-3.7243808037601412E-14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199.99826357281154</v>
      </c>
      <c r="CZ118" s="62">
        <f t="shared" si="96"/>
        <v>214.67424457475136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31.38685050517492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31.38685050517492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-5.6843418860808015E-14</v>
      </c>
      <c r="DP118" s="18">
        <f>DO118*VLOOKUP('Données projet'!$B$14,Paramètres!$A$1:$I$89,3,0)*VLOOKUP('Données projet'!$B$14,Paramètres!$A$1:$I$89,5,0)</f>
        <v>-4.5224624045658861E-14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248.15263300983543</v>
      </c>
      <c r="DU118" s="62">
        <f t="shared" si="98"/>
        <v>266.46511459244618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46.976000506914609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46.976000506914609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-5.6843418860808015E-14</v>
      </c>
      <c r="EK118" s="18">
        <f>EJ118*VLOOKUP('Données projet'!$B$15,Paramètres!$A$1:$I$89,3,0)*VLOOKUP('Données projet'!$B$15,Paramètres!$A$1:$I$89,5,0)</f>
        <v>-3.813056537183002E-14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205.35893113421139</v>
      </c>
      <c r="EP118" s="62">
        <f t="shared" si="100"/>
        <v>220.4399811285175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39.607216113673125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39.607216113673125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382.55387448074327</v>
      </c>
      <c r="T119" s="62">
        <f t="shared" si="88"/>
        <v>476.29465646955543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85.36672573324266</v>
      </c>
      <c r="AA119" s="23">
        <f>EXP(-LN(2)/25)*AA118+(1-EXP(-LN(2)/25))/(LN(2)/25)*Calculateur!V119*Calculateur!X119*VLOOKUP('Données projet'!$B$9,Paramètres!$A$1:$I$89,3,0)*0.475*44/12</f>
        <v>13.637761749521335</v>
      </c>
      <c r="AB119" s="23">
        <f>EXP(-LN(2)/2)*AB118+(1-EXP(-LN(2)/2))/(LN(2)/2)*V119*Y119*VLOOKUP('Données projet'!$B$9,Paramètres!$A$1:$I$89,3,0)*0.475*44/12</f>
        <v>2.0981151757877057E-7</v>
      </c>
      <c r="AC119" s="24">
        <f t="shared" si="57"/>
        <v>99.004487692575509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-3.4106051316484809E-13</v>
      </c>
      <c r="AJ119" s="14">
        <f>AI119*VLOOKUP('Données projet'!$B$10,Paramètres!$A$1:$I$89,3,0)*VLOOKUP('Données projet'!$B$10,Paramètres!$A$1:$I$89,5,0)</f>
        <v>-2.1282176021486519E-13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420.68062999212015</v>
      </c>
      <c r="AO119" s="62">
        <f t="shared" si="90"/>
        <v>655.24090633185676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140.45834500152193</v>
      </c>
      <c r="AV119" s="23">
        <f>EXP(-LN(2)/25)*AV118+(1-EXP(-LN(2)/25))/(LN(2)/25)*Calculateur!AQ119*Calculateur!AS119*VLOOKUP('Données projet'!$B$10,Paramètres!$A$1:$I$89,3,0)*0.475*44/12</f>
        <v>22.502814401411598</v>
      </c>
      <c r="AW119" s="23">
        <f>EXP(-LN(2)/2)*AW118+(1-EXP(-LN(2)/2))/(LN(2)/2)*AQ119*AT119*VLOOKUP('Données projet'!$B$10,Paramètres!$A$1:$I$89,3,0)*0.475*44/12</f>
        <v>6.8965485260969118E-5</v>
      </c>
      <c r="AX119" s="23">
        <f t="shared" si="60"/>
        <v>162.9612283684188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3.0833333333333335</v>
      </c>
      <c r="BD119" s="13">
        <f>IF('Données projet'!$A$88&gt;35,BD118+BC119-BL118,IF(A119&lt;'Données projet'!$A$88,$BA$205^A119,IF(A119='Données projet'!$A$88,'Données projet'!$B$88,BD118+BC119-BL118)))</f>
        <v>140.50000000000014</v>
      </c>
      <c r="BE119" s="14">
        <f>BD119*VLOOKUP('Données projet'!$B$11,Paramètres!$A$1:$I$89,3,0)*VLOOKUP('Données projet'!$B$11,Paramètres!$A$1:$I$89,5,0)</f>
        <v>127.12440000000014</v>
      </c>
      <c r="BF119" s="14">
        <f t="shared" si="91"/>
        <v>33.331030053143557</v>
      </c>
      <c r="BG119" s="22">
        <f t="shared" si="61"/>
        <v>279.4598740092253</v>
      </c>
      <c r="BH119" s="62">
        <f t="shared" si="62"/>
        <v>572.79320734255862</v>
      </c>
      <c r="BI119" s="62">
        <f ca="1">AVERAGE(OFFSET($BH$3,0,0,'Données projet'!$E$11+1,1))-AVERAGE(OFFSET($H$3,0,0,'Données projet'!$E$11+1,1))</f>
        <v>138.3429338270858</v>
      </c>
      <c r="BJ119" s="62">
        <f t="shared" si="92"/>
        <v>88.30225651635925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19.112685876877009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19.112685876877009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3.0833333333333335</v>
      </c>
      <c r="BY119" s="13">
        <f>IF('Données projet'!$A$114&gt;35,BY118+BX119-CG118,IF(A119&lt;'Données projet'!$A$114,$BV$205^A119,IF(A119='Données projet'!$A$114,'Données projet'!$B$114,BY118+BX119-CG118)))</f>
        <v>140.50000000000014</v>
      </c>
      <c r="BZ119" s="14">
        <f>BY119*VLOOKUP('Données projet'!$B$12,Paramètres!$A$1:$I$89,3,0)*VLOOKUP('Données projet'!$B$12,Paramètres!$A$1:$I$89,5,0)</f>
        <v>118.35720000000012</v>
      </c>
      <c r="CA119" s="14">
        <f t="shared" si="93"/>
        <v>31.291536322629348</v>
      </c>
      <c r="CB119" s="22">
        <f t="shared" si="64"/>
        <v>260.63821576191305</v>
      </c>
      <c r="CC119" s="62">
        <f t="shared" si="65"/>
        <v>553.97154909524636</v>
      </c>
      <c r="CD119" s="62">
        <f ca="1">AVERAGE(OFFSET($CC$3,0,0,'Données projet'!$E$12+1,1))-AVERAGE(OFFSET($H$3,0,0,'Données projet'!$E$12+1,1))</f>
        <v>122.57815304102127</v>
      </c>
      <c r="CE119" s="62">
        <f t="shared" si="94"/>
        <v>80.106609825870578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17.794569609506176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17.794569609506176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-3.7243808037601412E-14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199.99826357281154</v>
      </c>
      <c r="CZ119" s="62">
        <f t="shared" si="96"/>
        <v>214.67424457475136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30.771373510856925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30.771373510856925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-5.6843418860808015E-14</v>
      </c>
      <c r="DP119" s="18">
        <f>DO119*VLOOKUP('Données projet'!$B$14,Paramètres!$A$1:$I$89,3,0)*VLOOKUP('Données projet'!$B$14,Paramètres!$A$1:$I$89,5,0)</f>
        <v>-4.5224624045658861E-14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248.15263300983543</v>
      </c>
      <c r="DU119" s="62">
        <f t="shared" si="98"/>
        <v>266.46511459244618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46.054829789505121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46.054829789505121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-5.6843418860808015E-14</v>
      </c>
      <c r="EK119" s="18">
        <f>EJ119*VLOOKUP('Données projet'!$B$15,Paramètres!$A$1:$I$89,3,0)*VLOOKUP('Données projet'!$B$15,Paramètres!$A$1:$I$89,5,0)</f>
        <v>-3.813056537183002E-14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205.35893113421139</v>
      </c>
      <c r="EP119" s="62">
        <f t="shared" si="100"/>
        <v>220.4399811285175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38.830542763700421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38.830542763700421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382.55387448074327</v>
      </c>
      <c r="T120" s="62">
        <f t="shared" si="88"/>
        <v>476.29465646955543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83.692736310175121</v>
      </c>
      <c r="AA120" s="23">
        <f>EXP(-LN(2)/25)*AA119+(1-EXP(-LN(2)/25))/(LN(2)/25)*Calculateur!V120*Calculateur!X120*VLOOKUP('Données projet'!$B$9,Paramètres!$A$1:$I$89,3,0)*0.475*44/12</f>
        <v>13.264836437301954</v>
      </c>
      <c r="AB120" s="23">
        <f>EXP(-LN(2)/2)*AB119+(1-EXP(-LN(2)/2))/(LN(2)/2)*V120*Y120*VLOOKUP('Données projet'!$B$9,Paramètres!$A$1:$I$89,3,0)*0.475*44/12</f>
        <v>1.4835914685098919E-7</v>
      </c>
      <c r="AC120" s="24">
        <f t="shared" si="57"/>
        <v>96.957572895836222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-3.4106051316484809E-13</v>
      </c>
      <c r="AJ120" s="14">
        <f>AI120*VLOOKUP('Données projet'!$B$10,Paramètres!$A$1:$I$89,3,0)*VLOOKUP('Données projet'!$B$10,Paramètres!$A$1:$I$89,5,0)</f>
        <v>-2.1282176021486519E-13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420.68062999212015</v>
      </c>
      <c r="AO120" s="62">
        <f t="shared" si="90"/>
        <v>655.24090633185676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137.70404252717321</v>
      </c>
      <c r="AV120" s="23">
        <f>EXP(-LN(2)/25)*AV119+(1-EXP(-LN(2)/25))/(LN(2)/25)*Calculateur!AQ120*Calculateur!AS120*VLOOKUP('Données projet'!$B$10,Paramètres!$A$1:$I$89,3,0)*0.475*44/12</f>
        <v>21.887473758233419</v>
      </c>
      <c r="AW120" s="23">
        <f>EXP(-LN(2)/2)*AW119+(1-EXP(-LN(2)/2))/(LN(2)/2)*AQ120*AT120*VLOOKUP('Données projet'!$B$10,Paramètres!$A$1:$I$89,3,0)*0.475*44/12</f>
        <v>4.8765962295852159E-5</v>
      </c>
      <c r="AX120" s="23">
        <f t="shared" si="60"/>
        <v>159.59156505136895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3.0833333333333335</v>
      </c>
      <c r="BD120" s="13">
        <f>IF('Données projet'!$A$88&gt;35,BD119+BC120-BL119,IF(A120&lt;'Données projet'!$A$88,$BA$205^A120,IF(A120='Données projet'!$A$88,'Données projet'!$B$88,BD119+BC120-BL119)))</f>
        <v>143.58333333333348</v>
      </c>
      <c r="BE120" s="14">
        <f>BD120*VLOOKUP('Données projet'!$B$11,Paramètres!$A$1:$I$89,3,0)*VLOOKUP('Données projet'!$B$11,Paramètres!$A$1:$I$89,5,0)</f>
        <v>129.91420000000014</v>
      </c>
      <c r="BF120" s="14">
        <f t="shared" si="91"/>
        <v>33.976532709761713</v>
      </c>
      <c r="BG120" s="22">
        <f t="shared" si="61"/>
        <v>285.4430261361685</v>
      </c>
      <c r="BH120" s="62">
        <f t="shared" si="62"/>
        <v>578.77635946950181</v>
      </c>
      <c r="BI120" s="62">
        <f ca="1">AVERAGE(OFFSET($BH$3,0,0,'Données projet'!$E$11+1,1))-AVERAGE(OFFSET($H$3,0,0,'Données projet'!$E$11+1,1))</f>
        <v>138.3429338270858</v>
      </c>
      <c r="BJ120" s="62">
        <f t="shared" si="92"/>
        <v>88.30225651635925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18.737897764418744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18.737897764418744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3.0833333333333335</v>
      </c>
      <c r="BY120" s="13">
        <f>IF('Données projet'!$A$114&gt;35,BY119+BX120-CG119,IF(A120&lt;'Données projet'!$A$114,$BV$205^A120,IF(A120='Données projet'!$A$114,'Données projet'!$B$114,BY119+BX120-CG119)))</f>
        <v>143.58333333333348</v>
      </c>
      <c r="BZ120" s="14">
        <f>BY120*VLOOKUP('Données projet'!$B$12,Paramètres!$A$1:$I$89,3,0)*VLOOKUP('Données projet'!$B$12,Paramètres!$A$1:$I$89,5,0)</f>
        <v>120.95460000000013</v>
      </c>
      <c r="CA120" s="14">
        <f t="shared" si="93"/>
        <v>31.897541291384155</v>
      </c>
      <c r="CB120" s="22">
        <f t="shared" si="64"/>
        <v>266.21747941582754</v>
      </c>
      <c r="CC120" s="62">
        <f t="shared" si="65"/>
        <v>559.55081274916085</v>
      </c>
      <c r="CD120" s="62">
        <f ca="1">AVERAGE(OFFSET($CC$3,0,0,'Données projet'!$E$12+1,1))-AVERAGE(OFFSET($H$3,0,0,'Données projet'!$E$12+1,1))</f>
        <v>122.57815304102127</v>
      </c>
      <c r="CE120" s="62">
        <f t="shared" si="94"/>
        <v>80.106609825870578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17.445628953079517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17.445628953079517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-3.7243808037601412E-14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199.99826357281154</v>
      </c>
      <c r="CZ120" s="62">
        <f t="shared" si="96"/>
        <v>214.67424457475136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30.167965644993608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30.167965644993608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-5.6843418860808015E-14</v>
      </c>
      <c r="DP120" s="18">
        <f>DO120*VLOOKUP('Données projet'!$B$14,Paramètres!$A$1:$I$89,3,0)*VLOOKUP('Données projet'!$B$14,Paramètres!$A$1:$I$89,5,0)</f>
        <v>-4.5224624045658861E-14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248.15263300983543</v>
      </c>
      <c r="DU120" s="62">
        <f t="shared" si="98"/>
        <v>266.46511459244618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45.151722668005377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45.151722668005377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-5.6843418860808015E-14</v>
      </c>
      <c r="EK120" s="18">
        <f>EJ120*VLOOKUP('Données projet'!$B$15,Paramètres!$A$1:$I$89,3,0)*VLOOKUP('Données projet'!$B$15,Paramètres!$A$1:$I$89,5,0)</f>
        <v>-3.813056537183002E-14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205.35893113421139</v>
      </c>
      <c r="EP120" s="62">
        <f t="shared" si="100"/>
        <v>220.4399811285175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38.069099504396711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38.069099504396711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382.55387448074327</v>
      </c>
      <c r="T121" s="62">
        <f t="shared" si="88"/>
        <v>476.29465646955543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82.051572798661212</v>
      </c>
      <c r="AA121" s="23">
        <f>EXP(-LN(2)/25)*AA120+(1-EXP(-LN(2)/25))/(LN(2)/25)*Calculateur!V121*Calculateur!X121*VLOOKUP('Données projet'!$B$9,Paramètres!$A$1:$I$89,3,0)*0.475*44/12</f>
        <v>12.9021087873565</v>
      </c>
      <c r="AB121" s="23">
        <f>EXP(-LN(2)/2)*AB120+(1-EXP(-LN(2)/2))/(LN(2)/2)*V121*Y121*VLOOKUP('Données projet'!$B$9,Paramètres!$A$1:$I$89,3,0)*0.475*44/12</f>
        <v>1.0490575878938528E-7</v>
      </c>
      <c r="AC121" s="24">
        <f t="shared" si="57"/>
        <v>94.953681690923474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-3.4106051316484809E-13</v>
      </c>
      <c r="AJ121" s="14">
        <f>AI121*VLOOKUP('Données projet'!$B$10,Paramètres!$A$1:$I$89,3,0)*VLOOKUP('Données projet'!$B$10,Paramètres!$A$1:$I$89,5,0)</f>
        <v>-2.1282176021486519E-13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420.68062999212015</v>
      </c>
      <c r="AO121" s="62">
        <f t="shared" si="90"/>
        <v>655.24090633185676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135.00375024438785</v>
      </c>
      <c r="AV121" s="23">
        <f>EXP(-LN(2)/25)*AV120+(1-EXP(-LN(2)/25))/(LN(2)/25)*Calculateur!AQ121*Calculateur!AS121*VLOOKUP('Données projet'!$B$10,Paramètres!$A$1:$I$89,3,0)*0.475*44/12</f>
        <v>21.288959637302305</v>
      </c>
      <c r="AW121" s="23">
        <f>EXP(-LN(2)/2)*AW120+(1-EXP(-LN(2)/2))/(LN(2)/2)*AQ121*AT121*VLOOKUP('Données projet'!$B$10,Paramètres!$A$1:$I$89,3,0)*0.475*44/12</f>
        <v>3.4482742630484559E-5</v>
      </c>
      <c r="AX121" s="23">
        <f t="shared" si="60"/>
        <v>156.29274436443276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3.0833333333333335</v>
      </c>
      <c r="BD121" s="13">
        <f>IF('Données projet'!$A$88&gt;35,BD120+BC121-BL120,IF(A121&lt;'Données projet'!$A$88,$BA$205^A121,IF(A121='Données projet'!$A$88,'Données projet'!$B$88,BD120+BC121-BL120)))</f>
        <v>146.66666666666683</v>
      </c>
      <c r="BE121" s="14">
        <f>BD121*VLOOKUP('Données projet'!$B$11,Paramètres!$A$1:$I$89,3,0)*VLOOKUP('Données projet'!$B$11,Paramètres!$A$1:$I$89,5,0)</f>
        <v>132.70400000000012</v>
      </c>
      <c r="BF121" s="14">
        <f t="shared" si="91"/>
        <v>34.620423755923852</v>
      </c>
      <c r="BG121" s="22">
        <f t="shared" si="61"/>
        <v>291.42337137490091</v>
      </c>
      <c r="BH121" s="62">
        <f t="shared" si="62"/>
        <v>584.75670470823422</v>
      </c>
      <c r="BI121" s="62">
        <f ca="1">AVERAGE(OFFSET($BH$3,0,0,'Données projet'!$E$11+1,1))-AVERAGE(OFFSET($H$3,0,0,'Données projet'!$E$11+1,1))</f>
        <v>138.3429338270858</v>
      </c>
      <c r="BJ121" s="62">
        <f t="shared" si="92"/>
        <v>88.30225651635925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18.370459018247608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18.370459018247608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3.0833333333333335</v>
      </c>
      <c r="BY121" s="13">
        <f>IF('Données projet'!$A$114&gt;35,BY120+BX121-CG120,IF(A121&lt;'Données projet'!$A$114,$BV$205^A121,IF(A121='Données projet'!$A$114,'Données projet'!$B$114,BY120+BX121-CG120)))</f>
        <v>146.66666666666683</v>
      </c>
      <c r="BZ121" s="14">
        <f>BY121*VLOOKUP('Données projet'!$B$12,Paramètres!$A$1:$I$89,3,0)*VLOOKUP('Données projet'!$B$12,Paramètres!$A$1:$I$89,5,0)</f>
        <v>123.55200000000013</v>
      </c>
      <c r="CA121" s="14">
        <f t="shared" si="93"/>
        <v>32.502033262579594</v>
      </c>
      <c r="CB121" s="22">
        <f t="shared" si="64"/>
        <v>271.79410793232637</v>
      </c>
      <c r="CC121" s="62">
        <f t="shared" si="65"/>
        <v>565.12744126565963</v>
      </c>
      <c r="CD121" s="62">
        <f ca="1">AVERAGE(OFFSET($CC$3,0,0,'Données projet'!$E$12+1,1))-AVERAGE(OFFSET($H$3,0,0,'Données projet'!$E$12+1,1))</f>
        <v>122.57815304102127</v>
      </c>
      <c r="CE121" s="62">
        <f t="shared" si="94"/>
        <v>80.106609825870578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17.1035308100926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17.1035308100926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-3.7243808037601412E-14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199.99826357281154</v>
      </c>
      <c r="CZ121" s="62">
        <f t="shared" si="96"/>
        <v>214.67424457475136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29.576390239337414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29.576390239337414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-5.6843418860808015E-14</v>
      </c>
      <c r="DP121" s="18">
        <f>DO121*VLOOKUP('Données projet'!$B$14,Paramètres!$A$1:$I$89,3,0)*VLOOKUP('Données projet'!$B$14,Paramètres!$A$1:$I$89,5,0)</f>
        <v>-4.5224624045658861E-14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248.15263300983543</v>
      </c>
      <c r="DU121" s="62">
        <f t="shared" si="98"/>
        <v>266.46511459244618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44.266324926317289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44.266324926317289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-5.6843418860808015E-14</v>
      </c>
      <c r="EK121" s="18">
        <f>EJ121*VLOOKUP('Données projet'!$B$15,Paramètres!$A$1:$I$89,3,0)*VLOOKUP('Données projet'!$B$15,Paramètres!$A$1:$I$89,5,0)</f>
        <v>-3.813056537183002E-14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205.35893113421139</v>
      </c>
      <c r="EP121" s="62">
        <f t="shared" si="100"/>
        <v>220.4399811285175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37.32258768297342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37.32258768297342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382.55387448074327</v>
      </c>
      <c r="T122" s="62">
        <f t="shared" si="88"/>
        <v>476.29465646955543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80.442591502597196</v>
      </c>
      <c r="AA122" s="23">
        <f>EXP(-LN(2)/25)*AA121+(1-EXP(-LN(2)/25))/(LN(2)/25)*Calculateur!V122*Calculateur!X122*VLOOKUP('Données projet'!$B$9,Paramètres!$A$1:$I$89,3,0)*0.475*44/12</f>
        <v>12.549299944073823</v>
      </c>
      <c r="AB122" s="23">
        <f>EXP(-LN(2)/2)*AB121+(1-EXP(-LN(2)/2))/(LN(2)/2)*V122*Y122*VLOOKUP('Données projet'!$B$9,Paramètres!$A$1:$I$89,3,0)*0.475*44/12</f>
        <v>7.4179573425494593E-8</v>
      </c>
      <c r="AC122" s="24">
        <f t="shared" si="57"/>
        <v>92.991891520850587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-3.4106051316484809E-13</v>
      </c>
      <c r="AJ122" s="14">
        <f>AI122*VLOOKUP('Données projet'!$B$10,Paramètres!$A$1:$I$89,3,0)*VLOOKUP('Données projet'!$B$10,Paramètres!$A$1:$I$89,5,0)</f>
        <v>-2.1282176021486519E-13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420.68062999212015</v>
      </c>
      <c r="AO122" s="62">
        <f t="shared" si="90"/>
        <v>655.24090633185676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132.35640904625222</v>
      </c>
      <c r="AV122" s="23">
        <f>EXP(-LN(2)/25)*AV121+(1-EXP(-LN(2)/25))/(LN(2)/25)*Calculateur!AQ122*Calculateur!AS122*VLOOKUP('Données projet'!$B$10,Paramètres!$A$1:$I$89,3,0)*0.475*44/12</f>
        <v>20.706811916482543</v>
      </c>
      <c r="AW122" s="23">
        <f>EXP(-LN(2)/2)*AW121+(1-EXP(-LN(2)/2))/(LN(2)/2)*AQ122*AT122*VLOOKUP('Données projet'!$B$10,Paramètres!$A$1:$I$89,3,0)*0.475*44/12</f>
        <v>2.4382981147926079E-5</v>
      </c>
      <c r="AX122" s="23">
        <f t="shared" si="60"/>
        <v>153.0632453457159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3.0833333333333335</v>
      </c>
      <c r="BD122" s="13">
        <f>IF('Données projet'!$A$88&gt;35,BD121+BC122-BL121,IF(A122&lt;'Données projet'!$A$88,$BA$205^A122,IF(A122='Données projet'!$A$88,'Données projet'!$B$88,BD121+BC122-BL121)))</f>
        <v>149.75000000000017</v>
      </c>
      <c r="BE122" s="14">
        <f>BD122*VLOOKUP('Données projet'!$B$11,Paramètres!$A$1:$I$89,3,0)*VLOOKUP('Données projet'!$B$11,Paramètres!$A$1:$I$89,5,0)</f>
        <v>135.49380000000014</v>
      </c>
      <c r="BF122" s="14">
        <f t="shared" si="91"/>
        <v>35.262740975139863</v>
      </c>
      <c r="BG122" s="22">
        <f t="shared" si="61"/>
        <v>297.40097553170216</v>
      </c>
      <c r="BH122" s="62">
        <f t="shared" si="62"/>
        <v>590.73430886503547</v>
      </c>
      <c r="BI122" s="62">
        <f ca="1">AVERAGE(OFFSET($BH$3,0,0,'Données projet'!$E$11+1,1))-AVERAGE(OFFSET($H$3,0,0,'Données projet'!$E$11+1,1))</f>
        <v>138.3429338270858</v>
      </c>
      <c r="BJ122" s="62">
        <f t="shared" si="92"/>
        <v>88.30225651635925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18.010225521773386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18.010225521773386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3.0833333333333335</v>
      </c>
      <c r="BY122" s="13">
        <f>IF('Données projet'!$A$114&gt;35,BY121+BX122-CG121,IF(A122&lt;'Données projet'!$A$114,$BV$205^A122,IF(A122='Données projet'!$A$114,'Données projet'!$B$114,BY121+BX122-CG121)))</f>
        <v>149.75000000000017</v>
      </c>
      <c r="BZ122" s="14">
        <f>BY122*VLOOKUP('Données projet'!$B$12,Paramètres!$A$1:$I$89,3,0)*VLOOKUP('Données projet'!$B$12,Paramètres!$A$1:$I$89,5,0)</f>
        <v>126.14940000000016</v>
      </c>
      <c r="CA122" s="14">
        <f t="shared" si="93"/>
        <v>33.105047707788785</v>
      </c>
      <c r="CB122" s="22">
        <f t="shared" si="64"/>
        <v>277.3681630910657</v>
      </c>
      <c r="CC122" s="62">
        <f t="shared" si="65"/>
        <v>570.70149642439901</v>
      </c>
      <c r="CD122" s="62">
        <f ca="1">AVERAGE(OFFSET($CC$3,0,0,'Données projet'!$E$12+1,1))-AVERAGE(OFFSET($H$3,0,0,'Données projet'!$E$12+1,1))</f>
        <v>122.57815304102127</v>
      </c>
      <c r="CE122" s="62">
        <f t="shared" si="94"/>
        <v>80.106609825870578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16.76814100303039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16.76814100303039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-3.7243808037601412E-14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199.99826357281154</v>
      </c>
      <c r="CZ122" s="62">
        <f t="shared" si="96"/>
        <v>214.67424457475136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28.996415266560771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28.996415266560771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-5.6843418860808015E-14</v>
      </c>
      <c r="DP122" s="18">
        <f>DO122*VLOOKUP('Données projet'!$B$14,Paramètres!$A$1:$I$89,3,0)*VLOOKUP('Données projet'!$B$14,Paramètres!$A$1:$I$89,5,0)</f>
        <v>-4.5224624045658861E-14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248.15263300983543</v>
      </c>
      <c r="DU122" s="62">
        <f t="shared" si="98"/>
        <v>266.46511459244618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43.398289294304405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43.398289294304405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-5.6843418860808015E-14</v>
      </c>
      <c r="EK122" s="18">
        <f>EJ122*VLOOKUP('Données projet'!$B$15,Paramètres!$A$1:$I$89,3,0)*VLOOKUP('Données projet'!$B$15,Paramètres!$A$1:$I$89,5,0)</f>
        <v>-3.813056537183002E-14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205.35893113421139</v>
      </c>
      <c r="EP122" s="62">
        <f t="shared" si="100"/>
        <v>220.4399811285175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36.590714503040985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36.590714503040985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382.55387448074327</v>
      </c>
      <c r="T123" s="62">
        <f t="shared" si="88"/>
        <v>476.29465646955543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78.865161348367309</v>
      </c>
      <c r="AA123" s="23">
        <f>EXP(-LN(2)/25)*AA122+(1-EXP(-LN(2)/25))/(LN(2)/25)*Calculateur!V123*Calculateur!X123*VLOOKUP('Données projet'!$B$9,Paramètres!$A$1:$I$89,3,0)*0.475*44/12</f>
        <v>12.206138677164121</v>
      </c>
      <c r="AB123" s="23">
        <f>EXP(-LN(2)/2)*AB122+(1-EXP(-LN(2)/2))/(LN(2)/2)*V123*Y123*VLOOKUP('Données projet'!$B$9,Paramètres!$A$1:$I$89,3,0)*0.475*44/12</f>
        <v>5.2452879394692642E-8</v>
      </c>
      <c r="AC123" s="24">
        <f t="shared" si="57"/>
        <v>91.071300077984304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-3.4106051316484809E-13</v>
      </c>
      <c r="AJ123" s="14">
        <f>AI123*VLOOKUP('Données projet'!$B$10,Paramètres!$A$1:$I$89,3,0)*VLOOKUP('Données projet'!$B$10,Paramètres!$A$1:$I$89,5,0)</f>
        <v>-2.1282176021486519E-13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420.68062999212015</v>
      </c>
      <c r="AO123" s="62">
        <f t="shared" si="90"/>
        <v>655.24090633185676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129.76098059429336</v>
      </c>
      <c r="AV123" s="23">
        <f>EXP(-LN(2)/25)*AV122+(1-EXP(-LN(2)/25))/(LN(2)/25)*Calculateur!AQ123*Calculateur!AS123*VLOOKUP('Données projet'!$B$10,Paramètres!$A$1:$I$89,3,0)*0.475*44/12</f>
        <v>20.140583055702415</v>
      </c>
      <c r="AW123" s="23">
        <f>EXP(-LN(2)/2)*AW122+(1-EXP(-LN(2)/2))/(LN(2)/2)*AQ123*AT123*VLOOKUP('Données projet'!$B$10,Paramètres!$A$1:$I$89,3,0)*0.475*44/12</f>
        <v>1.7241371315242279E-5</v>
      </c>
      <c r="AX123" s="23">
        <f t="shared" si="60"/>
        <v>149.9015808913671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3.0833333333333335</v>
      </c>
      <c r="BD123" s="13">
        <f>IF('Données projet'!$A$88&gt;35,BD122+BC123-BL122,IF(A123&lt;'Données projet'!$A$88,$BA$205^A123,IF(A123='Données projet'!$A$88,'Données projet'!$B$88,BD122+BC123-BL122)))</f>
        <v>152.83333333333351</v>
      </c>
      <c r="BE123" s="14">
        <f>BD123*VLOOKUP('Données projet'!$B$11,Paramètres!$A$1:$I$89,3,0)*VLOOKUP('Données projet'!$B$11,Paramètres!$A$1:$I$89,5,0)</f>
        <v>138.28360000000015</v>
      </c>
      <c r="BF123" s="14">
        <f t="shared" si="91"/>
        <v>35.903520506072589</v>
      </c>
      <c r="BG123" s="22">
        <f t="shared" si="61"/>
        <v>303.37590154807668</v>
      </c>
      <c r="BH123" s="62">
        <f t="shared" si="62"/>
        <v>596.70923488141</v>
      </c>
      <c r="BI123" s="62">
        <f ca="1">AVERAGE(OFFSET($BH$3,0,0,'Données projet'!$E$11+1,1))-AVERAGE(OFFSET($H$3,0,0,'Données projet'!$E$11+1,1))</f>
        <v>138.3429338270858</v>
      </c>
      <c r="BJ123" s="62">
        <f t="shared" si="92"/>
        <v>88.30225651635925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17.657055984444284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17.657055984444284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3.0833333333333335</v>
      </c>
      <c r="BY123" s="13">
        <f>IF('Données projet'!$A$114&gt;35,BY122+BX123-CG122,IF(A123&lt;'Données projet'!$A$114,$BV$205^A123,IF(A123='Données projet'!$A$114,'Données projet'!$B$114,BY122+BX123-CG122)))</f>
        <v>152.83333333333351</v>
      </c>
      <c r="BZ123" s="14">
        <f>BY123*VLOOKUP('Données projet'!$B$12,Paramètres!$A$1:$I$89,3,0)*VLOOKUP('Données projet'!$B$12,Paramètres!$A$1:$I$89,5,0)</f>
        <v>128.74680000000015</v>
      </c>
      <c r="CA123" s="14">
        <f t="shared" si="93"/>
        <v>33.70661855438459</v>
      </c>
      <c r="CB123" s="22">
        <f t="shared" si="64"/>
        <v>282.93970398222007</v>
      </c>
      <c r="CC123" s="62">
        <f t="shared" si="65"/>
        <v>576.27303731555344</v>
      </c>
      <c r="CD123" s="62">
        <f ca="1">AVERAGE(OFFSET($CC$3,0,0,'Données projet'!$E$12+1,1))-AVERAGE(OFFSET($H$3,0,0,'Données projet'!$E$12+1,1))</f>
        <v>122.57815304102127</v>
      </c>
      <c r="CE123" s="62">
        <f t="shared" si="94"/>
        <v>80.106609825870578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16.439327985517089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16.439327985517089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-3.7243808037601412E-14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199.99826357281154</v>
      </c>
      <c r="CZ123" s="62">
        <f t="shared" si="96"/>
        <v>214.67424457475136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28.427813249250473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28.427813249250473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-5.6843418860808015E-14</v>
      </c>
      <c r="DP123" s="18">
        <f>DO123*VLOOKUP('Données projet'!$B$14,Paramètres!$A$1:$I$89,3,0)*VLOOKUP('Données projet'!$B$14,Paramètres!$A$1:$I$89,5,0)</f>
        <v>-4.5224624045658861E-14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248.15263300983543</v>
      </c>
      <c r="DU123" s="62">
        <f t="shared" si="98"/>
        <v>266.46511459244618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42.547275311585835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42.547275311585835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-5.6843418860808015E-14</v>
      </c>
      <c r="EK123" s="18">
        <f>EJ123*VLOOKUP('Données projet'!$B$15,Paramètres!$A$1:$I$89,3,0)*VLOOKUP('Données projet'!$B$15,Paramètres!$A$1:$I$89,5,0)</f>
        <v>-3.813056537183002E-14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205.35893113421139</v>
      </c>
      <c r="EP123" s="62">
        <f t="shared" si="100"/>
        <v>220.4399811285175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35.873192909768463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35.873192909768463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382.55387448074327</v>
      </c>
      <c r="T124" s="62">
        <f t="shared" si="88"/>
        <v>476.29465646955543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77.318663637324477</v>
      </c>
      <c r="AA124" s="23">
        <f>EXP(-LN(2)/25)*AA123+(1-EXP(-LN(2)/25))/(LN(2)/25)*Calculateur!V124*Calculateur!X124*VLOOKUP('Données projet'!$B$9,Paramètres!$A$1:$I$89,3,0)*0.475*44/12</f>
        <v>11.872361173144133</v>
      </c>
      <c r="AB124" s="23">
        <f>EXP(-LN(2)/2)*AB123+(1-EXP(-LN(2)/2))/(LN(2)/2)*V124*Y124*VLOOKUP('Données projet'!$B$9,Paramètres!$A$1:$I$89,3,0)*0.475*44/12</f>
        <v>3.7089786712747296E-8</v>
      </c>
      <c r="AC124" s="24">
        <f t="shared" si="57"/>
        <v>89.191024847558396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-3.4106051316484809E-13</v>
      </c>
      <c r="AJ124" s="14">
        <f>AI124*VLOOKUP('Données projet'!$B$10,Paramètres!$A$1:$I$89,3,0)*VLOOKUP('Données projet'!$B$10,Paramètres!$A$1:$I$89,5,0)</f>
        <v>-2.1282176021486519E-13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420.68062999212015</v>
      </c>
      <c r="AO124" s="62">
        <f t="shared" si="90"/>
        <v>655.24090633185676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127.21644691122238</v>
      </c>
      <c r="AV124" s="23">
        <f>EXP(-LN(2)/25)*AV123+(1-EXP(-LN(2)/25))/(LN(2)/25)*Calculateur!AQ124*Calculateur!AS124*VLOOKUP('Données projet'!$B$10,Paramètres!$A$1:$I$89,3,0)*0.475*44/12</f>
        <v>19.589837752897001</v>
      </c>
      <c r="AW124" s="23">
        <f>EXP(-LN(2)/2)*AW123+(1-EXP(-LN(2)/2))/(LN(2)/2)*AQ124*AT124*VLOOKUP('Données projet'!$B$10,Paramètres!$A$1:$I$89,3,0)*0.475*44/12</f>
        <v>1.219149057396304E-5</v>
      </c>
      <c r="AX124" s="23">
        <f t="shared" si="60"/>
        <v>146.80629685560996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3.0833333333333335</v>
      </c>
      <c r="BD124" s="13">
        <f>IF('Données projet'!$A$88&gt;35,BD123+BC124-BL123,IF(A124&lt;'Données projet'!$A$88,$BA$205^A124,IF(A124='Données projet'!$A$88,'Données projet'!$B$88,BD123+BC124-BL123)))</f>
        <v>155.91666666666686</v>
      </c>
      <c r="BE124" s="14">
        <f>BD124*VLOOKUP('Données projet'!$B$11,Paramètres!$A$1:$I$89,3,0)*VLOOKUP('Données projet'!$B$11,Paramètres!$A$1:$I$89,5,0)</f>
        <v>141.07340000000016</v>
      </c>
      <c r="BF124" s="14">
        <f t="shared" si="91"/>
        <v>36.542796945859337</v>
      </c>
      <c r="BG124" s="22">
        <f t="shared" si="61"/>
        <v>309.34820968070522</v>
      </c>
      <c r="BH124" s="62">
        <f t="shared" si="62"/>
        <v>602.68154301403854</v>
      </c>
      <c r="BI124" s="62">
        <f ca="1">AVERAGE(OFFSET($BH$3,0,0,'Données projet'!$E$11+1,1))-AVERAGE(OFFSET($H$3,0,0,'Données projet'!$E$11+1,1))</f>
        <v>138.3429338270858</v>
      </c>
      <c r="BJ124" s="62">
        <f t="shared" si="92"/>
        <v>88.30225651635925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17.310811886330058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17.310811886330058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3.0833333333333335</v>
      </c>
      <c r="BY124" s="13">
        <f>IF('Données projet'!$A$114&gt;35,BY123+BX124-CG123,IF(A124&lt;'Données projet'!$A$114,$BV$205^A124,IF(A124='Données projet'!$A$114,'Données projet'!$B$114,BY123+BX124-CG123)))</f>
        <v>155.91666666666686</v>
      </c>
      <c r="BZ124" s="14">
        <f>BY124*VLOOKUP('Données projet'!$B$12,Paramètres!$A$1:$I$89,3,0)*VLOOKUP('Données projet'!$B$12,Paramètres!$A$1:$I$89,5,0)</f>
        <v>131.34420000000017</v>
      </c>
      <c r="CA124" s="14">
        <f t="shared" si="93"/>
        <v>34.306778282538616</v>
      </c>
      <c r="CB124" s="22">
        <f t="shared" si="64"/>
        <v>288.50878717542173</v>
      </c>
      <c r="CC124" s="62">
        <f t="shared" si="65"/>
        <v>581.84212050875499</v>
      </c>
      <c r="CD124" s="62">
        <f ca="1">AVERAGE(OFFSET($CC$3,0,0,'Données projet'!$E$12+1,1))-AVERAGE(OFFSET($H$3,0,0,'Données projet'!$E$12+1,1))</f>
        <v>122.57815304102127</v>
      </c>
      <c r="CE124" s="62">
        <f t="shared" si="94"/>
        <v>80.106609825870578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16.116962790721086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16.116962790721086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-3.7243808037601412E-14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199.99826357281154</v>
      </c>
      <c r="CZ124" s="62">
        <f t="shared" si="96"/>
        <v>214.67424457475136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27.870361170686643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27.870361170686643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-5.6843418860808015E-14</v>
      </c>
      <c r="DP124" s="18">
        <f>DO124*VLOOKUP('Données projet'!$B$14,Paramètres!$A$1:$I$89,3,0)*VLOOKUP('Données projet'!$B$14,Paramètres!$A$1:$I$89,5,0)</f>
        <v>-4.5224624045658861E-14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248.15263300983543</v>
      </c>
      <c r="DU124" s="62">
        <f t="shared" si="98"/>
        <v>266.46511459244618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41.712949194001105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41.712949194001105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-5.6843418860808015E-14</v>
      </c>
      <c r="EK124" s="18">
        <f>EJ124*VLOOKUP('Données projet'!$B$15,Paramètres!$A$1:$I$89,3,0)*VLOOKUP('Données projet'!$B$15,Paramètres!$A$1:$I$89,5,0)</f>
        <v>-3.813056537183002E-14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205.35893113421139</v>
      </c>
      <c r="EP124" s="62">
        <f t="shared" si="100"/>
        <v>220.4399811285175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35.169741477295062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35.169741477295062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382.55387448074327</v>
      </c>
      <c r="T125" s="62">
        <f t="shared" si="88"/>
        <v>476.29465646955543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75.802491803124724</v>
      </c>
      <c r="AA125" s="23">
        <f>EXP(-LN(2)/25)*AA124+(1-EXP(-LN(2)/25))/(LN(2)/25)*Calculateur!V125*Calculateur!X125*VLOOKUP('Données projet'!$B$9,Paramètres!$A$1:$I$89,3,0)*0.475*44/12</f>
        <v>11.547710832524167</v>
      </c>
      <c r="AB125" s="23">
        <f>EXP(-LN(2)/2)*AB124+(1-EXP(-LN(2)/2))/(LN(2)/2)*V125*Y125*VLOOKUP('Données projet'!$B$9,Paramètres!$A$1:$I$89,3,0)*0.475*44/12</f>
        <v>2.6226439697346321E-8</v>
      </c>
      <c r="AC125" s="24">
        <f t="shared" si="57"/>
        <v>87.350202661875329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-3.4106051316484809E-13</v>
      </c>
      <c r="AJ125" s="14">
        <f>AI125*VLOOKUP('Données projet'!$B$10,Paramètres!$A$1:$I$89,3,0)*VLOOKUP('Données projet'!$B$10,Paramètres!$A$1:$I$89,5,0)</f>
        <v>-2.1282176021486519E-13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420.68062999212015</v>
      </c>
      <c r="AO125" s="62">
        <f t="shared" si="90"/>
        <v>655.24090633185676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124.72180998166411</v>
      </c>
      <c r="AV125" s="23">
        <f>EXP(-LN(2)/25)*AV124+(1-EXP(-LN(2)/25))/(LN(2)/25)*Calculateur!AQ125*Calculateur!AS125*VLOOKUP('Données projet'!$B$10,Paramètres!$A$1:$I$89,3,0)*0.475*44/12</f>
        <v>19.054152609359239</v>
      </c>
      <c r="AW125" s="23">
        <f>EXP(-LN(2)/2)*AW124+(1-EXP(-LN(2)/2))/(LN(2)/2)*AQ125*AT125*VLOOKUP('Données projet'!$B$10,Paramètres!$A$1:$I$89,3,0)*0.475*44/12</f>
        <v>8.6206856576211397E-6</v>
      </c>
      <c r="AX125" s="23">
        <f t="shared" si="60"/>
        <v>143.77597121170902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>
        <f>VLOOKUP(A125,'Données projet'!$A$87:$I$107,2,0)</f>
        <v>159</v>
      </c>
      <c r="BB125" s="13">
        <f>VLOOKUP(A125,'Données projet'!$A$87:$I$107,9,0)</f>
        <v>3.0833333333333335</v>
      </c>
      <c r="BC125" s="13">
        <f t="array" ref="BC125">INDEX(BB:BB,MIN(IF(ISNUMBER(BB125:BB321),ROW(BB125:BB321),"")))</f>
        <v>3.0833333333333335</v>
      </c>
      <c r="BD125" s="13">
        <f>IF('Données projet'!$A$88&gt;35,BD124+BC125-BL124,IF(A125&lt;'Données projet'!$A$88,$BA$205^A125,IF(A125='Données projet'!$A$88,'Données projet'!$B$88,BD124+BC125-BL124)))</f>
        <v>159.0000000000002</v>
      </c>
      <c r="BE125" s="14">
        <f>BD125*VLOOKUP('Données projet'!$B$11,Paramètres!$A$1:$I$89,3,0)*VLOOKUP('Données projet'!$B$11,Paramètres!$A$1:$I$89,5,0)</f>
        <v>143.86320000000018</v>
      </c>
      <c r="BF125" s="14">
        <f t="shared" si="91"/>
        <v>37.180603445028808</v>
      </c>
      <c r="BG125" s="22">
        <f t="shared" si="61"/>
        <v>315.31795766675879</v>
      </c>
      <c r="BH125" s="62">
        <f t="shared" si="62"/>
        <v>608.6512910000921</v>
      </c>
      <c r="BI125" s="62">
        <f ca="1">AVERAGE(OFFSET($BH$3,0,0,'Données projet'!$E$11+1,1))-AVERAGE(OFFSET($H$3,0,0,'Données projet'!$E$11+1,1))</f>
        <v>138.3429338270858</v>
      </c>
      <c r="BJ125" s="62">
        <f t="shared" si="92"/>
        <v>88.30225651635925</v>
      </c>
      <c r="BK125" s="16">
        <f>IF(ISNA(VLOOKUP(A125,'Données projet'!$A$87:$I$107,3,0)),0,VLOOKUP(A125,'Données projet'!$A$87:$I$107,3,0))</f>
        <v>8</v>
      </c>
      <c r="BL125" s="16">
        <f>IF(ISNA(VLOOKUP(A125,'Données projet'!$A$87:$I$107,4,0)),0,VLOOKUP(A125,'Données projet'!$A$87:$I$107,4,0))</f>
        <v>25</v>
      </c>
      <c r="BM125" s="17">
        <f>IF(ISNA(VLOOKUP(A125,'Données projet'!$A$87:$I$107,5,0)),0%,VLOOKUP(A125,'Données projet'!$A$87:$I$107,5,0)*VLOOKUP('Données projet'!$B$11,Paramètres!$A$1:$I$89,7,0))</f>
        <v>0.38700000000000001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26.648578798000479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26.648578798000479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>
        <f>VLOOKUP(A125,'Données projet'!$A$113:$I$133,2,0)</f>
        <v>159</v>
      </c>
      <c r="BW125" s="13">
        <f>VLOOKUP(A125,'Données projet'!$A$113:$I$133,9,0)</f>
        <v>3.0833333333333335</v>
      </c>
      <c r="BX125" s="13">
        <f t="array" ref="BX125">INDEX(BW:BW,MIN(IF(ISNUMBER(BW125:BW321),ROW(BW125:BW321),"")))</f>
        <v>3.0833333333333335</v>
      </c>
      <c r="BY125" s="13">
        <f>IF('Données projet'!$A$114&gt;35,BY124+BX125-CG124,IF(A125&lt;'Données projet'!$A$114,$BV$205^A125,IF(A125='Données projet'!$A$114,'Données projet'!$B$114,BY124+BX125-CG124)))</f>
        <v>159.0000000000002</v>
      </c>
      <c r="BZ125" s="14">
        <f>BY125*VLOOKUP('Données projet'!$B$12,Paramètres!$A$1:$I$89,3,0)*VLOOKUP('Données projet'!$B$12,Paramètres!$A$1:$I$89,5,0)</f>
        <v>133.94160000000019</v>
      </c>
      <c r="CA125" s="14">
        <f t="shared" si="93"/>
        <v>34.905558014330531</v>
      </c>
      <c r="CB125" s="22">
        <f t="shared" si="64"/>
        <v>294.07546687495932</v>
      </c>
      <c r="CC125" s="62">
        <f t="shared" si="65"/>
        <v>587.40880020829263</v>
      </c>
      <c r="CD125" s="62">
        <f ca="1">AVERAGE(OFFSET($CC$3,0,0,'Données projet'!$E$12+1,1))-AVERAGE(OFFSET($H$3,0,0,'Données projet'!$E$12+1,1))</f>
        <v>122.57815304102127</v>
      </c>
      <c r="CE125" s="62">
        <f t="shared" si="94"/>
        <v>80.106609825870578</v>
      </c>
      <c r="CF125" s="16">
        <f>IF(ISNA(VLOOKUP(A125,'Données projet'!$A$113:$I$133,3,0)),0,VLOOKUP(A125,'Données projet'!$A$113:$I$133,3,0))</f>
        <v>8</v>
      </c>
      <c r="CG125" s="16">
        <f>IF(ISNA(VLOOKUP(A125,'Données projet'!$A$113:$I$133,4,0)),0,VLOOKUP(A125,'Données projet'!$A$113:$I$133,4,0))</f>
        <v>25</v>
      </c>
      <c r="CH125" s="17">
        <f>IF(ISNA(VLOOKUP(A125,'Données projet'!$A$113:$I$133,5,0)),0%,VLOOKUP(A125,'Données projet'!$A$113:$I$133,5,0)*VLOOKUP('Données projet'!$B$12,Paramètres!$A$1:$I$89,7,0))</f>
        <v>0.38700000000000001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24.810745777448719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24.810745777448719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-3.7243808037601412E-14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199.99826357281154</v>
      </c>
      <c r="CZ125" s="62">
        <f t="shared" si="96"/>
        <v>214.67424457475136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27.323840387371256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27.323840387371256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-5.6843418860808015E-14</v>
      </c>
      <c r="DP125" s="18">
        <f>DO125*VLOOKUP('Données projet'!$B$14,Paramètres!$A$1:$I$89,3,0)*VLOOKUP('Données projet'!$B$14,Paramètres!$A$1:$I$89,5,0)</f>
        <v>-4.5224624045658861E-14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248.15263300983543</v>
      </c>
      <c r="DU125" s="62">
        <f t="shared" si="98"/>
        <v>266.46511459244618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40.894983702693523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40.894983702693523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-5.6843418860808015E-14</v>
      </c>
      <c r="EK125" s="18">
        <f>EJ125*VLOOKUP('Données projet'!$B$15,Paramètres!$A$1:$I$89,3,0)*VLOOKUP('Données projet'!$B$15,Paramètres!$A$1:$I$89,5,0)</f>
        <v>-3.813056537183002E-14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205.35893113421139</v>
      </c>
      <c r="EP125" s="62">
        <f t="shared" si="100"/>
        <v>220.4399811285175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34.480084298349453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34.480084298349453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382.55387448074327</v>
      </c>
      <c r="T126" s="62">
        <f t="shared" si="88"/>
        <v>476.29465646955543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74.316051173820128</v>
      </c>
      <c r="AA126" s="23">
        <f>EXP(-LN(2)/25)*AA125+(1-EXP(-LN(2)/25))/(LN(2)/25)*Calculateur!V126*Calculateur!X126*VLOOKUP('Données projet'!$B$9,Paramètres!$A$1:$I$89,3,0)*0.475*44/12</f>
        <v>11.231938072541073</v>
      </c>
      <c r="AB126" s="23">
        <f>EXP(-LN(2)/2)*AB125+(1-EXP(-LN(2)/2))/(LN(2)/2)*V126*Y126*VLOOKUP('Données projet'!$B$9,Paramètres!$A$1:$I$89,3,0)*0.475*44/12</f>
        <v>1.8544893356373648E-8</v>
      </c>
      <c r="AC126" s="24">
        <f t="shared" si="57"/>
        <v>85.547989264906093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-3.4106051316484809E-13</v>
      </c>
      <c r="AJ126" s="14">
        <f>AI126*VLOOKUP('Données projet'!$B$10,Paramètres!$A$1:$I$89,3,0)*VLOOKUP('Données projet'!$B$10,Paramètres!$A$1:$I$89,5,0)</f>
        <v>-2.1282176021486519E-13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420.68062999212015</v>
      </c>
      <c r="AO126" s="62">
        <f t="shared" si="90"/>
        <v>655.24090633185676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122.27609136071619</v>
      </c>
      <c r="AV126" s="23">
        <f>EXP(-LN(2)/25)*AV125+(1-EXP(-LN(2)/25))/(LN(2)/25)*Calculateur!AQ126*Calculateur!AS126*VLOOKUP('Données projet'!$B$10,Paramètres!$A$1:$I$89,3,0)*0.475*44/12</f>
        <v>18.533115804241973</v>
      </c>
      <c r="AW126" s="23">
        <f>EXP(-LN(2)/2)*AW125+(1-EXP(-LN(2)/2))/(LN(2)/2)*AQ126*AT126*VLOOKUP('Données projet'!$B$10,Paramètres!$A$1:$I$89,3,0)*0.475*44/12</f>
        <v>6.0957452869815198E-6</v>
      </c>
      <c r="AX126" s="23">
        <f t="shared" si="60"/>
        <v>140.80921326070344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3.0833333333333335</v>
      </c>
      <c r="BD126" s="13">
        <f>IF('Données projet'!$A$88&gt;35,BD125+BC126-BL125,IF(A126&lt;'Données projet'!$A$88,$BA$205^A126,IF(A126='Données projet'!$A$88,'Données projet'!$B$88,BD125+BC126-BL125)))</f>
        <v>137.08333333333354</v>
      </c>
      <c r="BE126" s="14">
        <f>BD126*VLOOKUP('Données projet'!$B$11,Paramètres!$A$1:$I$89,3,0)*VLOOKUP('Données projet'!$B$11,Paramètres!$A$1:$I$89,5,0)</f>
        <v>124.03300000000019</v>
      </c>
      <c r="BF126" s="14">
        <f t="shared" si="91"/>
        <v>32.613813045922242</v>
      </c>
      <c r="BG126" s="22">
        <f t="shared" si="61"/>
        <v>272.82653272164822</v>
      </c>
      <c r="BH126" s="62">
        <f t="shared" si="62"/>
        <v>566.15986605498153</v>
      </c>
      <c r="BI126" s="62">
        <f ca="1">AVERAGE(OFFSET($BH$3,0,0,'Données projet'!$E$11+1,1))-AVERAGE(OFFSET($H$3,0,0,'Données projet'!$E$11+1,1))</f>
        <v>138.3429338270858</v>
      </c>
      <c r="BJ126" s="62">
        <f t="shared" si="92"/>
        <v>88.30225651635925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26.126016421799804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26.126016421799804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3.0833333333333335</v>
      </c>
      <c r="BY126" s="13">
        <f>IF('Données projet'!$A$114&gt;35,BY125+BX126-CG125,IF(A126&lt;'Données projet'!$A$114,$BV$205^A126,IF(A126='Données projet'!$A$114,'Données projet'!$B$114,BY125+BX126-CG125)))</f>
        <v>137.08333333333354</v>
      </c>
      <c r="BZ126" s="14">
        <f>BY126*VLOOKUP('Données projet'!$B$12,Paramètres!$A$1:$I$89,3,0)*VLOOKUP('Données projet'!$B$12,Paramètres!$A$1:$I$89,5,0)</f>
        <v>115.47900000000018</v>
      </c>
      <c r="CA126" s="14">
        <f t="shared" si="93"/>
        <v>30.618205135537643</v>
      </c>
      <c r="CB126" s="22">
        <f t="shared" si="64"/>
        <v>254.45263227772838</v>
      </c>
      <c r="CC126" s="62">
        <f t="shared" si="65"/>
        <v>547.78596561106167</v>
      </c>
      <c r="CD126" s="62">
        <f ca="1">AVERAGE(OFFSET($CC$3,0,0,'Données projet'!$E$12+1,1))-AVERAGE(OFFSET($H$3,0,0,'Données projet'!$E$12+1,1))</f>
        <v>122.57815304102127</v>
      </c>
      <c r="CE126" s="62">
        <f t="shared" si="94"/>
        <v>80.106609825870578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24.324222185813607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24.324222185813607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-3.7243808037601412E-14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199.99826357281154</v>
      </c>
      <c r="CZ126" s="62">
        <f t="shared" si="96"/>
        <v>214.67424457475136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26.788036543271922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26.788036543271922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-5.6843418860808015E-14</v>
      </c>
      <c r="DP126" s="18">
        <f>DO126*VLOOKUP('Données projet'!$B$14,Paramètres!$A$1:$I$89,3,0)*VLOOKUP('Données projet'!$B$14,Paramètres!$A$1:$I$89,5,0)</f>
        <v>-4.5224624045658861E-14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248.15263300983543</v>
      </c>
      <c r="DU126" s="62">
        <f t="shared" si="98"/>
        <v>266.46511459244618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40.093058015760796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40.093058015760796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-5.6843418860808015E-14</v>
      </c>
      <c r="EK126" s="18">
        <f>EJ126*VLOOKUP('Données projet'!$B$15,Paramètres!$A$1:$I$89,3,0)*VLOOKUP('Données projet'!$B$15,Paramètres!$A$1:$I$89,5,0)</f>
        <v>-3.813056537183002E-14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205.35893113421139</v>
      </c>
      <c r="EP126" s="62">
        <f t="shared" si="100"/>
        <v>220.4399811285175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33.803950876033625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33.803950876033625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382.55387448074327</v>
      </c>
      <c r="T127" s="62">
        <f t="shared" si="88"/>
        <v>476.29465646955543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72.858758738616928</v>
      </c>
      <c r="AA127" s="23">
        <f>EXP(-LN(2)/25)*AA126+(1-EXP(-LN(2)/25))/(LN(2)/25)*Calculateur!V127*Calculateur!X127*VLOOKUP('Données projet'!$B$9,Paramètres!$A$1:$I$89,3,0)*0.475*44/12</f>
        <v>10.924800135285485</v>
      </c>
      <c r="AB127" s="23">
        <f>EXP(-LN(2)/2)*AB126+(1-EXP(-LN(2)/2))/(LN(2)/2)*V127*Y127*VLOOKUP('Données projet'!$B$9,Paramètres!$A$1:$I$89,3,0)*0.475*44/12</f>
        <v>1.311321984867316E-8</v>
      </c>
      <c r="AC127" s="24">
        <f t="shared" si="57"/>
        <v>83.78355888701563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-3.4106051316484809E-13</v>
      </c>
      <c r="AJ127" s="14">
        <f>AI127*VLOOKUP('Données projet'!$B$10,Paramètres!$A$1:$I$89,3,0)*VLOOKUP('Données projet'!$B$10,Paramètres!$A$1:$I$89,5,0)</f>
        <v>-2.1282176021486519E-13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420.68062999212015</v>
      </c>
      <c r="AO127" s="62">
        <f t="shared" si="90"/>
        <v>655.24090633185676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119.87833179018401</v>
      </c>
      <c r="AV127" s="23">
        <f>EXP(-LN(2)/25)*AV126+(1-EXP(-LN(2)/25))/(LN(2)/25)*Calculateur!AQ127*Calculateur!AS127*VLOOKUP('Données projet'!$B$10,Paramètres!$A$1:$I$89,3,0)*0.475*44/12</f>
        <v>18.026326777960776</v>
      </c>
      <c r="AW127" s="23">
        <f>EXP(-LN(2)/2)*AW126+(1-EXP(-LN(2)/2))/(LN(2)/2)*AQ127*AT127*VLOOKUP('Données projet'!$B$10,Paramètres!$A$1:$I$89,3,0)*0.475*44/12</f>
        <v>4.3103428288105699E-6</v>
      </c>
      <c r="AX127" s="23">
        <f t="shared" si="60"/>
        <v>137.90466287848761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3.0833333333333335</v>
      </c>
      <c r="BD127" s="13">
        <f>IF('Données projet'!$A$88&gt;35,BD126+BC127-BL126,IF(A127&lt;'Données projet'!$A$88,$BA$205^A127,IF(A127='Données projet'!$A$88,'Données projet'!$B$88,BD126+BC127-BL126)))</f>
        <v>140.16666666666688</v>
      </c>
      <c r="BE127" s="14">
        <f>BD127*VLOOKUP('Données projet'!$B$11,Paramètres!$A$1:$I$89,3,0)*VLOOKUP('Données projet'!$B$11,Paramètres!$A$1:$I$89,5,0)</f>
        <v>126.82280000000019</v>
      </c>
      <c r="BF127" s="14">
        <f t="shared" si="91"/>
        <v>33.26114780323914</v>
      </c>
      <c r="BG127" s="22">
        <f t="shared" si="61"/>
        <v>278.81287575730846</v>
      </c>
      <c r="BH127" s="62">
        <f t="shared" si="62"/>
        <v>572.14620909064183</v>
      </c>
      <c r="BI127" s="62">
        <f ca="1">AVERAGE(OFFSET($BH$3,0,0,'Données projet'!$E$11+1,1))-AVERAGE(OFFSET($H$3,0,0,'Données projet'!$E$11+1,1))</f>
        <v>138.3429338270858</v>
      </c>
      <c r="BJ127" s="62">
        <f t="shared" si="92"/>
        <v>88.30225651635925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25.613701175064847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25.613701175064847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3.0833333333333335</v>
      </c>
      <c r="BY127" s="13">
        <f>IF('Données projet'!$A$114&gt;35,BY126+BX127-CG126,IF(A127&lt;'Données projet'!$A$114,$BV$205^A127,IF(A127='Données projet'!$A$114,'Données projet'!$B$114,BY126+BX127-CG126)))</f>
        <v>140.16666666666688</v>
      </c>
      <c r="BZ127" s="14">
        <f>BY127*VLOOKUP('Données projet'!$B$12,Paramètres!$A$1:$I$89,3,0)*VLOOKUP('Données projet'!$B$12,Paramètres!$A$1:$I$89,5,0)</f>
        <v>118.07640000000021</v>
      </c>
      <c r="CA127" s="14">
        <f t="shared" si="93"/>
        <v>31.225930100508286</v>
      </c>
      <c r="CB127" s="22">
        <f t="shared" si="64"/>
        <v>260.03489159171892</v>
      </c>
      <c r="CC127" s="62">
        <f t="shared" si="65"/>
        <v>553.36822492505223</v>
      </c>
      <c r="CD127" s="62">
        <f ca="1">AVERAGE(OFFSET($CC$3,0,0,'Données projet'!$E$12+1,1))-AVERAGE(OFFSET($H$3,0,0,'Données projet'!$E$12+1,1))</f>
        <v>122.57815304102127</v>
      </c>
      <c r="CE127" s="62">
        <f t="shared" si="94"/>
        <v>80.106609825870578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23.847239025060372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23.847239025060372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-3.7243808037601412E-14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199.99826357281154</v>
      </c>
      <c r="CZ127" s="62">
        <f t="shared" si="96"/>
        <v>214.67424457475136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26.2627394857473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26.2627394857473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-5.6843418860808015E-14</v>
      </c>
      <c r="DP127" s="18">
        <f>DO127*VLOOKUP('Données projet'!$B$14,Paramètres!$A$1:$I$89,3,0)*VLOOKUP('Données projet'!$B$14,Paramètres!$A$1:$I$89,5,0)</f>
        <v>-4.5224624045658861E-14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248.15263300983543</v>
      </c>
      <c r="DU127" s="62">
        <f t="shared" si="98"/>
        <v>266.46511459244618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39.306857602422447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39.306857602422447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-5.6843418860808015E-14</v>
      </c>
      <c r="EK127" s="18">
        <f>EJ127*VLOOKUP('Données projet'!$B$15,Paramètres!$A$1:$I$89,3,0)*VLOOKUP('Données projet'!$B$15,Paramètres!$A$1:$I$89,5,0)</f>
        <v>-3.813056537183002E-14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205.35893113421139</v>
      </c>
      <c r="EP127" s="62">
        <f t="shared" si="100"/>
        <v>220.4399811285175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33.141076017728743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33.141076017728743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382.55387448074327</v>
      </c>
      <c r="T128" s="62">
        <f t="shared" si="88"/>
        <v>476.29465646955543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71.430042919207452</v>
      </c>
      <c r="AA128" s="23">
        <f>EXP(-LN(2)/25)*AA127+(1-EXP(-LN(2)/25))/(LN(2)/25)*Calculateur!V128*Calculateur!X128*VLOOKUP('Données projet'!$B$9,Paramètres!$A$1:$I$89,3,0)*0.475*44/12</f>
        <v>10.626060901075833</v>
      </c>
      <c r="AB128" s="23">
        <f>EXP(-LN(2)/2)*AB127+(1-EXP(-LN(2)/2))/(LN(2)/2)*V128*Y128*VLOOKUP('Données projet'!$B$9,Paramètres!$A$1:$I$89,3,0)*0.475*44/12</f>
        <v>9.2724466781868241E-9</v>
      </c>
      <c r="AC128" s="24">
        <f t="shared" si="57"/>
        <v>82.056103829555724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-3.4106051316484809E-13</v>
      </c>
      <c r="AJ128" s="14">
        <f>AI128*VLOOKUP('Données projet'!$B$10,Paramètres!$A$1:$I$89,3,0)*VLOOKUP('Données projet'!$B$10,Paramètres!$A$1:$I$89,5,0)</f>
        <v>-2.1282176021486519E-13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420.68062999212015</v>
      </c>
      <c r="AO128" s="62">
        <f t="shared" si="90"/>
        <v>655.24090633185676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117.52759082234103</v>
      </c>
      <c r="AV128" s="23">
        <f>EXP(-LN(2)/25)*AV127+(1-EXP(-LN(2)/25))/(LN(2)/25)*Calculateur!AQ128*Calculateur!AS128*VLOOKUP('Données projet'!$B$10,Paramètres!$A$1:$I$89,3,0)*0.475*44/12</f>
        <v>17.533395924254112</v>
      </c>
      <c r="AW128" s="23">
        <f>EXP(-LN(2)/2)*AW127+(1-EXP(-LN(2)/2))/(LN(2)/2)*AQ128*AT128*VLOOKUP('Données projet'!$B$10,Paramètres!$A$1:$I$89,3,0)*0.475*44/12</f>
        <v>3.0478726434907599E-6</v>
      </c>
      <c r="AX128" s="23">
        <f t="shared" si="60"/>
        <v>135.06098979446779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3.0833333333333335</v>
      </c>
      <c r="BD128" s="13">
        <f>IF('Données projet'!$A$88&gt;35,BD127+BC128-BL127,IF(A128&lt;'Données projet'!$A$88,$BA$205^A128,IF(A128='Données projet'!$A$88,'Données projet'!$B$88,BD127+BC128-BL127)))</f>
        <v>143.25000000000023</v>
      </c>
      <c r="BE128" s="14">
        <f>BD128*VLOOKUP('Données projet'!$B$11,Paramètres!$A$1:$I$89,3,0)*VLOOKUP('Données projet'!$B$11,Paramètres!$A$1:$I$89,5,0)</f>
        <v>129.61260000000019</v>
      </c>
      <c r="BF128" s="14">
        <f t="shared" si="91"/>
        <v>33.906827024019734</v>
      </c>
      <c r="BG128" s="22">
        <f t="shared" si="61"/>
        <v>284.796335400168</v>
      </c>
      <c r="BH128" s="62">
        <f t="shared" si="62"/>
        <v>578.12966873350138</v>
      </c>
      <c r="BI128" s="62">
        <f ca="1">AVERAGE(OFFSET($BH$3,0,0,'Données projet'!$E$11+1,1))-AVERAGE(OFFSET($H$3,0,0,'Données projet'!$E$11+1,1))</f>
        <v>138.3429338270858</v>
      </c>
      <c r="BJ128" s="62">
        <f t="shared" si="92"/>
        <v>88.30225651635925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25.111432117836916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25.111432117836916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3.0833333333333335</v>
      </c>
      <c r="BY128" s="13">
        <f>IF('Données projet'!$A$114&gt;35,BY127+BX128-CG127,IF(A128&lt;'Données projet'!$A$114,$BV$205^A128,IF(A128='Données projet'!$A$114,'Données projet'!$B$114,BY127+BX128-CG127)))</f>
        <v>143.25000000000023</v>
      </c>
      <c r="BZ128" s="14">
        <f>BY128*VLOOKUP('Données projet'!$B$12,Paramètres!$A$1:$I$89,3,0)*VLOOKUP('Données projet'!$B$12,Paramètres!$A$1:$I$89,5,0)</f>
        <v>120.67380000000021</v>
      </c>
      <c r="CA128" s="14">
        <f t="shared" si="93"/>
        <v>31.832100829633937</v>
      </c>
      <c r="CB128" s="22">
        <f t="shared" si="64"/>
        <v>265.61444394494617</v>
      </c>
      <c r="CC128" s="62">
        <f t="shared" si="65"/>
        <v>558.94777727827955</v>
      </c>
      <c r="CD128" s="62">
        <f ca="1">AVERAGE(OFFSET($CC$3,0,0,'Données projet'!$E$12+1,1))-AVERAGE(OFFSET($H$3,0,0,'Données projet'!$E$12+1,1))</f>
        <v>122.57815304102127</v>
      </c>
      <c r="CE128" s="62">
        <f t="shared" si="94"/>
        <v>80.106609825870578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23.379609213158506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23.379609213158506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-3.7243808037601412E-14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199.99826357281154</v>
      </c>
      <c r="CZ128" s="62">
        <f t="shared" si="96"/>
        <v>214.67424457475136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25.747743183121166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25.747743183121166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-5.6843418860808015E-14</v>
      </c>
      <c r="DP128" s="18">
        <f>DO128*VLOOKUP('Données projet'!$B$14,Paramètres!$A$1:$I$89,3,0)*VLOOKUP('Données projet'!$B$14,Paramètres!$A$1:$I$89,5,0)</f>
        <v>-4.5224624045658861E-14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248.15263300983543</v>
      </c>
      <c r="DU128" s="62">
        <f t="shared" si="98"/>
        <v>266.46511459244618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38.536074099654762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38.536074099654762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-5.6843418860808015E-14</v>
      </c>
      <c r="EK128" s="18">
        <f>EJ128*VLOOKUP('Données projet'!$B$15,Paramètres!$A$1:$I$89,3,0)*VLOOKUP('Données projet'!$B$15,Paramètres!$A$1:$I$89,5,0)</f>
        <v>-3.813056537183002E-14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205.35893113421139</v>
      </c>
      <c r="EP128" s="62">
        <f t="shared" si="100"/>
        <v>220.4399811285175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32.49119973108148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32.49119973108148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382.55387448074327</v>
      </c>
      <c r="T129" s="62">
        <f t="shared" si="88"/>
        <v>476.29465646955543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70.029343345585986</v>
      </c>
      <c r="AA129" s="23">
        <f>EXP(-LN(2)/25)*AA128+(1-EXP(-LN(2)/25))/(LN(2)/25)*Calculateur!V129*Calculateur!X129*VLOOKUP('Données projet'!$B$9,Paramètres!$A$1:$I$89,3,0)*0.475*44/12</f>
        <v>10.335490706935659</v>
      </c>
      <c r="AB129" s="23">
        <f>EXP(-LN(2)/2)*AB128+(1-EXP(-LN(2)/2))/(LN(2)/2)*V129*Y129*VLOOKUP('Données projet'!$B$9,Paramètres!$A$1:$I$89,3,0)*0.475*44/12</f>
        <v>6.5566099243365802E-9</v>
      </c>
      <c r="AC129" s="24">
        <f t="shared" si="57"/>
        <v>80.364834059078248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-3.4106051316484809E-13</v>
      </c>
      <c r="AJ129" s="14">
        <f>AI129*VLOOKUP('Données projet'!$B$10,Paramètres!$A$1:$I$89,3,0)*VLOOKUP('Données projet'!$B$10,Paramètres!$A$1:$I$89,5,0)</f>
        <v>-2.1282176021486519E-13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420.68062999212015</v>
      </c>
      <c r="AO129" s="62">
        <f t="shared" si="90"/>
        <v>655.24090633185676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115.22294645106705</v>
      </c>
      <c r="AV129" s="23">
        <f>EXP(-LN(2)/25)*AV128+(1-EXP(-LN(2)/25))/(LN(2)/25)*Calculateur!AQ129*Calculateur!AS129*VLOOKUP('Données projet'!$B$10,Paramètres!$A$1:$I$89,3,0)*0.475*44/12</f>
        <v>17.053944290664166</v>
      </c>
      <c r="AW129" s="23">
        <f>EXP(-LN(2)/2)*AW128+(1-EXP(-LN(2)/2))/(LN(2)/2)*AQ129*AT129*VLOOKUP('Données projet'!$B$10,Paramètres!$A$1:$I$89,3,0)*0.475*44/12</f>
        <v>2.1551714144052849E-6</v>
      </c>
      <c r="AX129" s="23">
        <f t="shared" si="60"/>
        <v>132.27689289690264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3.0833333333333335</v>
      </c>
      <c r="BD129" s="13">
        <f>IF('Données projet'!$A$88&gt;35,BD128+BC129-BL128,IF(A129&lt;'Données projet'!$A$88,$BA$205^A129,IF(A129='Données projet'!$A$88,'Données projet'!$B$88,BD128+BC129-BL128)))</f>
        <v>146.33333333333357</v>
      </c>
      <c r="BE129" s="14">
        <f>BD129*VLOOKUP('Données projet'!$B$11,Paramètres!$A$1:$I$89,3,0)*VLOOKUP('Données projet'!$B$11,Paramètres!$A$1:$I$89,5,0)</f>
        <v>132.4024000000002</v>
      </c>
      <c r="BF129" s="14">
        <f t="shared" si="91"/>
        <v>34.550890446469346</v>
      </c>
      <c r="BG129" s="22">
        <f t="shared" si="61"/>
        <v>290.77698086093443</v>
      </c>
      <c r="BH129" s="62">
        <f t="shared" si="62"/>
        <v>584.11031419426774</v>
      </c>
      <c r="BI129" s="62">
        <f ca="1">AVERAGE(OFFSET($BH$3,0,0,'Données projet'!$E$11+1,1))-AVERAGE(OFFSET($H$3,0,0,'Données projet'!$E$11+1,1))</f>
        <v>138.3429338270858</v>
      </c>
      <c r="BJ129" s="62">
        <f t="shared" si="92"/>
        <v>88.30225651635925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24.61901225046735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24.61901225046735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3.0833333333333335</v>
      </c>
      <c r="BY129" s="13">
        <f>IF('Données projet'!$A$114&gt;35,BY128+BX129-CG128,IF(A129&lt;'Données projet'!$A$114,$BV$205^A129,IF(A129='Données projet'!$A$114,'Données projet'!$B$114,BY128+BX129-CG128)))</f>
        <v>146.33333333333357</v>
      </c>
      <c r="BZ129" s="14">
        <f>BY129*VLOOKUP('Données projet'!$B$12,Paramètres!$A$1:$I$89,3,0)*VLOOKUP('Données projet'!$B$12,Paramètres!$A$1:$I$89,5,0)</f>
        <v>123.27120000000022</v>
      </c>
      <c r="CA129" s="14">
        <f t="shared" si="93"/>
        <v>32.436754629577287</v>
      </c>
      <c r="CB129" s="22">
        <f t="shared" si="64"/>
        <v>271.19135431318074</v>
      </c>
      <c r="CC129" s="62">
        <f t="shared" si="65"/>
        <v>564.52468764651405</v>
      </c>
      <c r="CD129" s="62">
        <f ca="1">AVERAGE(OFFSET($CC$3,0,0,'Données projet'!$E$12+1,1))-AVERAGE(OFFSET($H$3,0,0,'Données projet'!$E$12+1,1))</f>
        <v>122.57815304102127</v>
      </c>
      <c r="CE129" s="62">
        <f t="shared" si="94"/>
        <v>80.106609825870578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22.921149336642014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22.921149336642014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-3.7243808037601412E-14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199.99826357281154</v>
      </c>
      <c r="CZ129" s="62">
        <f t="shared" si="96"/>
        <v>214.67424457475136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25.242845643872805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25.242845643872805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-5.6843418860808015E-14</v>
      </c>
      <c r="DP129" s="18">
        <f>DO129*VLOOKUP('Données projet'!$B$14,Paramètres!$A$1:$I$89,3,0)*VLOOKUP('Données projet'!$B$14,Paramètres!$A$1:$I$89,5,0)</f>
        <v>-4.5224624045658861E-14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248.15263300983543</v>
      </c>
      <c r="DU129" s="62">
        <f t="shared" si="98"/>
        <v>266.46511459244618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37.780405191244839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37.780405191244839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-5.6843418860808015E-14</v>
      </c>
      <c r="EK129" s="18">
        <f>EJ129*VLOOKUP('Données projet'!$B$15,Paramètres!$A$1:$I$89,3,0)*VLOOKUP('Données projet'!$B$15,Paramètres!$A$1:$I$89,5,0)</f>
        <v>-3.813056537183002E-14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205.35893113421139</v>
      </c>
      <c r="EP129" s="62">
        <f t="shared" si="100"/>
        <v>220.4399811285175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31.854067122029974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31.854067122029974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382.55387448074327</v>
      </c>
      <c r="T130" s="62">
        <f t="shared" si="88"/>
        <v>476.29465646955543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68.656110636260863</v>
      </c>
      <c r="AA130" s="23">
        <f>EXP(-LN(2)/25)*AA129+(1-EXP(-LN(2)/25))/(LN(2)/25)*Calculateur!V130*Calculateur!X130*VLOOKUP('Données projet'!$B$9,Paramètres!$A$1:$I$89,3,0)*0.475*44/12</f>
        <v>10.052866170034669</v>
      </c>
      <c r="AB130" s="23">
        <f>EXP(-LN(2)/2)*AB129+(1-EXP(-LN(2)/2))/(LN(2)/2)*V130*Y130*VLOOKUP('Données projet'!$B$9,Paramètres!$A$1:$I$89,3,0)*0.475*44/12</f>
        <v>4.636223339093412E-9</v>
      </c>
      <c r="AC130" s="24">
        <f t="shared" si="57"/>
        <v>78.708976810931759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-3.4106051316484809E-13</v>
      </c>
      <c r="AJ130" s="14">
        <f>AI130*VLOOKUP('Données projet'!$B$10,Paramètres!$A$1:$I$89,3,0)*VLOOKUP('Données projet'!$B$10,Paramètres!$A$1:$I$89,5,0)</f>
        <v>-2.1282176021486519E-13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420.68062999212015</v>
      </c>
      <c r="AO130" s="62">
        <f t="shared" si="90"/>
        <v>655.24090633185676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112.96349475021948</v>
      </c>
      <c r="AV130" s="23">
        <f>EXP(-LN(2)/25)*AV129+(1-EXP(-LN(2)/25))/(LN(2)/25)*Calculateur!AQ130*Calculateur!AS130*VLOOKUP('Données projet'!$B$10,Paramètres!$A$1:$I$89,3,0)*0.475*44/12</f>
        <v>16.587603287208001</v>
      </c>
      <c r="AW130" s="23">
        <f>EXP(-LN(2)/2)*AW129+(1-EXP(-LN(2)/2))/(LN(2)/2)*AQ130*AT130*VLOOKUP('Données projet'!$B$10,Paramètres!$A$1:$I$89,3,0)*0.475*44/12</f>
        <v>1.52393632174538E-6</v>
      </c>
      <c r="AX130" s="23">
        <f t="shared" si="60"/>
        <v>129.55109956136383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3.0833333333333335</v>
      </c>
      <c r="BD130" s="13">
        <f>IF('Données projet'!$A$88&gt;35,BD129+BC130-BL129,IF(A130&lt;'Données projet'!$A$88,$BA$205^A130,IF(A130='Données projet'!$A$88,'Données projet'!$B$88,BD129+BC130-BL129)))</f>
        <v>149.41666666666691</v>
      </c>
      <c r="BE130" s="14">
        <f>BD130*VLOOKUP('Données projet'!$B$11,Paramètres!$A$1:$I$89,3,0)*VLOOKUP('Données projet'!$B$11,Paramètres!$A$1:$I$89,5,0)</f>
        <v>135.19220000000021</v>
      </c>
      <c r="BF130" s="14">
        <f t="shared" si="91"/>
        <v>35.193376038491763</v>
      </c>
      <c r="BG130" s="22">
        <f t="shared" si="61"/>
        <v>296.75487826704023</v>
      </c>
      <c r="BH130" s="62">
        <f t="shared" si="62"/>
        <v>590.0882116003736</v>
      </c>
      <c r="BI130" s="62">
        <f ca="1">AVERAGE(OFFSET($BH$3,0,0,'Données projet'!$E$11+1,1))-AVERAGE(OFFSET($H$3,0,0,'Données projet'!$E$11+1,1))</f>
        <v>138.3429338270858</v>
      </c>
      <c r="BJ130" s="62">
        <f t="shared" si="92"/>
        <v>88.30225651635925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24.136248436350439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24.136248436350439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3.0833333333333335</v>
      </c>
      <c r="BY130" s="13">
        <f>IF('Données projet'!$A$114&gt;35,BY129+BX130-CG129,IF(A130&lt;'Données projet'!$A$114,$BV$205^A130,IF(A130='Données projet'!$A$114,'Données projet'!$B$114,BY129+BX130-CG129)))</f>
        <v>149.41666666666691</v>
      </c>
      <c r="BZ130" s="14">
        <f>BY130*VLOOKUP('Données projet'!$B$12,Paramètres!$A$1:$I$89,3,0)*VLOOKUP('Données projet'!$B$12,Paramètres!$A$1:$I$89,5,0)</f>
        <v>125.86860000000023</v>
      </c>
      <c r="CA130" s="14">
        <f t="shared" si="93"/>
        <v>33.039927145022524</v>
      </c>
      <c r="CB130" s="22">
        <f t="shared" si="64"/>
        <v>276.76568477758133</v>
      </c>
      <c r="CC130" s="62">
        <f t="shared" si="65"/>
        <v>570.09901811091459</v>
      </c>
      <c r="CD130" s="62">
        <f ca="1">AVERAGE(OFFSET($CC$3,0,0,'Données projet'!$E$12+1,1))-AVERAGE(OFFSET($H$3,0,0,'Données projet'!$E$12+1,1))</f>
        <v>122.57815304102127</v>
      </c>
      <c r="CE130" s="62">
        <f t="shared" si="94"/>
        <v>80.106609825870578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22.471679578671097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22.471679578671097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-3.7243808037601412E-14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199.99826357281154</v>
      </c>
      <c r="CZ130" s="62">
        <f t="shared" si="96"/>
        <v>214.67424457475136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24.747848837412011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24.747848837412011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-5.6843418860808015E-14</v>
      </c>
      <c r="DP130" s="18">
        <f>DO130*VLOOKUP('Données projet'!$B$14,Paramètres!$A$1:$I$89,3,0)*VLOOKUP('Données projet'!$B$14,Paramètres!$A$1:$I$89,5,0)</f>
        <v>-4.5224624045658861E-14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248.15263300983543</v>
      </c>
      <c r="DU130" s="62">
        <f t="shared" si="98"/>
        <v>266.46511459244618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37.039554489216307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37.039554489216307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-5.6843418860808015E-14</v>
      </c>
      <c r="EK130" s="18">
        <f>EJ130*VLOOKUP('Données projet'!$B$15,Paramètres!$A$1:$I$89,3,0)*VLOOKUP('Données projet'!$B$15,Paramètres!$A$1:$I$89,5,0)</f>
        <v>-3.813056537183002E-14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205.35893113421139</v>
      </c>
      <c r="EP130" s="62">
        <f t="shared" si="100"/>
        <v>220.4399811285175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31.22942829482945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31.22942829482945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382.55387448074327</v>
      </c>
      <c r="T131" s="62">
        <f t="shared" si="88"/>
        <v>476.29465646955543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67.309806182776356</v>
      </c>
      <c r="AA131" s="23">
        <f>EXP(-LN(2)/25)*AA130+(1-EXP(-LN(2)/25))/(LN(2)/25)*Calculateur!V131*Calculateur!X131*VLOOKUP('Données projet'!$B$9,Paramètres!$A$1:$I$89,3,0)*0.475*44/12</f>
        <v>9.7779700159578145</v>
      </c>
      <c r="AB131" s="23">
        <f>EXP(-LN(2)/2)*AB130+(1-EXP(-LN(2)/2))/(LN(2)/2)*V131*Y131*VLOOKUP('Données projet'!$B$9,Paramètres!$A$1:$I$89,3,0)*0.475*44/12</f>
        <v>3.2783049621682901E-9</v>
      </c>
      <c r="AC131" s="24">
        <f t="shared" si="57"/>
        <v>77.087776202012478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-3.4106051316484809E-13</v>
      </c>
      <c r="AJ131" s="14">
        <f>AI131*VLOOKUP('Données projet'!$B$10,Paramètres!$A$1:$I$89,3,0)*VLOOKUP('Données projet'!$B$10,Paramètres!$A$1:$I$89,5,0)</f>
        <v>-2.1282176021486519E-13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420.68062999212015</v>
      </c>
      <c r="AO131" s="62">
        <f t="shared" si="90"/>
        <v>655.24090633185676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110.74834951909608</v>
      </c>
      <c r="AV131" s="23">
        <f>EXP(-LN(2)/25)*AV130+(1-EXP(-LN(2)/25))/(LN(2)/25)*Calculateur!AQ131*Calculateur!AS131*VLOOKUP('Données projet'!$B$10,Paramètres!$A$1:$I$89,3,0)*0.475*44/12</f>
        <v>16.134014403015154</v>
      </c>
      <c r="AW131" s="23">
        <f>EXP(-LN(2)/2)*AW130+(1-EXP(-LN(2)/2))/(LN(2)/2)*AQ131*AT131*VLOOKUP('Données projet'!$B$10,Paramètres!$A$1:$I$89,3,0)*0.475*44/12</f>
        <v>1.0775857072026425E-6</v>
      </c>
      <c r="AX131" s="23">
        <f t="shared" si="60"/>
        <v>126.88236499969695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3.0833333333333335</v>
      </c>
      <c r="BD131" s="13">
        <f>IF('Données projet'!$A$88&gt;35,BD130+BC131-BL130,IF(A131&lt;'Données projet'!$A$88,$BA$205^A131,IF(A131='Données projet'!$A$88,'Données projet'!$B$88,BD130+BC131-BL130)))</f>
        <v>152.50000000000026</v>
      </c>
      <c r="BE131" s="14">
        <f>BD131*VLOOKUP('Données projet'!$B$11,Paramètres!$A$1:$I$89,3,0)*VLOOKUP('Données projet'!$B$11,Paramètres!$A$1:$I$89,5,0)</f>
        <v>137.98200000000023</v>
      </c>
      <c r="BF131" s="14">
        <f t="shared" si="91"/>
        <v>35.834320111431971</v>
      </c>
      <c r="BG131" s="22">
        <f t="shared" si="61"/>
        <v>302.73009086074438</v>
      </c>
      <c r="BH131" s="62">
        <f t="shared" si="62"/>
        <v>596.0634241940777</v>
      </c>
      <c r="BI131" s="62">
        <f ca="1">AVERAGE(OFFSET($BH$3,0,0,'Données projet'!$E$11+1,1))-AVERAGE(OFFSET($H$3,0,0,'Données projet'!$E$11+1,1))</f>
        <v>138.3429338270858</v>
      </c>
      <c r="BJ131" s="62">
        <f t="shared" si="92"/>
        <v>88.30225651635925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23.662951326171509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23.662951326171509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3.0833333333333335</v>
      </c>
      <c r="BY131" s="13">
        <f>IF('Données projet'!$A$114&gt;35,BY130+BX131-CG130,IF(A131&lt;'Données projet'!$A$114,$BV$205^A131,IF(A131='Données projet'!$A$114,'Données projet'!$B$114,BY130+BX131-CG130)))</f>
        <v>152.50000000000026</v>
      </c>
      <c r="BZ131" s="14">
        <f>BY131*VLOOKUP('Données projet'!$B$12,Paramètres!$A$1:$I$89,3,0)*VLOOKUP('Données projet'!$B$12,Paramètres!$A$1:$I$89,5,0)</f>
        <v>128.46600000000024</v>
      </c>
      <c r="CA131" s="14">
        <f t="shared" si="93"/>
        <v>33.641652465458307</v>
      </c>
      <c r="CB131" s="22">
        <f t="shared" si="64"/>
        <v>282.33749471067364</v>
      </c>
      <c r="CC131" s="62">
        <f t="shared" si="65"/>
        <v>575.67082804400695</v>
      </c>
      <c r="CD131" s="62">
        <f ca="1">AVERAGE(OFFSET($CC$3,0,0,'Données projet'!$E$12+1,1))-AVERAGE(OFFSET($H$3,0,0,'Données projet'!$E$12+1,1))</f>
        <v>122.57815304102127</v>
      </c>
      <c r="CE131" s="62">
        <f t="shared" si="94"/>
        <v>80.106609825870578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22.031023648504508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22.031023648504508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-3.7243808037601412E-14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199.99826357281154</v>
      </c>
      <c r="CZ131" s="62">
        <f t="shared" si="96"/>
        <v>214.67424457475136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24.262558616407674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24.262558616407674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-5.6843418860808015E-14</v>
      </c>
      <c r="DP131" s="18">
        <f>DO131*VLOOKUP('Données projet'!$B$14,Paramètres!$A$1:$I$89,3,0)*VLOOKUP('Données projet'!$B$14,Paramètres!$A$1:$I$89,5,0)</f>
        <v>-4.5224624045658861E-14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248.15263300983543</v>
      </c>
      <c r="DU131" s="62">
        <f t="shared" si="98"/>
        <v>266.46511459244618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36.313231417580248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36.313231417580248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-5.6843418860808015E-14</v>
      </c>
      <c r="EK131" s="18">
        <f>EJ131*VLOOKUP('Données projet'!$B$15,Paramètres!$A$1:$I$89,3,0)*VLOOKUP('Données projet'!$B$15,Paramètres!$A$1:$I$89,5,0)</f>
        <v>-3.813056537183002E-14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205.35893113421139</v>
      </c>
      <c r="EP131" s="62">
        <f t="shared" si="100"/>
        <v>220.4399811285175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30.617038254038263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30.617038254038263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382.55387448074327</v>
      </c>
      <c r="T132" s="62">
        <f t="shared" si="88"/>
        <v>476.29465646955543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65.989901938460051</v>
      </c>
      <c r="AA132" s="23">
        <f>EXP(-LN(2)/25)*AA131+(1-EXP(-LN(2)/25))/(LN(2)/25)*Calculateur!V132*Calculateur!X132*VLOOKUP('Données projet'!$B$9,Paramètres!$A$1:$I$89,3,0)*0.475*44/12</f>
        <v>9.5105909116703522</v>
      </c>
      <c r="AB132" s="23">
        <f>EXP(-LN(2)/2)*AB131+(1-EXP(-LN(2)/2))/(LN(2)/2)*V132*Y132*VLOOKUP('Données projet'!$B$9,Paramètres!$A$1:$I$89,3,0)*0.475*44/12</f>
        <v>2.318111669546706E-9</v>
      </c>
      <c r="AC132" s="24">
        <f t="shared" ref="AC132:AC153" si="111">SUM(Z132:AB132)</f>
        <v>75.500492852448517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-3.4106051316484809E-13</v>
      </c>
      <c r="AJ132" s="14">
        <f>AI132*VLOOKUP('Données projet'!$B$10,Paramètres!$A$1:$I$89,3,0)*VLOOKUP('Données projet'!$B$10,Paramètres!$A$1:$I$89,5,0)</f>
        <v>-2.1282176021486519E-13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420.68062999212015</v>
      </c>
      <c r="AO132" s="62">
        <f t="shared" si="90"/>
        <v>655.24090633185676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108.57664193484982</v>
      </c>
      <c r="AV132" s="23">
        <f>EXP(-LN(2)/25)*AV131+(1-EXP(-LN(2)/25))/(LN(2)/25)*Calculateur!AQ132*Calculateur!AS132*VLOOKUP('Données projet'!$B$10,Paramètres!$A$1:$I$89,3,0)*0.475*44/12</f>
        <v>15.692828930713763</v>
      </c>
      <c r="AW132" s="23">
        <f>EXP(-LN(2)/2)*AW131+(1-EXP(-LN(2)/2))/(LN(2)/2)*AQ132*AT132*VLOOKUP('Données projet'!$B$10,Paramètres!$A$1:$I$89,3,0)*0.475*44/12</f>
        <v>7.6196816087268998E-7</v>
      </c>
      <c r="AX132" s="23">
        <f t="shared" ref="AX132:AX153" si="114">SUM(AU132:AW132)</f>
        <v>124.26947162753174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3.0833333333333335</v>
      </c>
      <c r="BD132" s="13">
        <f>IF('Données projet'!$A$88&gt;35,BD131+BC132-BL131,IF(A132&lt;'Données projet'!$A$88,$BA$205^A132,IF(A132='Données projet'!$A$88,'Données projet'!$B$88,BD131+BC132-BL131)))</f>
        <v>155.5833333333336</v>
      </c>
      <c r="BE132" s="14">
        <f>BD132*VLOOKUP('Données projet'!$B$11,Paramètres!$A$1:$I$89,3,0)*VLOOKUP('Données projet'!$B$11,Paramètres!$A$1:$I$89,5,0)</f>
        <v>140.77180000000024</v>
      </c>
      <c r="BF132" s="14">
        <f t="shared" si="91"/>
        <v>36.473757424360336</v>
      </c>
      <c r="BG132" s="22">
        <f t="shared" ref="BG132:BG153" si="115">(BE132+BF132)*0.475*44/12</f>
        <v>308.70267918076132</v>
      </c>
      <c r="BH132" s="62">
        <f t="shared" ref="BH132:BH195" si="116">BG132+(AY132+AZ132)*44/12</f>
        <v>602.03601251409464</v>
      </c>
      <c r="BI132" s="62">
        <f ca="1">AVERAGE(OFFSET($BH$3,0,0,'Données projet'!$E$11+1,1))-AVERAGE(OFFSET($H$3,0,0,'Données projet'!$E$11+1,1))</f>
        <v>138.3429338270858</v>
      </c>
      <c r="BJ132" s="62">
        <f t="shared" si="92"/>
        <v>88.30225651635925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23.198935283640456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23.198935283640456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3.0833333333333335</v>
      </c>
      <c r="BY132" s="13">
        <f>IF('Données projet'!$A$114&gt;35,BY131+BX132-CG131,IF(A132&lt;'Données projet'!$A$114,$BV$205^A132,IF(A132='Données projet'!$A$114,'Données projet'!$B$114,BY131+BX132-CG131)))</f>
        <v>155.5833333333336</v>
      </c>
      <c r="BZ132" s="14">
        <f>BY132*VLOOKUP('Données projet'!$B$12,Paramètres!$A$1:$I$89,3,0)*VLOOKUP('Données projet'!$B$12,Paramètres!$A$1:$I$89,5,0)</f>
        <v>131.06340000000023</v>
      </c>
      <c r="CA132" s="14">
        <f t="shared" si="93"/>
        <v>34.241963223080852</v>
      </c>
      <c r="CB132" s="22">
        <f t="shared" ref="CB132:CB153" si="118">(BZ132+CA132)*0.475*44/12</f>
        <v>287.90684094686623</v>
      </c>
      <c r="CC132" s="62">
        <f t="shared" ref="CC132:CC195" si="119">CB132+(BT132+BU132)*44/12</f>
        <v>581.24017428019954</v>
      </c>
      <c r="CD132" s="62">
        <f ca="1">AVERAGE(OFFSET($CC$3,0,0,'Données projet'!$E$12+1,1))-AVERAGE(OFFSET($H$3,0,0,'Données projet'!$E$12+1,1))</f>
        <v>122.57815304102127</v>
      </c>
      <c r="CE132" s="62">
        <f t="shared" si="94"/>
        <v>80.106609825870578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21.599008712354909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21.599008712354909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-3.7243808037601412E-14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199.99826357281154</v>
      </c>
      <c r="CZ132" s="62">
        <f t="shared" si="96"/>
        <v>214.67424457475136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23.786784640639425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23.786784640639425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-5.6843418860808015E-14</v>
      </c>
      <c r="DP132" s="18">
        <f>DO132*VLOOKUP('Données projet'!$B$14,Paramètres!$A$1:$I$89,3,0)*VLOOKUP('Données projet'!$B$14,Paramètres!$A$1:$I$89,5,0)</f>
        <v>-4.5224624045658861E-14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248.15263300983543</v>
      </c>
      <c r="DU132" s="62">
        <f t="shared" si="98"/>
        <v>266.46511459244618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35.601151098365641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35.601151098365641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-5.6843418860808015E-14</v>
      </c>
      <c r="EK132" s="18">
        <f>EJ132*VLOOKUP('Données projet'!$B$15,Paramètres!$A$1:$I$89,3,0)*VLOOKUP('Données projet'!$B$15,Paramètres!$A$1:$I$89,5,0)</f>
        <v>-3.813056537183002E-14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205.35893113421139</v>
      </c>
      <c r="EP132" s="62">
        <f t="shared" si="100"/>
        <v>220.4399811285175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30.01665680842595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30.01665680842595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382.55387448074327</v>
      </c>
      <c r="T133" s="62">
        <f t="shared" ref="T133:T196" si="142">$T$3</f>
        <v>476.29465646955543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64.695880211312684</v>
      </c>
      <c r="AA133" s="23">
        <f>EXP(-LN(2)/25)*AA132+(1-EXP(-LN(2)/25))/(LN(2)/25)*Calculateur!V133*Calculateur!X133*VLOOKUP('Données projet'!$B$9,Paramètres!$A$1:$I$89,3,0)*0.475*44/12</f>
        <v>9.2505233030504872</v>
      </c>
      <c r="AB133" s="23">
        <f>EXP(-LN(2)/2)*AB132+(1-EXP(-LN(2)/2))/(LN(2)/2)*V133*Y133*VLOOKUP('Données projet'!$B$9,Paramètres!$A$1:$I$89,3,0)*0.475*44/12</f>
        <v>1.6391524810841451E-9</v>
      </c>
      <c r="AC133" s="24">
        <f t="shared" si="111"/>
        <v>73.94640351600232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-3.4106051316484809E-13</v>
      </c>
      <c r="AJ133" s="14">
        <f>AI133*VLOOKUP('Données projet'!$B$10,Paramètres!$A$1:$I$89,3,0)*VLOOKUP('Données projet'!$B$10,Paramètres!$A$1:$I$89,5,0)</f>
        <v>-2.1282176021486519E-13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420.68062999212015</v>
      </c>
      <c r="AO133" s="62">
        <f t="shared" ref="AO133:AO196" si="144">$AO$3</f>
        <v>655.24090633185676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106.44752021171979</v>
      </c>
      <c r="AV133" s="23">
        <f>EXP(-LN(2)/25)*AV132+(1-EXP(-LN(2)/25))/(LN(2)/25)*Calculateur!AQ133*Calculateur!AS133*VLOOKUP('Données projet'!$B$10,Paramètres!$A$1:$I$89,3,0)*0.475*44/12</f>
        <v>15.263707698353388</v>
      </c>
      <c r="AW133" s="23">
        <f>EXP(-LN(2)/2)*AW132+(1-EXP(-LN(2)/2))/(LN(2)/2)*AQ133*AT133*VLOOKUP('Données projet'!$B$10,Paramètres!$A$1:$I$89,3,0)*0.475*44/12</f>
        <v>5.3879285360132123E-7</v>
      </c>
      <c r="AX133" s="23">
        <f t="shared" si="114"/>
        <v>121.71122844886602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3.0833333333333335</v>
      </c>
      <c r="BD133" s="13">
        <f>IF('Données projet'!$A$88&gt;35,BD132+BC133-BL132,IF(A133&lt;'Données projet'!$A$88,$BA$205^A133,IF(A133='Données projet'!$A$88,'Données projet'!$B$88,BD132+BC133-BL132)))</f>
        <v>158.66666666666694</v>
      </c>
      <c r="BE133" s="14">
        <f>BD133*VLOOKUP('Données projet'!$B$11,Paramètres!$A$1:$I$89,3,0)*VLOOKUP('Données projet'!$B$11,Paramètres!$A$1:$I$89,5,0)</f>
        <v>143.56160000000023</v>
      </c>
      <c r="BF133" s="14">
        <f t="shared" ref="BF133:BF153" si="145">EXP(-1.0587+0.8836*LN(BE133)+0.284)</f>
        <v>37.111721279856376</v>
      </c>
      <c r="BG133" s="22">
        <f t="shared" si="115"/>
        <v>314.67270122908354</v>
      </c>
      <c r="BH133" s="62">
        <f t="shared" si="116"/>
        <v>608.00603456241686</v>
      </c>
      <c r="BI133" s="62">
        <f ca="1">AVERAGE(OFFSET($BH$3,0,0,'Données projet'!$E$11+1,1))-AVERAGE(OFFSET($H$3,0,0,'Données projet'!$E$11+1,1))</f>
        <v>138.3429338270858</v>
      </c>
      <c r="BJ133" s="62">
        <f t="shared" ref="BJ133:BJ196" si="146">$BJ$3</f>
        <v>88.30225651635925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22.744018312681597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22.744018312681597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3.0833333333333335</v>
      </c>
      <c r="BY133" s="13">
        <f>IF('Données projet'!$A$114&gt;35,BY132+BX133-CG132,IF(A133&lt;'Données projet'!$A$114,$BV$205^A133,IF(A133='Données projet'!$A$114,'Données projet'!$B$114,BY132+BX133-CG132)))</f>
        <v>158.66666666666694</v>
      </c>
      <c r="BZ133" s="14">
        <f>BY133*VLOOKUP('Données projet'!$B$12,Paramètres!$A$1:$I$89,3,0)*VLOOKUP('Données projet'!$B$12,Paramètres!$A$1:$I$89,5,0)</f>
        <v>133.66080000000025</v>
      </c>
      <c r="CA133" s="14">
        <f t="shared" ref="CA133:CA153" si="147">EXP(-1.0587+0.8836*LN(BZ133)+0.284)</f>
        <v>34.840890682716811</v>
      </c>
      <c r="CB133" s="22">
        <f t="shared" si="118"/>
        <v>293.47377793906554</v>
      </c>
      <c r="CC133" s="62">
        <f t="shared" si="119"/>
        <v>586.80711127239886</v>
      </c>
      <c r="CD133" s="62">
        <f ca="1">AVERAGE(OFFSET($CC$3,0,0,'Données projet'!$E$12+1,1))-AVERAGE(OFFSET($H$3,0,0,'Données projet'!$E$12+1,1))</f>
        <v>122.57815304102127</v>
      </c>
      <c r="CE133" s="62">
        <f t="shared" ref="CE133:CE196" si="148">$CE$3</f>
        <v>80.106609825870578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21.175465325600111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21.175465325600111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-3.7243808037601412E-14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199.99826357281154</v>
      </c>
      <c r="CZ133" s="62">
        <f t="shared" ref="CZ133:CZ196" si="150">$CZ$3</f>
        <v>214.67424457475136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23.320340302342522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23.320340302342522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-5.6843418860808015E-14</v>
      </c>
      <c r="DP133" s="18">
        <f>DO133*VLOOKUP('Données projet'!$B$14,Paramètres!$A$1:$I$89,3,0)*VLOOKUP('Données projet'!$B$14,Paramètres!$A$1:$I$89,5,0)</f>
        <v>-4.5224624045658861E-14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248.15263300983543</v>
      </c>
      <c r="DU133" s="62">
        <f t="shared" ref="DU133:DU196" si="152">$DU$3</f>
        <v>266.46511459244618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34.903034239884725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34.903034239884725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-5.6843418860808015E-14</v>
      </c>
      <c r="EK133" s="18">
        <f>EJ133*VLOOKUP('Données projet'!$B$15,Paramètres!$A$1:$I$89,3,0)*VLOOKUP('Données projet'!$B$15,Paramètres!$A$1:$I$89,5,0)</f>
        <v>-3.813056537183002E-14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205.35893113421139</v>
      </c>
      <c r="EP133" s="62">
        <f t="shared" ref="EP133:EP196" si="154">$EP$3</f>
        <v>220.4399811285175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29.428048476765571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29.428048476765571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382.55387448074327</v>
      </c>
      <c r="T134" s="62">
        <f t="shared" si="142"/>
        <v>476.29465646955543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63.427233460959364</v>
      </c>
      <c r="AA134" s="23">
        <f>EXP(-LN(2)/25)*AA133+(1-EXP(-LN(2)/25))/(LN(2)/25)*Calculateur!V134*Calculateur!X134*VLOOKUP('Données projet'!$B$9,Paramètres!$A$1:$I$89,3,0)*0.475*44/12</f>
        <v>8.9975672568646932</v>
      </c>
      <c r="AB134" s="23">
        <f>EXP(-LN(2)/2)*AB133+(1-EXP(-LN(2)/2))/(LN(2)/2)*V134*Y134*VLOOKUP('Données projet'!$B$9,Paramètres!$A$1:$I$89,3,0)*0.475*44/12</f>
        <v>1.159055834773353E-9</v>
      </c>
      <c r="AC134" s="24">
        <f t="shared" si="111"/>
        <v>72.424800718983107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-3.4106051316484809E-13</v>
      </c>
      <c r="AJ134" s="14">
        <f>AI134*VLOOKUP('Données projet'!$B$10,Paramètres!$A$1:$I$89,3,0)*VLOOKUP('Données projet'!$B$10,Paramètres!$A$1:$I$89,5,0)</f>
        <v>-2.1282176021486519E-13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420.68062999212015</v>
      </c>
      <c r="AO134" s="62">
        <f t="shared" si="144"/>
        <v>655.24090633185676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104.36014926694433</v>
      </c>
      <c r="AV134" s="23">
        <f>EXP(-LN(2)/25)*AV133+(1-EXP(-LN(2)/25))/(LN(2)/25)*Calculateur!AQ134*Calculateur!AS134*VLOOKUP('Données projet'!$B$10,Paramètres!$A$1:$I$89,3,0)*0.475*44/12</f>
        <v>14.846320808658412</v>
      </c>
      <c r="AW134" s="23">
        <f>EXP(-LN(2)/2)*AW133+(1-EXP(-LN(2)/2))/(LN(2)/2)*AQ134*AT134*VLOOKUP('Données projet'!$B$10,Paramètres!$A$1:$I$89,3,0)*0.475*44/12</f>
        <v>3.8098408043634499E-7</v>
      </c>
      <c r="AX134" s="23">
        <f t="shared" si="114"/>
        <v>119.20647045658681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3.0833333333333335</v>
      </c>
      <c r="BD134" s="13">
        <f>IF('Données projet'!$A$88&gt;35,BD133+BC134-BL133,IF(A134&lt;'Données projet'!$A$88,$BA$205^A134,IF(A134='Données projet'!$A$88,'Données projet'!$B$88,BD133+BC134-BL133)))</f>
        <v>161.75000000000028</v>
      </c>
      <c r="BE134" s="14">
        <f>BD134*VLOOKUP('Données projet'!$B$11,Paramètres!$A$1:$I$89,3,0)*VLOOKUP('Données projet'!$B$11,Paramètres!$A$1:$I$89,5,0)</f>
        <v>146.35140000000024</v>
      </c>
      <c r="BF134" s="14">
        <f t="shared" si="145"/>
        <v>37.748243612136818</v>
      </c>
      <c r="BG134" s="22">
        <f t="shared" si="115"/>
        <v>320.64021262447204</v>
      </c>
      <c r="BH134" s="62">
        <f t="shared" si="116"/>
        <v>613.9735459578053</v>
      </c>
      <c r="BI134" s="62">
        <f ca="1">AVERAGE(OFFSET($BH$3,0,0,'Données projet'!$E$11+1,1))-AVERAGE(OFFSET($H$3,0,0,'Données projet'!$E$11+1,1))</f>
        <v>138.3429338270858</v>
      </c>
      <c r="BJ134" s="62">
        <f t="shared" si="146"/>
        <v>88.30225651635925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22.298021986051289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22.298021986051289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3.0833333333333335</v>
      </c>
      <c r="BY134" s="13">
        <f>IF('Données projet'!$A$114&gt;35,BY133+BX134-CG133,IF(A134&lt;'Données projet'!$A$114,$BV$205^A134,IF(A134='Données projet'!$A$114,'Données projet'!$B$114,BY133+BX134-CG133)))</f>
        <v>161.75000000000028</v>
      </c>
      <c r="BZ134" s="14">
        <f>BY134*VLOOKUP('Données projet'!$B$12,Paramètres!$A$1:$I$89,3,0)*VLOOKUP('Données projet'!$B$12,Paramètres!$A$1:$I$89,5,0)</f>
        <v>136.25820000000024</v>
      </c>
      <c r="CA134" s="14">
        <f t="shared" si="147"/>
        <v>35.438464824558842</v>
      </c>
      <c r="CB134" s="22">
        <f t="shared" si="118"/>
        <v>299.03835790277373</v>
      </c>
      <c r="CC134" s="62">
        <f t="shared" si="119"/>
        <v>592.37169123610704</v>
      </c>
      <c r="CD134" s="62">
        <f ca="1">AVERAGE(OFFSET($CC$3,0,0,'Données projet'!$E$12+1,1))-AVERAGE(OFFSET($H$3,0,0,'Données projet'!$E$12+1,1))</f>
        <v>122.57815304102127</v>
      </c>
      <c r="CE134" s="62">
        <f t="shared" si="148"/>
        <v>80.106609825870578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20.760227366323615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20.760227366323615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-3.7243808037601412E-14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199.99826357281154</v>
      </c>
      <c r="CZ134" s="62">
        <f t="shared" si="150"/>
        <v>214.67424457475136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22.863042653016667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22.863042653016667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-5.6843418860808015E-14</v>
      </c>
      <c r="DP134" s="18">
        <f>DO134*VLOOKUP('Données projet'!$B$14,Paramètres!$A$1:$I$89,3,0)*VLOOKUP('Données projet'!$B$14,Paramètres!$A$1:$I$89,5,0)</f>
        <v>-4.5224624045658861E-14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248.15263300983543</v>
      </c>
      <c r="DU134" s="62">
        <f t="shared" si="152"/>
        <v>266.46511459244618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34.218607027189385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34.218607027189385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-5.6843418860808015E-14</v>
      </c>
      <c r="EK134" s="18">
        <f>EJ134*VLOOKUP('Données projet'!$B$15,Paramètres!$A$1:$I$89,3,0)*VLOOKUP('Données projet'!$B$15,Paramètres!$A$1:$I$89,5,0)</f>
        <v>-3.813056537183002E-14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205.35893113421139</v>
      </c>
      <c r="EP134" s="62">
        <f t="shared" si="154"/>
        <v>220.4399811285175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28.850982395473419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28.850982395473419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382.55387448074327</v>
      </c>
      <c r="T135" s="62">
        <f t="shared" si="142"/>
        <v>476.29465646955543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62.183464099582359</v>
      </c>
      <c r="AA135" s="23">
        <f>EXP(-LN(2)/25)*AA134+(1-EXP(-LN(2)/25))/(LN(2)/25)*Calculateur!V135*Calculateur!X135*VLOOKUP('Données projet'!$B$9,Paramètres!$A$1:$I$89,3,0)*0.475*44/12</f>
        <v>8.7515283070642305</v>
      </c>
      <c r="AB135" s="23">
        <f>EXP(-LN(2)/2)*AB134+(1-EXP(-LN(2)/2))/(LN(2)/2)*V135*Y135*VLOOKUP('Données projet'!$B$9,Paramètres!$A$1:$I$89,3,0)*0.475*44/12</f>
        <v>8.1957624054207253E-10</v>
      </c>
      <c r="AC135" s="24">
        <f t="shared" si="111"/>
        <v>70.934992407466169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-3.4106051316484809E-13</v>
      </c>
      <c r="AJ135" s="14">
        <f>AI135*VLOOKUP('Données projet'!$B$10,Paramètres!$A$1:$I$89,3,0)*VLOOKUP('Données projet'!$B$10,Paramètres!$A$1:$I$89,5,0)</f>
        <v>-2.1282176021486519E-13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420.68062999212015</v>
      </c>
      <c r="AO135" s="62">
        <f t="shared" si="144"/>
        <v>655.24090633185676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102.31371039322535</v>
      </c>
      <c r="AV135" s="23">
        <f>EXP(-LN(2)/25)*AV134+(1-EXP(-LN(2)/25))/(LN(2)/25)*Calculateur!AQ135*Calculateur!AS135*VLOOKUP('Données projet'!$B$10,Paramètres!$A$1:$I$89,3,0)*0.475*44/12</f>
        <v>14.440347385411568</v>
      </c>
      <c r="AW135" s="23">
        <f>EXP(-LN(2)/2)*AW134+(1-EXP(-LN(2)/2))/(LN(2)/2)*AQ135*AT135*VLOOKUP('Données projet'!$B$10,Paramètres!$A$1:$I$89,3,0)*0.475*44/12</f>
        <v>2.6939642680066062E-7</v>
      </c>
      <c r="AX135" s="23">
        <f t="shared" si="114"/>
        <v>116.75405804803334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3.0833333333333335</v>
      </c>
      <c r="BD135" s="13">
        <f>IF('Données projet'!$A$88&gt;35,BD134+BC135-BL134,IF(A135&lt;'Données projet'!$A$88,$BA$205^A135,IF(A135='Données projet'!$A$88,'Données projet'!$B$88,BD134+BC135-BL134)))</f>
        <v>164.83333333333363</v>
      </c>
      <c r="BE135" s="14">
        <f>BD135*VLOOKUP('Données projet'!$B$11,Paramètres!$A$1:$I$89,3,0)*VLOOKUP('Données projet'!$B$11,Paramètres!$A$1:$I$89,5,0)</f>
        <v>149.14120000000025</v>
      </c>
      <c r="BF135" s="14">
        <f t="shared" si="145"/>
        <v>38.383355068273865</v>
      </c>
      <c r="BG135" s="22">
        <f t="shared" si="115"/>
        <v>326.60526674391076</v>
      </c>
      <c r="BH135" s="62">
        <f t="shared" si="116"/>
        <v>619.93860007724402</v>
      </c>
      <c r="BI135" s="62">
        <f ca="1">AVERAGE(OFFSET($BH$3,0,0,'Données projet'!$E$11+1,1))-AVERAGE(OFFSET($H$3,0,0,'Données projet'!$E$11+1,1))</f>
        <v>138.3429338270858</v>
      </c>
      <c r="BJ135" s="62">
        <f t="shared" si="146"/>
        <v>88.30225651635925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21.860771375355302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21.860771375355302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3.0833333333333335</v>
      </c>
      <c r="BY135" s="13">
        <f>IF('Données projet'!$A$114&gt;35,BY134+BX135-CG134,IF(A135&lt;'Données projet'!$A$114,$BV$205^A135,IF(A135='Données projet'!$A$114,'Données projet'!$B$114,BY134+BX135-CG134)))</f>
        <v>164.83333333333363</v>
      </c>
      <c r="BZ135" s="14">
        <f>BY135*VLOOKUP('Données projet'!$B$12,Paramètres!$A$1:$I$89,3,0)*VLOOKUP('Données projet'!$B$12,Paramètres!$A$1:$I$89,5,0)</f>
        <v>138.85560000000027</v>
      </c>
      <c r="CA135" s="14">
        <f t="shared" si="147"/>
        <v>36.034714420414218</v>
      </c>
      <c r="CB135" s="22">
        <f t="shared" si="118"/>
        <v>304.60063094888858</v>
      </c>
      <c r="CC135" s="62">
        <f t="shared" si="119"/>
        <v>597.93396428222195</v>
      </c>
      <c r="CD135" s="62">
        <f ca="1">AVERAGE(OFFSET($CC$3,0,0,'Données projet'!$E$12+1,1))-AVERAGE(OFFSET($H$3,0,0,'Données projet'!$E$12+1,1))</f>
        <v>122.57815304102127</v>
      </c>
      <c r="CE135" s="62">
        <f t="shared" si="148"/>
        <v>80.106609825870578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20.353131970158387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20.353131970158387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-3.7243808037601412E-14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199.99826357281154</v>
      </c>
      <c r="CZ135" s="62">
        <f t="shared" si="150"/>
        <v>214.67424457475136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22.414712331670067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22.414712331670067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-5.6843418860808015E-14</v>
      </c>
      <c r="DP135" s="18">
        <f>DO135*VLOOKUP('Données projet'!$B$14,Paramètres!$A$1:$I$89,3,0)*VLOOKUP('Données projet'!$B$14,Paramètres!$A$1:$I$89,5,0)</f>
        <v>-4.5224624045658861E-14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248.15263300983543</v>
      </c>
      <c r="DU135" s="62">
        <f t="shared" si="152"/>
        <v>266.46511459244618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33.547601014675621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33.547601014675621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-5.6843418860808015E-14</v>
      </c>
      <c r="EK135" s="18">
        <f>EJ135*VLOOKUP('Données projet'!$B$15,Paramètres!$A$1:$I$89,3,0)*VLOOKUP('Données projet'!$B$15,Paramètres!$A$1:$I$89,5,0)</f>
        <v>-3.813056537183002E-14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205.35893113421139</v>
      </c>
      <c r="EP135" s="62">
        <f t="shared" si="154"/>
        <v>220.4399811285175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28.285232228059851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28.285232228059851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382.55387448074327</v>
      </c>
      <c r="T136" s="62">
        <f t="shared" si="142"/>
        <v>476.29465646955543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60.964084296757555</v>
      </c>
      <c r="AA136" s="23">
        <f>EXP(-LN(2)/25)*AA135+(1-EXP(-LN(2)/25))/(LN(2)/25)*Calculateur!V136*Calculateur!X136*VLOOKUP('Données projet'!$B$9,Paramètres!$A$1:$I$89,3,0)*0.475*44/12</f>
        <v>8.5122173052846879</v>
      </c>
      <c r="AB136" s="23">
        <f>EXP(-LN(2)/2)*AB135+(1-EXP(-LN(2)/2))/(LN(2)/2)*V136*Y136*VLOOKUP('Données projet'!$B$9,Paramètres!$A$1:$I$89,3,0)*0.475*44/12</f>
        <v>5.7952791738667651E-10</v>
      </c>
      <c r="AC136" s="24">
        <f t="shared" si="111"/>
        <v>69.476301602621774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-3.4106051316484809E-13</v>
      </c>
      <c r="AJ136" s="14">
        <f>AI136*VLOOKUP('Données projet'!$B$10,Paramètres!$A$1:$I$89,3,0)*VLOOKUP('Données projet'!$B$10,Paramètres!$A$1:$I$89,5,0)</f>
        <v>-2.1282176021486519E-13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420.68062999212015</v>
      </c>
      <c r="AO136" s="62">
        <f t="shared" si="144"/>
        <v>655.24090633185676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100.30740093761554</v>
      </c>
      <c r="AV136" s="23">
        <f>EXP(-LN(2)/25)*AV135+(1-EXP(-LN(2)/25))/(LN(2)/25)*Calculateur!AQ136*Calculateur!AS136*VLOOKUP('Données projet'!$B$10,Paramètres!$A$1:$I$89,3,0)*0.475*44/12</f>
        <v>14.045475326772625</v>
      </c>
      <c r="AW136" s="23">
        <f>EXP(-LN(2)/2)*AW135+(1-EXP(-LN(2)/2))/(LN(2)/2)*AQ136*AT136*VLOOKUP('Données projet'!$B$10,Paramètres!$A$1:$I$89,3,0)*0.475*44/12</f>
        <v>1.904920402181725E-7</v>
      </c>
      <c r="AX136" s="23">
        <f t="shared" si="114"/>
        <v>114.3528764548802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3.0833333333333335</v>
      </c>
      <c r="BD136" s="13">
        <f>IF('Données projet'!$A$88&gt;35,BD135+BC136-BL135,IF(A136&lt;'Données projet'!$A$88,$BA$205^A136,IF(A136='Données projet'!$A$88,'Données projet'!$B$88,BD135+BC136-BL135)))</f>
        <v>167.91666666666697</v>
      </c>
      <c r="BE136" s="14">
        <f>BD136*VLOOKUP('Données projet'!$B$11,Paramètres!$A$1:$I$89,3,0)*VLOOKUP('Données projet'!$B$11,Paramètres!$A$1:$I$89,5,0)</f>
        <v>151.93100000000027</v>
      </c>
      <c r="BF136" s="14">
        <f t="shared" si="145"/>
        <v>39.017085083164694</v>
      </c>
      <c r="BG136" s="22">
        <f t="shared" si="115"/>
        <v>332.56791485317893</v>
      </c>
      <c r="BH136" s="62">
        <f t="shared" si="116"/>
        <v>625.90124818651225</v>
      </c>
      <c r="BI136" s="62">
        <f ca="1">AVERAGE(OFFSET($BH$3,0,0,'Données projet'!$E$11+1,1))-AVERAGE(OFFSET($H$3,0,0,'Données projet'!$E$11+1,1))</f>
        <v>138.3429338270858</v>
      </c>
      <c r="BJ136" s="62">
        <f t="shared" si="146"/>
        <v>88.30225651635925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21.432094982438525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21.432094982438525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3.0833333333333335</v>
      </c>
      <c r="BY136" s="13">
        <f>IF('Données projet'!$A$114&gt;35,BY135+BX136-CG135,IF(A136&lt;'Données projet'!$A$114,$BV$205^A136,IF(A136='Données projet'!$A$114,'Données projet'!$B$114,BY135+BX136-CG135)))</f>
        <v>167.91666666666697</v>
      </c>
      <c r="BZ136" s="14">
        <f>BY136*VLOOKUP('Données projet'!$B$12,Paramètres!$A$1:$I$89,3,0)*VLOOKUP('Données projet'!$B$12,Paramètres!$A$1:$I$89,5,0)</f>
        <v>141.45300000000026</v>
      </c>
      <c r="CA136" s="14">
        <f t="shared" si="147"/>
        <v>36.629667104087034</v>
      </c>
      <c r="CB136" s="22">
        <f t="shared" si="118"/>
        <v>310.16064520628538</v>
      </c>
      <c r="CC136" s="62">
        <f t="shared" si="119"/>
        <v>603.49397853961864</v>
      </c>
      <c r="CD136" s="62">
        <f ca="1">AVERAGE(OFFSET($CC$3,0,0,'Données projet'!$E$12+1,1))-AVERAGE(OFFSET($H$3,0,0,'Données projet'!$E$12+1,1))</f>
        <v>122.57815304102127</v>
      </c>
      <c r="CE136" s="62">
        <f t="shared" si="148"/>
        <v>80.106609825870578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19.954019466408283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19.954019466408283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-3.7243808037601412E-14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199.99826357281154</v>
      </c>
      <c r="CZ136" s="62">
        <f t="shared" si="150"/>
        <v>214.67424457475136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21.975173494470578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21.975173494470578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-5.6843418860808015E-14</v>
      </c>
      <c r="DP136" s="18">
        <f>DO136*VLOOKUP('Données projet'!$B$14,Paramètres!$A$1:$I$89,3,0)*VLOOKUP('Données projet'!$B$14,Paramètres!$A$1:$I$89,5,0)</f>
        <v>-4.5224624045658861E-14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248.15263300983543</v>
      </c>
      <c r="DU136" s="62">
        <f t="shared" si="152"/>
        <v>266.46511459244618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32.889753020793997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32.889753020793997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-5.6843418860808015E-14</v>
      </c>
      <c r="EK136" s="18">
        <f>EJ136*VLOOKUP('Données projet'!$B$15,Paramètres!$A$1:$I$89,3,0)*VLOOKUP('Données projet'!$B$15,Paramètres!$A$1:$I$89,5,0)</f>
        <v>-3.813056537183002E-14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205.35893113421139</v>
      </c>
      <c r="EP136" s="62">
        <f t="shared" si="154"/>
        <v>220.4399811285175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27.730576076355735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27.730576076355735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382.55387448074327</v>
      </c>
      <c r="T137" s="62">
        <f t="shared" si="142"/>
        <v>476.29465646955543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59.768615788117906</v>
      </c>
      <c r="AA137" s="23">
        <f>EXP(-LN(2)/25)*AA136+(1-EXP(-LN(2)/25))/(LN(2)/25)*Calculateur!V137*Calculateur!X137*VLOOKUP('Données projet'!$B$9,Paramètres!$A$1:$I$89,3,0)*0.475*44/12</f>
        <v>8.279450275433625</v>
      </c>
      <c r="AB137" s="23">
        <f>EXP(-LN(2)/2)*AB136+(1-EXP(-LN(2)/2))/(LN(2)/2)*V137*Y137*VLOOKUP('Données projet'!$B$9,Paramètres!$A$1:$I$89,3,0)*0.475*44/12</f>
        <v>4.0978812027103626E-10</v>
      </c>
      <c r="AC137" s="24">
        <f t="shared" si="111"/>
        <v>68.048066063961315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-3.4106051316484809E-13</v>
      </c>
      <c r="AJ137" s="14">
        <f>AI137*VLOOKUP('Données projet'!$B$10,Paramètres!$A$1:$I$89,3,0)*VLOOKUP('Données projet'!$B$10,Paramètres!$A$1:$I$89,5,0)</f>
        <v>-2.1282176021486519E-13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420.68062999212015</v>
      </c>
      <c r="AO137" s="62">
        <f t="shared" si="144"/>
        <v>655.24090633185676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98.340433986702308</v>
      </c>
      <c r="AV137" s="23">
        <f>EXP(-LN(2)/25)*AV136+(1-EXP(-LN(2)/25))/(LN(2)/25)*Calculateur!AQ137*Calculateur!AS137*VLOOKUP('Données projet'!$B$10,Paramètres!$A$1:$I$89,3,0)*0.475*44/12</f>
        <v>13.661401065342581</v>
      </c>
      <c r="AW137" s="23">
        <f>EXP(-LN(2)/2)*AW136+(1-EXP(-LN(2)/2))/(LN(2)/2)*AQ137*AT137*VLOOKUP('Données projet'!$B$10,Paramètres!$A$1:$I$89,3,0)*0.475*44/12</f>
        <v>1.3469821340033031E-7</v>
      </c>
      <c r="AX137" s="23">
        <f t="shared" si="114"/>
        <v>112.00183518674311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>
        <f>VLOOKUP(A137,'Données projet'!$A$87:$I$107,2,0)</f>
        <v>171</v>
      </c>
      <c r="BB137" s="13">
        <f>VLOOKUP(A137,'Données projet'!$A$87:$I$107,9,0)</f>
        <v>3.0833333333333335</v>
      </c>
      <c r="BC137" s="13">
        <f t="array" ref="BC137">INDEX(BB:BB,MIN(IF(ISNUMBER(BB137:BB333),ROW(BB137:BB333),"")))</f>
        <v>3.0833333333333335</v>
      </c>
      <c r="BD137" s="13">
        <f>IF('Données projet'!$A$88&gt;35,BD136+BC137-BL136,IF(A137&lt;'Données projet'!$A$88,$BA$205^A137,IF(A137='Données projet'!$A$88,'Données projet'!$B$88,BD136+BC137-BL136)))</f>
        <v>171.00000000000031</v>
      </c>
      <c r="BE137" s="14">
        <f>BD137*VLOOKUP('Données projet'!$B$11,Paramètres!$A$1:$I$89,3,0)*VLOOKUP('Données projet'!$B$11,Paramètres!$A$1:$I$89,5,0)</f>
        <v>154.72080000000028</v>
      </c>
      <c r="BF137" s="14">
        <f t="shared" si="145"/>
        <v>39.649461948838663</v>
      </c>
      <c r="BG137" s="22">
        <f t="shared" si="115"/>
        <v>338.52820622756116</v>
      </c>
      <c r="BH137" s="62">
        <f t="shared" si="116"/>
        <v>631.86153956089447</v>
      </c>
      <c r="BI137" s="62">
        <f ca="1">AVERAGE(OFFSET($BH$3,0,0,'Données projet'!$E$11+1,1))-AVERAGE(OFFSET($H$3,0,0,'Données projet'!$E$11+1,1))</f>
        <v>138.3429338270858</v>
      </c>
      <c r="BJ137" s="62">
        <f t="shared" si="146"/>
        <v>88.30225651635925</v>
      </c>
      <c r="BK137" s="16">
        <f>IF(ISNA(VLOOKUP(A137,'Données projet'!$A$87:$I$107,3,0)),0,VLOOKUP(A137,'Données projet'!$A$87:$I$107,3,0))</f>
        <v>9</v>
      </c>
      <c r="BL137" s="16">
        <f>IF(ISNA(VLOOKUP(A137,'Données projet'!$A$87:$I$107,4,0)),0,VLOOKUP(A137,'Données projet'!$A$87:$I$107,4,0))</f>
        <v>26</v>
      </c>
      <c r="BM137" s="17">
        <f>IF(ISNA(VLOOKUP(A137,'Données projet'!$A$87:$I$107,5,0)),0%,VLOOKUP(A137,'Données projet'!$A$87:$I$107,5,0)*VLOOKUP('Données projet'!$B$11,Paramètres!$A$1:$I$89,7,0))</f>
        <v>0.38700000000000001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31.076134901297081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31.076134901297081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>
        <f>VLOOKUP(A137,'Données projet'!$A$113:$I$133,2,0)</f>
        <v>171</v>
      </c>
      <c r="BW137" s="13">
        <f>VLOOKUP(A137,'Données projet'!$A$113:$I$133,9,0)</f>
        <v>3.0833333333333335</v>
      </c>
      <c r="BX137" s="13">
        <f t="array" ref="BX137">INDEX(BW:BW,MIN(IF(ISNUMBER(BW137:BW333),ROW(BW137:BW333),"")))</f>
        <v>3.0833333333333335</v>
      </c>
      <c r="BY137" s="13">
        <f>IF('Données projet'!$A$114&gt;35,BY136+BX137-CG136,IF(A137&lt;'Données projet'!$A$114,$BV$205^A137,IF(A137='Données projet'!$A$114,'Données projet'!$B$114,BY136+BX137-CG136)))</f>
        <v>171.00000000000031</v>
      </c>
      <c r="BZ137" s="14">
        <f>BY137*VLOOKUP('Données projet'!$B$12,Paramètres!$A$1:$I$89,3,0)*VLOOKUP('Données projet'!$B$12,Paramètres!$A$1:$I$89,5,0)</f>
        <v>144.05040000000028</v>
      </c>
      <c r="CA137" s="14">
        <f t="shared" si="147"/>
        <v>37.223349436444479</v>
      </c>
      <c r="CB137" s="22">
        <f t="shared" si="118"/>
        <v>315.71844693514123</v>
      </c>
      <c r="CC137" s="62">
        <f t="shared" si="119"/>
        <v>609.05178026847454</v>
      </c>
      <c r="CD137" s="62">
        <f ca="1">AVERAGE(OFFSET($CC$3,0,0,'Données projet'!$E$12+1,1))-AVERAGE(OFFSET($H$3,0,0,'Données projet'!$E$12+1,1))</f>
        <v>122.57815304102127</v>
      </c>
      <c r="CE137" s="62">
        <f t="shared" si="148"/>
        <v>80.106609825870578</v>
      </c>
      <c r="CF137" s="16">
        <f>IF(ISNA(VLOOKUP(A137,'Données projet'!$A$113:$I$133,3,0)),0,VLOOKUP(A137,'Données projet'!$A$113:$I$133,3,0))</f>
        <v>9</v>
      </c>
      <c r="CG137" s="16">
        <f>IF(ISNA(VLOOKUP(A137,'Données projet'!$A$113:$I$133,4,0)),0,VLOOKUP(A137,'Données projet'!$A$113:$I$133,4,0))</f>
        <v>26</v>
      </c>
      <c r="CH137" s="17">
        <f>IF(ISNA(VLOOKUP(A137,'Données projet'!$A$113:$I$133,5,0)),0%,VLOOKUP(A137,'Données projet'!$A$113:$I$133,5,0)*VLOOKUP('Données projet'!$B$12,Paramètres!$A$1:$I$89,7,0))</f>
        <v>0.38700000000000001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28.932953183966255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28.932953183966255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-3.7243808037601412E-14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199.99826357281154</v>
      </c>
      <c r="CZ137" s="62">
        <f t="shared" si="150"/>
        <v>214.67424457475136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21.544253745776352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21.544253745776352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-5.6843418860808015E-14</v>
      </c>
      <c r="DP137" s="18">
        <f>DO137*VLOOKUP('Données projet'!$B$14,Paramètres!$A$1:$I$89,3,0)*VLOOKUP('Données projet'!$B$14,Paramètres!$A$1:$I$89,5,0)</f>
        <v>-4.5224624045658861E-14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248.15263300983543</v>
      </c>
      <c r="DU137" s="62">
        <f t="shared" si="152"/>
        <v>266.46511459244618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32.244805024824736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32.244805024824736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-5.6843418860808015E-14</v>
      </c>
      <c r="EK137" s="18">
        <f>EJ137*VLOOKUP('Données projet'!$B$15,Paramètres!$A$1:$I$89,3,0)*VLOOKUP('Données projet'!$B$15,Paramètres!$A$1:$I$89,5,0)</f>
        <v>-3.813056537183002E-14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205.35893113421139</v>
      </c>
      <c r="EP137" s="62">
        <f t="shared" si="154"/>
        <v>220.4399811285175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27.186796393479689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27.186796393479689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382.55387448074327</v>
      </c>
      <c r="T138" s="62">
        <f t="shared" si="142"/>
        <v>476.29465646955543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58.596589687768883</v>
      </c>
      <c r="AA138" s="23">
        <f>EXP(-LN(2)/25)*AA137+(1-EXP(-LN(2)/25))/(LN(2)/25)*Calculateur!V138*Calculateur!X138*VLOOKUP('Données projet'!$B$9,Paramètres!$A$1:$I$89,3,0)*0.475*44/12</f>
        <v>8.0530482722545251</v>
      </c>
      <c r="AB138" s="23">
        <f>EXP(-LN(2)/2)*AB137+(1-EXP(-LN(2)/2))/(LN(2)/2)*V138*Y138*VLOOKUP('Données projet'!$B$9,Paramètres!$A$1:$I$89,3,0)*0.475*44/12</f>
        <v>2.8976395869333825E-10</v>
      </c>
      <c r="AC138" s="24">
        <f t="shared" si="111"/>
        <v>66.649637960313171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-3.4106051316484809E-13</v>
      </c>
      <c r="AJ138" s="14">
        <f>AI138*VLOOKUP('Données projet'!$B$10,Paramètres!$A$1:$I$89,3,0)*VLOOKUP('Données projet'!$B$10,Paramètres!$A$1:$I$89,5,0)</f>
        <v>-2.1282176021486519E-13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420.68062999212015</v>
      </c>
      <c r="AO138" s="62">
        <f t="shared" si="144"/>
        <v>655.24090633185676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96.412038057965106</v>
      </c>
      <c r="AV138" s="23">
        <f>EXP(-LN(2)/25)*AV137+(1-EXP(-LN(2)/25))/(LN(2)/25)*Calculateur!AQ138*Calculateur!AS138*VLOOKUP('Données projet'!$B$10,Paramètres!$A$1:$I$89,3,0)*0.475*44/12</f>
        <v>13.287829334788929</v>
      </c>
      <c r="AW138" s="23">
        <f>EXP(-LN(2)/2)*AW137+(1-EXP(-LN(2)/2))/(LN(2)/2)*AQ138*AT138*VLOOKUP('Données projet'!$B$10,Paramètres!$A$1:$I$89,3,0)*0.475*44/12</f>
        <v>9.5246020109086248E-8</v>
      </c>
      <c r="AX138" s="23">
        <f t="shared" si="114"/>
        <v>109.69986748800005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3.1428571428571428</v>
      </c>
      <c r="BD138" s="13">
        <f>IF('Données projet'!$A$88&gt;35,BD137+BC138-BL137,IF(A138&lt;'Données projet'!$A$88,$BA$205^A138,IF(A138='Données projet'!$A$88,'Données projet'!$B$88,BD137+BC138-BL137)))</f>
        <v>148.14285714285745</v>
      </c>
      <c r="BE138" s="14">
        <f>BD138*VLOOKUP('Données projet'!$B$11,Paramètres!$A$1:$I$89,3,0)*VLOOKUP('Données projet'!$B$11,Paramètres!$A$1:$I$89,5,0)</f>
        <v>134.03965714285741</v>
      </c>
      <c r="BF138" s="14">
        <f t="shared" si="145"/>
        <v>34.928136538188411</v>
      </c>
      <c r="BG138" s="22">
        <f t="shared" si="115"/>
        <v>294.28557399448806</v>
      </c>
      <c r="BH138" s="62">
        <f t="shared" si="116"/>
        <v>587.61890732782138</v>
      </c>
      <c r="BI138" s="62">
        <f ca="1">AVERAGE(OFFSET($BH$3,0,0,'Données projet'!$E$11+1,1))-AVERAGE(OFFSET($H$3,0,0,'Données projet'!$E$11+1,1))</f>
        <v>138.3429338270858</v>
      </c>
      <c r="BJ138" s="62">
        <f t="shared" si="146"/>
        <v>88.30225651635925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30.466750850453327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30.466750850453327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3.1428571428571428</v>
      </c>
      <c r="BY138" s="13">
        <f>IF('Données projet'!$A$114&gt;35,BY137+BX138-CG137,IF(A138&lt;'Données projet'!$A$114,$BV$205^A138,IF(A138='Données projet'!$A$114,'Données projet'!$B$114,BY137+BX138-CG137)))</f>
        <v>148.14285714285745</v>
      </c>
      <c r="BZ138" s="14">
        <f>BY138*VLOOKUP('Données projet'!$B$12,Paramètres!$A$1:$I$89,3,0)*VLOOKUP('Données projet'!$B$12,Paramètres!$A$1:$I$89,5,0)</f>
        <v>124.79554285714313</v>
      </c>
      <c r="CA138" s="14">
        <f t="shared" si="147"/>
        <v>32.790917395107648</v>
      </c>
      <c r="CB138" s="22">
        <f t="shared" si="118"/>
        <v>274.46308493933674</v>
      </c>
      <c r="CC138" s="62">
        <f t="shared" si="119"/>
        <v>567.79641827267005</v>
      </c>
      <c r="CD138" s="62">
        <f ca="1">AVERAGE(OFFSET($CC$3,0,0,'Données projet'!$E$12+1,1))-AVERAGE(OFFSET($H$3,0,0,'Données projet'!$E$12+1,1))</f>
        <v>122.57815304102127</v>
      </c>
      <c r="CE138" s="62">
        <f t="shared" si="148"/>
        <v>80.106609825870578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28.365595619387587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28.365595619387587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-3.7243808037601412E-14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199.99826357281154</v>
      </c>
      <c r="CZ138" s="62">
        <f t="shared" si="150"/>
        <v>214.67424457475136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21.121784070518927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21.121784070518927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-5.6843418860808015E-14</v>
      </c>
      <c r="DP138" s="18">
        <f>DO138*VLOOKUP('Données projet'!$B$14,Paramètres!$A$1:$I$89,3,0)*VLOOKUP('Données projet'!$B$14,Paramètres!$A$1:$I$89,5,0)</f>
        <v>-4.5224624045658861E-14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248.15263300983543</v>
      </c>
      <c r="DU138" s="62">
        <f t="shared" si="152"/>
        <v>266.46511459244618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31.612504065676994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31.612504065676994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-5.6843418860808015E-14</v>
      </c>
      <c r="EK138" s="18">
        <f>EJ138*VLOOKUP('Données projet'!$B$15,Paramètres!$A$1:$I$89,3,0)*VLOOKUP('Données projet'!$B$15,Paramètres!$A$1:$I$89,5,0)</f>
        <v>-3.813056537183002E-14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205.35893113421139</v>
      </c>
      <c r="EP138" s="62">
        <f t="shared" si="154"/>
        <v>220.4399811285175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26.653679898511985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26.653679898511985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382.55387448074327</v>
      </c>
      <c r="T139" s="62">
        <f t="shared" si="142"/>
        <v>476.29465646955543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57.447546304382378</v>
      </c>
      <c r="AA139" s="23">
        <f>EXP(-LN(2)/25)*AA138+(1-EXP(-LN(2)/25))/(LN(2)/25)*Calculateur!V139*Calculateur!X139*VLOOKUP('Données projet'!$B$9,Paramètres!$A$1:$I$89,3,0)*0.475*44/12</f>
        <v>7.8328372437583216</v>
      </c>
      <c r="AB139" s="23">
        <f>EXP(-LN(2)/2)*AB138+(1-EXP(-LN(2)/2))/(LN(2)/2)*V139*Y139*VLOOKUP('Données projet'!$B$9,Paramètres!$A$1:$I$89,3,0)*0.475*44/12</f>
        <v>2.0489406013551813E-10</v>
      </c>
      <c r="AC139" s="24">
        <f t="shared" si="111"/>
        <v>65.280383548345597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-3.4106051316484809E-13</v>
      </c>
      <c r="AJ139" s="14">
        <f>AI139*VLOOKUP('Données projet'!$B$10,Paramètres!$A$1:$I$89,3,0)*VLOOKUP('Données projet'!$B$10,Paramètres!$A$1:$I$89,5,0)</f>
        <v>-2.1282176021486519E-13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420.68062999212015</v>
      </c>
      <c r="AO139" s="62">
        <f t="shared" si="144"/>
        <v>655.24090633185676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94.521456797185067</v>
      </c>
      <c r="AV139" s="23">
        <f>EXP(-LN(2)/25)*AV138+(1-EXP(-LN(2)/25))/(LN(2)/25)*Calculateur!AQ139*Calculateur!AS139*VLOOKUP('Données projet'!$B$10,Paramètres!$A$1:$I$89,3,0)*0.475*44/12</f>
        <v>12.924472942852551</v>
      </c>
      <c r="AW139" s="23">
        <f>EXP(-LN(2)/2)*AW138+(1-EXP(-LN(2)/2))/(LN(2)/2)*AQ139*AT139*VLOOKUP('Données projet'!$B$10,Paramètres!$A$1:$I$89,3,0)*0.475*44/12</f>
        <v>6.7349106700165154E-8</v>
      </c>
      <c r="AX139" s="23">
        <f t="shared" si="114"/>
        <v>107.44592980738672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3.1428571428571428</v>
      </c>
      <c r="BD139" s="13">
        <f>IF('Données projet'!$A$88&gt;35,BD138+BC139-BL138,IF(A139&lt;'Données projet'!$A$88,$BA$205^A139,IF(A139='Données projet'!$A$88,'Données projet'!$B$88,BD138+BC139-BL138)))</f>
        <v>151.28571428571459</v>
      </c>
      <c r="BE139" s="14">
        <f>BD139*VLOOKUP('Données projet'!$B$11,Paramètres!$A$1:$I$89,3,0)*VLOOKUP('Données projet'!$B$11,Paramètres!$A$1:$I$89,5,0)</f>
        <v>136.88331428571456</v>
      </c>
      <c r="BF139" s="14">
        <f t="shared" si="145"/>
        <v>35.582083728170247</v>
      </c>
      <c r="BG139" s="22">
        <f t="shared" si="115"/>
        <v>300.37723487418265</v>
      </c>
      <c r="BH139" s="62">
        <f t="shared" si="116"/>
        <v>593.71056820751596</v>
      </c>
      <c r="BI139" s="62">
        <f ca="1">AVERAGE(OFFSET($BH$3,0,0,'Données projet'!$E$11+1,1))-AVERAGE(OFFSET($H$3,0,0,'Données projet'!$E$11+1,1))</f>
        <v>138.3429338270858</v>
      </c>
      <c r="BJ139" s="62">
        <f t="shared" si="146"/>
        <v>88.30225651635925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29.869316449159047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29.869316449159047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3.1428571428571428</v>
      </c>
      <c r="BY139" s="13">
        <f>IF('Données projet'!$A$114&gt;35,BY138+BX139-CG138,IF(A139&lt;'Données projet'!$A$114,$BV$205^A139,IF(A139='Données projet'!$A$114,'Données projet'!$B$114,BY138+BX139-CG138)))</f>
        <v>151.28571428571459</v>
      </c>
      <c r="BZ139" s="14">
        <f>BY139*VLOOKUP('Données projet'!$B$12,Paramètres!$A$1:$I$89,3,0)*VLOOKUP('Données projet'!$B$12,Paramètres!$A$1:$I$89,5,0)</f>
        <v>127.44308571428598</v>
      </c>
      <c r="CA139" s="14">
        <f t="shared" si="147"/>
        <v>33.404850184336532</v>
      </c>
      <c r="CB139" s="22">
        <f t="shared" si="118"/>
        <v>280.14348835676753</v>
      </c>
      <c r="CC139" s="62">
        <f t="shared" si="119"/>
        <v>573.47682169010091</v>
      </c>
      <c r="CD139" s="62">
        <f ca="1">AVERAGE(OFFSET($CC$3,0,0,'Données projet'!$E$12+1,1))-AVERAGE(OFFSET($H$3,0,0,'Données projet'!$E$12+1,1))</f>
        <v>122.57815304102127</v>
      </c>
      <c r="CE139" s="62">
        <f t="shared" si="148"/>
        <v>80.106609825870578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27.809363590596362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27.809363590596362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-3.7243808037601412E-14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199.99826357281154</v>
      </c>
      <c r="CZ139" s="62">
        <f t="shared" si="150"/>
        <v>214.67424457475136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20.707598767912241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20.707598767912241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-5.6843418860808015E-14</v>
      </c>
      <c r="DP139" s="18">
        <f>DO139*VLOOKUP('Données projet'!$B$14,Paramètres!$A$1:$I$89,3,0)*VLOOKUP('Données projet'!$B$14,Paramètres!$A$1:$I$89,5,0)</f>
        <v>-4.5224624045658861E-14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248.15263300983543</v>
      </c>
      <c r="DU139" s="62">
        <f t="shared" si="152"/>
        <v>266.46511459244618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30.992602142672638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30.992602142672638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-5.6843418860808015E-14</v>
      </c>
      <c r="EK139" s="18">
        <f>EJ139*VLOOKUP('Données projet'!$B$15,Paramètres!$A$1:$I$89,3,0)*VLOOKUP('Données projet'!$B$15,Paramètres!$A$1:$I$89,5,0)</f>
        <v>-3.813056537183002E-14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205.35893113421139</v>
      </c>
      <c r="EP139" s="62">
        <f t="shared" si="154"/>
        <v>220.4399811285175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26.131017492841643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26.131017492841643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382.55387448074327</v>
      </c>
      <c r="T140" s="62">
        <f t="shared" si="142"/>
        <v>476.29465646955543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56.321034960896817</v>
      </c>
      <c r="AA140" s="23">
        <f>EXP(-LN(2)/25)*AA139+(1-EXP(-LN(2)/25))/(LN(2)/25)*Calculateur!V140*Calculateur!X140*VLOOKUP('Données projet'!$B$9,Paramètres!$A$1:$I$89,3,0)*0.475*44/12</f>
        <v>7.618647897416742</v>
      </c>
      <c r="AB140" s="23">
        <f>EXP(-LN(2)/2)*AB139+(1-EXP(-LN(2)/2))/(LN(2)/2)*V140*Y140*VLOOKUP('Données projet'!$B$9,Paramètres!$A$1:$I$89,3,0)*0.475*44/12</f>
        <v>1.4488197934666913E-10</v>
      </c>
      <c r="AC140" s="24">
        <f t="shared" si="111"/>
        <v>63.93968285845844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-3.4106051316484809E-13</v>
      </c>
      <c r="AJ140" s="14">
        <f>AI140*VLOOKUP('Données projet'!$B$10,Paramètres!$A$1:$I$89,3,0)*VLOOKUP('Données projet'!$B$10,Paramètres!$A$1:$I$89,5,0)</f>
        <v>-2.1282176021486519E-13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420.68062999212015</v>
      </c>
      <c r="AO140" s="62">
        <f t="shared" si="144"/>
        <v>655.24090633185676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92.667948681788218</v>
      </c>
      <c r="AV140" s="23">
        <f>EXP(-LN(2)/25)*AV139+(1-EXP(-LN(2)/25))/(LN(2)/25)*Calculateur!AQ140*Calculateur!AS140*VLOOKUP('Données projet'!$B$10,Paramètres!$A$1:$I$89,3,0)*0.475*44/12</f>
        <v>12.571052550561756</v>
      </c>
      <c r="AW140" s="23">
        <f>EXP(-LN(2)/2)*AW139+(1-EXP(-LN(2)/2))/(LN(2)/2)*AQ140*AT140*VLOOKUP('Données projet'!$B$10,Paramètres!$A$1:$I$89,3,0)*0.475*44/12</f>
        <v>4.7623010054543124E-8</v>
      </c>
      <c r="AX140" s="23">
        <f t="shared" si="114"/>
        <v>105.23900127997298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3.1428571428571428</v>
      </c>
      <c r="BD140" s="13">
        <f>IF('Données projet'!$A$88&gt;35,BD139+BC140-BL139,IF(A140&lt;'Données projet'!$A$88,$BA$205^A140,IF(A140='Données projet'!$A$88,'Données projet'!$B$88,BD139+BC140-BL139)))</f>
        <v>154.42857142857173</v>
      </c>
      <c r="BE140" s="14">
        <f>BD140*VLOOKUP('Données projet'!$B$11,Paramètres!$A$1:$I$89,3,0)*VLOOKUP('Données projet'!$B$11,Paramètres!$A$1:$I$89,5,0)</f>
        <v>139.72697142857172</v>
      </c>
      <c r="BF140" s="14">
        <f t="shared" si="145"/>
        <v>36.234451378926238</v>
      </c>
      <c r="BG140" s="22">
        <f t="shared" si="115"/>
        <v>306.46614472305896</v>
      </c>
      <c r="BH140" s="62">
        <f t="shared" si="116"/>
        <v>599.79947805639222</v>
      </c>
      <c r="BI140" s="62">
        <f ca="1">AVERAGE(OFFSET($BH$3,0,0,'Données projet'!$E$11+1,1))-AVERAGE(OFFSET($H$3,0,0,'Données projet'!$E$11+1,1))</f>
        <v>138.3429338270858</v>
      </c>
      <c r="BJ140" s="62">
        <f t="shared" si="146"/>
        <v>88.30225651635925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29.283597372075146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29.283597372075146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3.1428571428571428</v>
      </c>
      <c r="BY140" s="13">
        <f>IF('Données projet'!$A$114&gt;35,BY139+BX140-CG139,IF(A140&lt;'Données projet'!$A$114,$BV$205^A140,IF(A140='Données projet'!$A$114,'Données projet'!$B$114,BY139+BX140-CG139)))</f>
        <v>154.42857142857173</v>
      </c>
      <c r="BZ140" s="14">
        <f>BY140*VLOOKUP('Données projet'!$B$12,Paramètres!$A$1:$I$89,3,0)*VLOOKUP('Données projet'!$B$12,Paramètres!$A$1:$I$89,5,0)</f>
        <v>130.09062857142882</v>
      </c>
      <c r="CA140" s="14">
        <f t="shared" si="147"/>
        <v>34.017300084828378</v>
      </c>
      <c r="CB140" s="22">
        <f t="shared" si="118"/>
        <v>285.82130907631461</v>
      </c>
      <c r="CC140" s="62">
        <f t="shared" si="119"/>
        <v>579.15464240964798</v>
      </c>
      <c r="CD140" s="62">
        <f ca="1">AVERAGE(OFFSET($CC$3,0,0,'Données projet'!$E$12+1,1))-AVERAGE(OFFSET($H$3,0,0,'Données projet'!$E$12+1,1))</f>
        <v>122.57815304102127</v>
      </c>
      <c r="CE140" s="62">
        <f t="shared" si="148"/>
        <v>80.106609825870578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27.264038932621695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27.264038932621695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-3.7243808037601412E-14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199.99826357281154</v>
      </c>
      <c r="CZ140" s="62">
        <f t="shared" si="150"/>
        <v>214.67424457475136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20.301535386461584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20.301535386461584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-5.6843418860808015E-14</v>
      </c>
      <c r="DP140" s="18">
        <f>DO140*VLOOKUP('Données projet'!$B$14,Paramètres!$A$1:$I$89,3,0)*VLOOKUP('Données projet'!$B$14,Paramètres!$A$1:$I$89,5,0)</f>
        <v>-4.5224624045658861E-14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248.15263300983543</v>
      </c>
      <c r="DU140" s="62">
        <f t="shared" si="152"/>
        <v>266.46511459244618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30.384856118275557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30.384856118275557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-5.6843418860808015E-14</v>
      </c>
      <c r="EK140" s="18">
        <f>EJ140*VLOOKUP('Données projet'!$B$15,Paramètres!$A$1:$I$89,3,0)*VLOOKUP('Données projet'!$B$15,Paramètres!$A$1:$I$89,5,0)</f>
        <v>-3.813056537183002E-14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205.35893113421139</v>
      </c>
      <c r="EP140" s="62">
        <f t="shared" si="154"/>
        <v>220.4399811285175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25.618604178153909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25.618604178153909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382.55387448074327</v>
      </c>
      <c r="T141" s="62">
        <f t="shared" si="142"/>
        <v>476.29465646955543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55.216613817752936</v>
      </c>
      <c r="AA141" s="23">
        <f>EXP(-LN(2)/25)*AA140+(1-EXP(-LN(2)/25))/(LN(2)/25)*Calculateur!V141*Calculateur!X141*VLOOKUP('Données projet'!$B$9,Paramètres!$A$1:$I$89,3,0)*0.475*44/12</f>
        <v>7.4103155700146006</v>
      </c>
      <c r="AB141" s="23">
        <f>EXP(-LN(2)/2)*AB140+(1-EXP(-LN(2)/2))/(LN(2)/2)*V141*Y141*VLOOKUP('Données projet'!$B$9,Paramètres!$A$1:$I$89,3,0)*0.475*44/12</f>
        <v>1.0244703006775907E-10</v>
      </c>
      <c r="AC141" s="24">
        <f t="shared" si="111"/>
        <v>62.626929387869986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-3.4106051316484809E-13</v>
      </c>
      <c r="AJ141" s="14">
        <f>AI141*VLOOKUP('Données projet'!$B$10,Paramètres!$A$1:$I$89,3,0)*VLOOKUP('Données projet'!$B$10,Paramètres!$A$1:$I$89,5,0)</f>
        <v>-2.1282176021486519E-13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420.68062999212015</v>
      </c>
      <c r="AO141" s="62">
        <f t="shared" si="144"/>
        <v>655.24090633185676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90.850786730005979</v>
      </c>
      <c r="AV141" s="23">
        <f>EXP(-LN(2)/25)*AV140+(1-EXP(-LN(2)/25))/(LN(2)/25)*Calculateur!AQ141*Calculateur!AS141*VLOOKUP('Données projet'!$B$10,Paramètres!$A$1:$I$89,3,0)*0.475*44/12</f>
        <v>12.227296457483723</v>
      </c>
      <c r="AW141" s="23">
        <f>EXP(-LN(2)/2)*AW140+(1-EXP(-LN(2)/2))/(LN(2)/2)*AQ141*AT141*VLOOKUP('Données projet'!$B$10,Paramètres!$A$1:$I$89,3,0)*0.475*44/12</f>
        <v>3.3674553350082577E-8</v>
      </c>
      <c r="AX141" s="23">
        <f t="shared" si="114"/>
        <v>103.07808322116425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3.1428571428571428</v>
      </c>
      <c r="BD141" s="13">
        <f>IF('Données projet'!$A$88&gt;35,BD140+BC141-BL140,IF(A141&lt;'Données projet'!$A$88,$BA$205^A141,IF(A141='Données projet'!$A$88,'Données projet'!$B$88,BD140+BC141-BL140)))</f>
        <v>157.57142857142887</v>
      </c>
      <c r="BE141" s="14">
        <f>BD141*VLOOKUP('Données projet'!$B$11,Paramètres!$A$1:$I$89,3,0)*VLOOKUP('Données projet'!$B$11,Paramètres!$A$1:$I$89,5,0)</f>
        <v>142.57062857142884</v>
      </c>
      <c r="BF141" s="14">
        <f t="shared" si="145"/>
        <v>36.885275340810402</v>
      </c>
      <c r="BG141" s="22">
        <f t="shared" si="115"/>
        <v>312.55236598048333</v>
      </c>
      <c r="BH141" s="62">
        <f t="shared" si="116"/>
        <v>605.88569931381664</v>
      </c>
      <c r="BI141" s="62">
        <f ca="1">AVERAGE(OFFSET($BH$3,0,0,'Données projet'!$E$11+1,1))-AVERAGE(OFFSET($H$3,0,0,'Données projet'!$E$11+1,1))</f>
        <v>138.3429338270858</v>
      </c>
      <c r="BJ141" s="62">
        <f t="shared" si="146"/>
        <v>88.30225651635925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28.709363888839498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28.709363888839498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3.1428571428571428</v>
      </c>
      <c r="BY141" s="13">
        <f>IF('Données projet'!$A$114&gt;35,BY140+BX141-CG140,IF(A141&lt;'Données projet'!$A$114,$BV$205^A141,IF(A141='Données projet'!$A$114,'Données projet'!$B$114,BY140+BX141-CG140)))</f>
        <v>157.57142857142887</v>
      </c>
      <c r="BZ141" s="14">
        <f>BY141*VLOOKUP('Données projet'!$B$12,Paramètres!$A$1:$I$89,3,0)*VLOOKUP('Données projet'!$B$12,Paramètres!$A$1:$I$89,5,0)</f>
        <v>132.73817142857169</v>
      </c>
      <c r="CA141" s="14">
        <f t="shared" si="147"/>
        <v>34.628300753288549</v>
      </c>
      <c r="CB141" s="22">
        <f t="shared" si="118"/>
        <v>291.49660571673991</v>
      </c>
      <c r="CC141" s="62">
        <f t="shared" si="119"/>
        <v>584.82993905007322</v>
      </c>
      <c r="CD141" s="62">
        <f ca="1">AVERAGE(OFFSET($CC$3,0,0,'Données projet'!$E$12+1,1))-AVERAGE(OFFSET($H$3,0,0,'Données projet'!$E$12+1,1))</f>
        <v>122.57815304102127</v>
      </c>
      <c r="CE141" s="62">
        <f t="shared" si="148"/>
        <v>80.106609825870578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26.729407758574713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26.729407758574713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-3.7243808037601412E-14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199.99826357281154</v>
      </c>
      <c r="CZ141" s="62">
        <f t="shared" si="150"/>
        <v>214.67424457475136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19.903434660246965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19.903434660246965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-5.6843418860808015E-14</v>
      </c>
      <c r="DP141" s="18">
        <f>DO141*VLOOKUP('Données projet'!$B$14,Paramètres!$A$1:$I$89,3,0)*VLOOKUP('Données projet'!$B$14,Paramètres!$A$1:$I$89,5,0)</f>
        <v>-4.5224624045658861E-14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248.15263300983543</v>
      </c>
      <c r="DU141" s="62">
        <f t="shared" si="152"/>
        <v>266.46511459244618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29.78902762272843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29.78902762272843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-5.6843418860808015E-14</v>
      </c>
      <c r="EK141" s="18">
        <f>EJ141*VLOOKUP('Données projet'!$B$15,Paramètres!$A$1:$I$89,3,0)*VLOOKUP('Données projet'!$B$15,Paramètres!$A$1:$I$89,5,0)</f>
        <v>-3.813056537183002E-14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205.35893113421139</v>
      </c>
      <c r="EP141" s="62">
        <f t="shared" si="154"/>
        <v>220.4399811285175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25.11623897602594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25.11623897602594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382.55387448074327</v>
      </c>
      <c r="T142" s="62">
        <f t="shared" si="142"/>
        <v>476.29465646955543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54.133849699595721</v>
      </c>
      <c r="AA142" s="23">
        <f>EXP(-LN(2)/25)*AA141+(1-EXP(-LN(2)/25))/(LN(2)/25)*Calculateur!V142*Calculateur!X142*VLOOKUP('Données projet'!$B$9,Paramètres!$A$1:$I$89,3,0)*0.475*44/12</f>
        <v>7.2076801010609923</v>
      </c>
      <c r="AB142" s="23">
        <f>EXP(-LN(2)/2)*AB141+(1-EXP(-LN(2)/2))/(LN(2)/2)*V142*Y142*VLOOKUP('Données projet'!$B$9,Paramètres!$A$1:$I$89,3,0)*0.475*44/12</f>
        <v>7.2440989673334563E-11</v>
      </c>
      <c r="AC142" s="24">
        <f t="shared" si="111"/>
        <v>61.341529800729155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-3.4106051316484809E-13</v>
      </c>
      <c r="AJ142" s="14">
        <f>AI142*VLOOKUP('Données projet'!$B$10,Paramètres!$A$1:$I$89,3,0)*VLOOKUP('Données projet'!$B$10,Paramètres!$A$1:$I$89,5,0)</f>
        <v>-2.1282176021486519E-13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420.68062999212015</v>
      </c>
      <c r="AO142" s="62">
        <f t="shared" si="144"/>
        <v>655.24090633185676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89.069258215738841</v>
      </c>
      <c r="AV142" s="23">
        <f>EXP(-LN(2)/25)*AV141+(1-EXP(-LN(2)/25))/(LN(2)/25)*Calculateur!AQ142*Calculateur!AS142*VLOOKUP('Données projet'!$B$10,Paramètres!$A$1:$I$89,3,0)*0.475*44/12</f>
        <v>11.892940392848256</v>
      </c>
      <c r="AW142" s="23">
        <f>EXP(-LN(2)/2)*AW141+(1-EXP(-LN(2)/2))/(LN(2)/2)*AQ142*AT142*VLOOKUP('Données projet'!$B$10,Paramètres!$A$1:$I$89,3,0)*0.475*44/12</f>
        <v>2.3811505027271562E-8</v>
      </c>
      <c r="AX142" s="23">
        <f t="shared" si="114"/>
        <v>100.96219863239861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3.1428571428571428</v>
      </c>
      <c r="BD142" s="13">
        <f>IF('Données projet'!$A$88&gt;35,BD141+BC142-BL141,IF(A142&lt;'Données projet'!$A$88,$BA$205^A142,IF(A142='Données projet'!$A$88,'Données projet'!$B$88,BD141+BC142-BL141)))</f>
        <v>160.71428571428601</v>
      </c>
      <c r="BE142" s="14">
        <f>BD142*VLOOKUP('Données projet'!$B$11,Paramètres!$A$1:$I$89,3,0)*VLOOKUP('Données projet'!$B$11,Paramètres!$A$1:$I$89,5,0)</f>
        <v>145.41428571428597</v>
      </c>
      <c r="BF142" s="14">
        <f t="shared" si="145"/>
        <v>37.534589952284961</v>
      </c>
      <c r="BG142" s="22">
        <f t="shared" si="115"/>
        <v>318.63595845261102</v>
      </c>
      <c r="BH142" s="62">
        <f t="shared" si="116"/>
        <v>611.96929178594428</v>
      </c>
      <c r="BI142" s="62">
        <f ca="1">AVERAGE(OFFSET($BH$3,0,0,'Données projet'!$E$11+1,1))-AVERAGE(OFFSET($H$3,0,0,'Données projet'!$E$11+1,1))</f>
        <v>138.3429338270858</v>
      </c>
      <c r="BJ142" s="62">
        <f t="shared" si="146"/>
        <v>88.30225651635925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28.14639077396226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28.14639077396226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3.1428571428571428</v>
      </c>
      <c r="BY142" s="13">
        <f>IF('Données projet'!$A$114&gt;35,BY141+BX142-CG141,IF(A142&lt;'Données projet'!$A$114,$BV$205^A142,IF(A142='Données projet'!$A$114,'Données projet'!$B$114,BY141+BX142-CG141)))</f>
        <v>160.71428571428601</v>
      </c>
      <c r="BZ142" s="14">
        <f>BY142*VLOOKUP('Données projet'!$B$12,Paramètres!$A$1:$I$89,3,0)*VLOOKUP('Données projet'!$B$12,Paramètres!$A$1:$I$89,5,0)</f>
        <v>135.38571428571456</v>
      </c>
      <c r="CA142" s="14">
        <f t="shared" si="147"/>
        <v>35.237884427041649</v>
      </c>
      <c r="CB142" s="22">
        <f t="shared" si="118"/>
        <v>297.16943442471705</v>
      </c>
      <c r="CC142" s="62">
        <f t="shared" si="119"/>
        <v>590.50276775805037</v>
      </c>
      <c r="CD142" s="62">
        <f ca="1">AVERAGE(OFFSET($CC$3,0,0,'Données projet'!$E$12+1,1))-AVERAGE(OFFSET($H$3,0,0,'Données projet'!$E$12+1,1))</f>
        <v>122.57815304102127</v>
      </c>
      <c r="CE142" s="62">
        <f t="shared" si="148"/>
        <v>80.106609825870578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26.205260375757977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26.205260375757977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-3.7243808037601412E-14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199.99826357281154</v>
      </c>
      <c r="CZ142" s="62">
        <f t="shared" si="150"/>
        <v>214.67424457475136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19.513140446455949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19.513140446455949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-5.6843418860808015E-14</v>
      </c>
      <c r="DP142" s="18">
        <f>DO142*VLOOKUP('Données projet'!$B$14,Paramètres!$A$1:$I$89,3,0)*VLOOKUP('Données projet'!$B$14,Paramètres!$A$1:$I$89,5,0)</f>
        <v>-4.5224624045658861E-14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248.15263300983543</v>
      </c>
      <c r="DU142" s="62">
        <f t="shared" si="152"/>
        <v>266.46511459244618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29.204882960559484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29.204882960559484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-5.6843418860808015E-14</v>
      </c>
      <c r="EK142" s="18">
        <f>EJ142*VLOOKUP('Données projet'!$B$15,Paramètres!$A$1:$I$89,3,0)*VLOOKUP('Données projet'!$B$15,Paramètres!$A$1:$I$89,5,0)</f>
        <v>-3.813056537183002E-14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205.35893113421139</v>
      </c>
      <c r="EP142" s="62">
        <f t="shared" si="154"/>
        <v>220.4399811285175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24.623724849099183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24.623724849099183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382.55387448074327</v>
      </c>
      <c r="T143" s="62">
        <f t="shared" si="142"/>
        <v>476.29465646955543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53.072317925374669</v>
      </c>
      <c r="AA143" s="23">
        <f>EXP(-LN(2)/25)*AA142+(1-EXP(-LN(2)/25))/(LN(2)/25)*Calculateur!V143*Calculateur!X143*VLOOKUP('Données projet'!$B$9,Paramètres!$A$1:$I$89,3,0)*0.475*44/12</f>
        <v>7.0105857096620561</v>
      </c>
      <c r="AB143" s="23">
        <f>EXP(-LN(2)/2)*AB142+(1-EXP(-LN(2)/2))/(LN(2)/2)*V143*Y143*VLOOKUP('Données projet'!$B$9,Paramètres!$A$1:$I$89,3,0)*0.475*44/12</f>
        <v>5.1223515033879533E-11</v>
      </c>
      <c r="AC143" s="24">
        <f t="shared" si="111"/>
        <v>60.082903635087952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-3.4106051316484809E-13</v>
      </c>
      <c r="AJ143" s="14">
        <f>AI143*VLOOKUP('Données projet'!$B$10,Paramètres!$A$1:$I$89,3,0)*VLOOKUP('Données projet'!$B$10,Paramètres!$A$1:$I$89,5,0)</f>
        <v>-2.1282176021486519E-13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420.68062999212015</v>
      </c>
      <c r="AO143" s="62">
        <f t="shared" si="144"/>
        <v>655.24090633185676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87.322664389011379</v>
      </c>
      <c r="AV143" s="23">
        <f>EXP(-LN(2)/25)*AV142+(1-EXP(-LN(2)/25))/(LN(2)/25)*Calculateur!AQ143*Calculateur!AS143*VLOOKUP('Données projet'!$B$10,Paramètres!$A$1:$I$89,3,0)*0.475*44/12</f>
        <v>11.567727312383267</v>
      </c>
      <c r="AW143" s="23">
        <f>EXP(-LN(2)/2)*AW142+(1-EXP(-LN(2)/2))/(LN(2)/2)*AQ143*AT143*VLOOKUP('Données projet'!$B$10,Paramètres!$A$1:$I$89,3,0)*0.475*44/12</f>
        <v>1.6837276675041288E-8</v>
      </c>
      <c r="AX143" s="23">
        <f t="shared" si="114"/>
        <v>98.890391718231925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3.1428571428571428</v>
      </c>
      <c r="BD143" s="13">
        <f>IF('Données projet'!$A$88&gt;35,BD142+BC143-BL142,IF(A143&lt;'Données projet'!$A$88,$BA$205^A143,IF(A143='Données projet'!$A$88,'Données projet'!$B$88,BD142+BC143-BL142)))</f>
        <v>163.85714285714315</v>
      </c>
      <c r="BE143" s="14">
        <f>BD143*VLOOKUP('Données projet'!$B$11,Paramètres!$A$1:$I$89,3,0)*VLOOKUP('Données projet'!$B$11,Paramètres!$A$1:$I$89,5,0)</f>
        <v>148.25794285714312</v>
      </c>
      <c r="BF143" s="14">
        <f t="shared" si="145"/>
        <v>38.182428131978256</v>
      </c>
      <c r="BG143" s="22">
        <f t="shared" si="115"/>
        <v>324.71697947271974</v>
      </c>
      <c r="BH143" s="62">
        <f t="shared" si="116"/>
        <v>618.05031280605306</v>
      </c>
      <c r="BI143" s="62">
        <f ca="1">AVERAGE(OFFSET($BH$3,0,0,'Données projet'!$E$11+1,1))-AVERAGE(OFFSET($H$3,0,0,'Données projet'!$E$11+1,1))</f>
        <v>138.3429338270858</v>
      </c>
      <c r="BJ143" s="62">
        <f t="shared" si="146"/>
        <v>88.30225651635925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27.594457218488071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27.594457218488071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3.1428571428571428</v>
      </c>
      <c r="BY143" s="13">
        <f>IF('Données projet'!$A$114&gt;35,BY142+BX143-CG142,IF(A143&lt;'Données projet'!$A$114,$BV$205^A143,IF(A143='Données projet'!$A$114,'Données projet'!$B$114,BY142+BX143-CG142)))</f>
        <v>163.85714285714315</v>
      </c>
      <c r="BZ143" s="14">
        <f>BY143*VLOOKUP('Données projet'!$B$12,Paramètres!$A$1:$I$89,3,0)*VLOOKUP('Données projet'!$B$12,Paramètres!$A$1:$I$89,5,0)</f>
        <v>138.03325714285739</v>
      </c>
      <c r="CA143" s="14">
        <f t="shared" si="147"/>
        <v>35.846082010456769</v>
      </c>
      <c r="CB143" s="22">
        <f t="shared" si="118"/>
        <v>302.83984902535548</v>
      </c>
      <c r="CC143" s="62">
        <f t="shared" si="119"/>
        <v>596.17318235868879</v>
      </c>
      <c r="CD143" s="62">
        <f ca="1">AVERAGE(OFFSET($CC$3,0,0,'Données projet'!$E$12+1,1))-AVERAGE(OFFSET($H$3,0,0,'Données projet'!$E$12+1,1))</f>
        <v>122.57815304102127</v>
      </c>
      <c r="CE143" s="62">
        <f t="shared" si="148"/>
        <v>80.106609825870578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25.69139120341994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25.69139120341994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-3.7243808037601412E-14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199.99826357281154</v>
      </c>
      <c r="CZ143" s="62">
        <f t="shared" si="150"/>
        <v>214.67424457475136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19.130499664141411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19.130499664141411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-5.6843418860808015E-14</v>
      </c>
      <c r="DP143" s="18">
        <f>DO143*VLOOKUP('Données projet'!$B$14,Paramètres!$A$1:$I$89,3,0)*VLOOKUP('Données projet'!$B$14,Paramètres!$A$1:$I$89,5,0)</f>
        <v>-4.5224624045658861E-14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248.15263300983543</v>
      </c>
      <c r="DU143" s="62">
        <f t="shared" si="152"/>
        <v>266.46511459244618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28.63219301892261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28.63219301892261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-5.6843418860808015E-14</v>
      </c>
      <c r="EK143" s="18">
        <f>EJ143*VLOOKUP('Données projet'!$B$15,Paramètres!$A$1:$I$89,3,0)*VLOOKUP('Données projet'!$B$15,Paramètres!$A$1:$I$89,5,0)</f>
        <v>-3.813056537183002E-14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205.35893113421139</v>
      </c>
      <c r="EP143" s="62">
        <f t="shared" si="154"/>
        <v>220.4399811285175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24.140868623797505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24.140868623797505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382.55387448074327</v>
      </c>
      <c r="T144" s="62">
        <f t="shared" si="142"/>
        <v>476.29465646955543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52.031602141775643</v>
      </c>
      <c r="AA144" s="23">
        <f>EXP(-LN(2)/25)*AA143+(1-EXP(-LN(2)/25))/(LN(2)/25)*Calculateur!V144*Calculateur!X144*VLOOKUP('Données projet'!$B$9,Paramètres!$A$1:$I$89,3,0)*0.475*44/12</f>
        <v>6.8188808747606675</v>
      </c>
      <c r="AB144" s="23">
        <f>EXP(-LN(2)/2)*AB143+(1-EXP(-LN(2)/2))/(LN(2)/2)*V144*Y144*VLOOKUP('Données projet'!$B$9,Paramètres!$A$1:$I$89,3,0)*0.475*44/12</f>
        <v>3.6220494836667282E-11</v>
      </c>
      <c r="AC144" s="24">
        <f t="shared" si="111"/>
        <v>58.850483016572532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-3.4106051316484809E-13</v>
      </c>
      <c r="AJ144" s="14">
        <f>AI144*VLOOKUP('Données projet'!$B$10,Paramètres!$A$1:$I$89,3,0)*VLOOKUP('Données projet'!$B$10,Paramètres!$A$1:$I$89,5,0)</f>
        <v>-2.1282176021486519E-13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420.68062999212015</v>
      </c>
      <c r="AO144" s="62">
        <f t="shared" si="144"/>
        <v>655.24090633185676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85.610320201909005</v>
      </c>
      <c r="AV144" s="23">
        <f>EXP(-LN(2)/25)*AV143+(1-EXP(-LN(2)/25))/(LN(2)/25)*Calculateur!AQ144*Calculateur!AS144*VLOOKUP('Données projet'!$B$10,Paramètres!$A$1:$I$89,3,0)*0.475*44/12</f>
        <v>11.251407200705806</v>
      </c>
      <c r="AW144" s="23">
        <f>EXP(-LN(2)/2)*AW143+(1-EXP(-LN(2)/2))/(LN(2)/2)*AQ144*AT144*VLOOKUP('Données projet'!$B$10,Paramètres!$A$1:$I$89,3,0)*0.475*44/12</f>
        <v>1.1905752513635781E-8</v>
      </c>
      <c r="AX144" s="23">
        <f t="shared" si="114"/>
        <v>96.861727414520558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3.1428571428571428</v>
      </c>
      <c r="BD144" s="13">
        <f>IF('Données projet'!$A$88&gt;35,BD143+BC144-BL143,IF(A144&lt;'Données projet'!$A$88,$BA$205^A144,IF(A144='Données projet'!$A$88,'Données projet'!$B$88,BD143+BC144-BL143)))</f>
        <v>167.00000000000028</v>
      </c>
      <c r="BE144" s="14">
        <f>BD144*VLOOKUP('Données projet'!$B$11,Paramètres!$A$1:$I$89,3,0)*VLOOKUP('Données projet'!$B$11,Paramètres!$A$1:$I$89,5,0)</f>
        <v>151.10160000000025</v>
      </c>
      <c r="BF144" s="14">
        <f t="shared" si="145"/>
        <v>38.828821463479805</v>
      </c>
      <c r="BG144" s="22">
        <f t="shared" si="115"/>
        <v>330.79548404889437</v>
      </c>
      <c r="BH144" s="62">
        <f t="shared" si="116"/>
        <v>624.12881738222768</v>
      </c>
      <c r="BI144" s="62">
        <f ca="1">AVERAGE(OFFSET($BH$3,0,0,'Données projet'!$E$11+1,1))-AVERAGE(OFFSET($H$3,0,0,'Données projet'!$E$11+1,1))</f>
        <v>138.3429338270858</v>
      </c>
      <c r="BJ144" s="62">
        <f t="shared" si="146"/>
        <v>88.30225651635925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27.053346743390502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27.053346743390502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3.1428571428571428</v>
      </c>
      <c r="BY144" s="13">
        <f>IF('Données projet'!$A$114&gt;35,BY143+BX144-CG143,IF(A144&lt;'Données projet'!$A$114,$BV$205^A144,IF(A144='Données projet'!$A$114,'Données projet'!$B$114,BY143+BX144-CG143)))</f>
        <v>167.00000000000028</v>
      </c>
      <c r="BZ144" s="14">
        <f>BY144*VLOOKUP('Données projet'!$B$12,Paramètres!$A$1:$I$89,3,0)*VLOOKUP('Données projet'!$B$12,Paramètres!$A$1:$I$89,5,0)</f>
        <v>140.68080000000026</v>
      </c>
      <c r="CA144" s="14">
        <f t="shared" si="147"/>
        <v>36.452923154553893</v>
      </c>
      <c r="CB144" s="22">
        <f t="shared" si="118"/>
        <v>308.50790116084846</v>
      </c>
      <c r="CC144" s="62">
        <f t="shared" si="119"/>
        <v>601.84123449418178</v>
      </c>
      <c r="CD144" s="62">
        <f ca="1">AVERAGE(OFFSET($CC$3,0,0,'Données projet'!$E$12+1,1))-AVERAGE(OFFSET($H$3,0,0,'Données projet'!$E$12+1,1))</f>
        <v>122.57815304102127</v>
      </c>
      <c r="CE144" s="62">
        <f t="shared" si="148"/>
        <v>80.106609825870578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25.187598692122204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25.187598692122204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-3.7243808037601412E-14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199.99826357281154</v>
      </c>
      <c r="CZ144" s="62">
        <f t="shared" si="150"/>
        <v>214.67424457475136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18.755362234180229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18.755362234180229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-5.6843418860808015E-14</v>
      </c>
      <c r="DP144" s="18">
        <f>DO144*VLOOKUP('Données projet'!$B$14,Paramètres!$A$1:$I$89,3,0)*VLOOKUP('Données projet'!$B$14,Paramètres!$A$1:$I$89,5,0)</f>
        <v>-4.5224624045658861E-14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248.15263300983543</v>
      </c>
      <c r="DU144" s="62">
        <f t="shared" si="152"/>
        <v>266.46511459244618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28.070733177734862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28.070733177734862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-5.6843418860808015E-14</v>
      </c>
      <c r="EK144" s="18">
        <f>EJ144*VLOOKUP('Données projet'!$B$15,Paramètres!$A$1:$I$89,3,0)*VLOOKUP('Données projet'!$B$15,Paramètres!$A$1:$I$89,5,0)</f>
        <v>-3.813056537183002E-14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205.35893113421139</v>
      </c>
      <c r="EP144" s="62">
        <f t="shared" si="154"/>
        <v>220.4399811285175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23.667480914560777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23.667480914560777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382.55387448074327</v>
      </c>
      <c r="T145" s="62">
        <f t="shared" si="142"/>
        <v>476.29465646955543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51.011294159919046</v>
      </c>
      <c r="AA145" s="23">
        <f>EXP(-LN(2)/25)*AA144+(1-EXP(-LN(2)/25))/(LN(2)/25)*Calculateur!V145*Calculateur!X145*VLOOKUP('Données projet'!$B$9,Paramètres!$A$1:$I$89,3,0)*0.475*44/12</f>
        <v>6.6324182186509768</v>
      </c>
      <c r="AB145" s="23">
        <f>EXP(-LN(2)/2)*AB144+(1-EXP(-LN(2)/2))/(LN(2)/2)*V145*Y145*VLOOKUP('Données projet'!$B$9,Paramètres!$A$1:$I$89,3,0)*0.475*44/12</f>
        <v>2.5611757516939766E-11</v>
      </c>
      <c r="AC145" s="24">
        <f t="shared" si="111"/>
        <v>57.643712378595637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-3.4106051316484809E-13</v>
      </c>
      <c r="AJ145" s="14">
        <f>AI145*VLOOKUP('Données projet'!$B$10,Paramètres!$A$1:$I$89,3,0)*VLOOKUP('Données projet'!$B$10,Paramètres!$A$1:$I$89,5,0)</f>
        <v>-2.1282176021486519E-13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420.68062999212015</v>
      </c>
      <c r="AO145" s="62">
        <f t="shared" si="144"/>
        <v>655.24090633185676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83.93155403988888</v>
      </c>
      <c r="AV145" s="23">
        <f>EXP(-LN(2)/25)*AV144+(1-EXP(-LN(2)/25))/(LN(2)/25)*Calculateur!AQ145*Calculateur!AS145*VLOOKUP('Données projet'!$B$10,Paramètres!$A$1:$I$89,3,0)*0.475*44/12</f>
        <v>10.943736879116717</v>
      </c>
      <c r="AW145" s="23">
        <f>EXP(-LN(2)/2)*AW144+(1-EXP(-LN(2)/2))/(LN(2)/2)*AQ145*AT145*VLOOKUP('Données projet'!$B$10,Paramètres!$A$1:$I$89,3,0)*0.475*44/12</f>
        <v>8.4186383375206442E-9</v>
      </c>
      <c r="AX145" s="23">
        <f t="shared" si="114"/>
        <v>94.875290927424231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3.1428571428571428</v>
      </c>
      <c r="BD145" s="13">
        <f>IF('Données projet'!$A$88&gt;35,BD144+BC145-BL144,IF(A145&lt;'Données projet'!$A$88,$BA$205^A145,IF(A145='Données projet'!$A$88,'Données projet'!$B$88,BD144+BC145-BL144)))</f>
        <v>170.14285714285742</v>
      </c>
      <c r="BE145" s="14">
        <f>BD145*VLOOKUP('Données projet'!$B$11,Paramètres!$A$1:$I$89,3,0)*VLOOKUP('Données projet'!$B$11,Paramètres!$A$1:$I$89,5,0)</f>
        <v>153.9452571428574</v>
      </c>
      <c r="BF145" s="14">
        <f t="shared" si="145"/>
        <v>39.473800273572188</v>
      </c>
      <c r="BG145" s="22">
        <f t="shared" si="115"/>
        <v>336.87152500028151</v>
      </c>
      <c r="BH145" s="62">
        <f t="shared" si="116"/>
        <v>630.20485833361477</v>
      </c>
      <c r="BI145" s="62">
        <f ca="1">AVERAGE(OFFSET($BH$3,0,0,'Données projet'!$E$11+1,1))-AVERAGE(OFFSET($H$3,0,0,'Données projet'!$E$11+1,1))</f>
        <v>138.3429338270858</v>
      </c>
      <c r="BJ145" s="62">
        <f t="shared" si="146"/>
        <v>88.30225651635925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26.522847114664799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26.522847114664799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3.1428571428571428</v>
      </c>
      <c r="BY145" s="13">
        <f>IF('Données projet'!$A$114&gt;35,BY144+BX145-CG144,IF(A145&lt;'Données projet'!$A$114,$BV$205^A145,IF(A145='Données projet'!$A$114,'Données projet'!$B$114,BY144+BX145-CG144)))</f>
        <v>170.14285714285742</v>
      </c>
      <c r="BZ145" s="14">
        <f>BY145*VLOOKUP('Données projet'!$B$12,Paramètres!$A$1:$I$89,3,0)*VLOOKUP('Données projet'!$B$12,Paramètres!$A$1:$I$89,5,0)</f>
        <v>143.3283428571431</v>
      </c>
      <c r="CA145" s="14">
        <f t="shared" si="147"/>
        <v>37.058436330448963</v>
      </c>
      <c r="CB145" s="22">
        <f t="shared" si="118"/>
        <v>314.17364041838948</v>
      </c>
      <c r="CC145" s="62">
        <f t="shared" si="119"/>
        <v>607.50697375172285</v>
      </c>
      <c r="CD145" s="62">
        <f ca="1">AVERAGE(OFFSET($CC$3,0,0,'Données projet'!$E$12+1,1))-AVERAGE(OFFSET($H$3,0,0,'Données projet'!$E$12+1,1))</f>
        <v>122.57815304102127</v>
      </c>
      <c r="CE145" s="62">
        <f t="shared" si="148"/>
        <v>80.106609825870578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24.693685244687927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24.693685244687927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-3.7243808037601412E-14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199.99826357281154</v>
      </c>
      <c r="CZ145" s="62">
        <f t="shared" si="150"/>
        <v>214.67424457475136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18.387581020409346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18.387581020409346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-5.6843418860808015E-14</v>
      </c>
      <c r="DP145" s="18">
        <f>DO145*VLOOKUP('Données projet'!$B$14,Paramètres!$A$1:$I$89,3,0)*VLOOKUP('Données projet'!$B$14,Paramètres!$A$1:$I$89,5,0)</f>
        <v>-4.5224624045658861E-14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248.15263300983543</v>
      </c>
      <c r="DU145" s="62">
        <f t="shared" si="152"/>
        <v>266.46511459244618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27.520283221576115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27.520283221576115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-5.6843418860808015E-14</v>
      </c>
      <c r="EK145" s="18">
        <f>EJ145*VLOOKUP('Données projet'!$B$15,Paramètres!$A$1:$I$89,3,0)*VLOOKUP('Données projet'!$B$15,Paramètres!$A$1:$I$89,5,0)</f>
        <v>-3.813056537183002E-14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205.35893113421139</v>
      </c>
      <c r="EP145" s="62">
        <f t="shared" si="154"/>
        <v>220.4399811285175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23.203376049564188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23.203376049564188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382.55387448074327</v>
      </c>
      <c r="T146" s="62">
        <f t="shared" si="142"/>
        <v>476.29465646955543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50.010993795260234</v>
      </c>
      <c r="AA146" s="23">
        <f>EXP(-LN(2)/25)*AA145+(1-EXP(-LN(2)/25))/(LN(2)/25)*Calculateur!V146*Calculateur!X146*VLOOKUP('Données projet'!$B$9,Paramètres!$A$1:$I$89,3,0)*0.475*44/12</f>
        <v>6.4510543936782501</v>
      </c>
      <c r="AB146" s="23">
        <f>EXP(-LN(2)/2)*AB145+(1-EXP(-LN(2)/2))/(LN(2)/2)*V146*Y146*VLOOKUP('Données projet'!$B$9,Paramètres!$A$1:$I$89,3,0)*0.475*44/12</f>
        <v>1.8110247418333641E-11</v>
      </c>
      <c r="AC146" s="24">
        <f t="shared" si="111"/>
        <v>56.462048188956594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-3.4106051316484809E-13</v>
      </c>
      <c r="AJ146" s="14">
        <f>AI146*VLOOKUP('Données projet'!$B$10,Paramètres!$A$1:$I$89,3,0)*VLOOKUP('Données projet'!$B$10,Paramètres!$A$1:$I$89,5,0)</f>
        <v>-2.1282176021486519E-13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420.68062999212015</v>
      </c>
      <c r="AO146" s="62">
        <f t="shared" si="144"/>
        <v>655.24090633185676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82.28570745835971</v>
      </c>
      <c r="AV146" s="23">
        <f>EXP(-LN(2)/25)*AV145+(1-EXP(-LN(2)/25))/(LN(2)/25)*Calculateur!AQ146*Calculateur!AS146*VLOOKUP('Données projet'!$B$10,Paramètres!$A$1:$I$89,3,0)*0.475*44/12</f>
        <v>10.64447981865116</v>
      </c>
      <c r="AW146" s="23">
        <f>EXP(-LN(2)/2)*AW145+(1-EXP(-LN(2)/2))/(LN(2)/2)*AQ146*AT146*VLOOKUP('Données projet'!$B$10,Paramètres!$A$1:$I$89,3,0)*0.475*44/12</f>
        <v>5.9528762568178905E-9</v>
      </c>
      <c r="AX146" s="23">
        <f t="shared" si="114"/>
        <v>92.930187282963743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3.1428571428571428</v>
      </c>
      <c r="BD146" s="13">
        <f>IF('Données projet'!$A$88&gt;35,BD145+BC146-BL145,IF(A146&lt;'Données projet'!$A$88,$BA$205^A146,IF(A146='Données projet'!$A$88,'Données projet'!$B$88,BD145+BC146-BL145)))</f>
        <v>173.28571428571456</v>
      </c>
      <c r="BE146" s="14">
        <f>BD146*VLOOKUP('Données projet'!$B$11,Paramètres!$A$1:$I$89,3,0)*VLOOKUP('Données projet'!$B$11,Paramètres!$A$1:$I$89,5,0)</f>
        <v>156.78891428571453</v>
      </c>
      <c r="BF146" s="14">
        <f t="shared" si="145"/>
        <v>40.117393704518499</v>
      </c>
      <c r="BG146" s="22">
        <f t="shared" si="115"/>
        <v>342.94515308298918</v>
      </c>
      <c r="BH146" s="62">
        <f t="shared" si="116"/>
        <v>636.27848641632249</v>
      </c>
      <c r="BI146" s="62">
        <f ca="1">AVERAGE(OFFSET($BH$3,0,0,'Données projet'!$E$11+1,1))-AVERAGE(OFFSET($H$3,0,0,'Données projet'!$E$11+1,1))</f>
        <v>138.3429338270858</v>
      </c>
      <c r="BJ146" s="62">
        <f t="shared" si="146"/>
        <v>88.30225651635925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26.002750260085584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26.002750260085584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3.1428571428571428</v>
      </c>
      <c r="BY146" s="13">
        <f>IF('Données projet'!$A$114&gt;35,BY145+BX146-CG145,IF(A146&lt;'Données projet'!$A$114,$BV$205^A146,IF(A146='Données projet'!$A$114,'Données projet'!$B$114,BY145+BX146-CG145)))</f>
        <v>173.28571428571456</v>
      </c>
      <c r="BZ146" s="14">
        <f>BY146*VLOOKUP('Données projet'!$B$12,Paramètres!$A$1:$I$89,3,0)*VLOOKUP('Données projet'!$B$12,Paramètres!$A$1:$I$89,5,0)</f>
        <v>145.97588571428597</v>
      </c>
      <c r="CA146" s="14">
        <f t="shared" si="147"/>
        <v>37.662648897217892</v>
      </c>
      <c r="CB146" s="22">
        <f t="shared" si="118"/>
        <v>319.83711444836922</v>
      </c>
      <c r="CC146" s="62">
        <f t="shared" si="119"/>
        <v>613.17044778170248</v>
      </c>
      <c r="CD146" s="62">
        <f ca="1">AVERAGE(OFFSET($CC$3,0,0,'Données projet'!$E$12+1,1))-AVERAGE(OFFSET($H$3,0,0,'Données projet'!$E$12+1,1))</f>
        <v>122.57815304102127</v>
      </c>
      <c r="CE146" s="62">
        <f t="shared" si="148"/>
        <v>80.106609825870578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24.20945713870038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24.20945713870038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-3.7243808037601412E-14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199.99826357281154</v>
      </c>
      <c r="CZ146" s="62">
        <f t="shared" si="150"/>
        <v>214.67424457475136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18.027011771916122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18.027011771916122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-5.6843418860808015E-14</v>
      </c>
      <c r="DP146" s="18">
        <f>DO146*VLOOKUP('Données projet'!$B$14,Paramètres!$A$1:$I$89,3,0)*VLOOKUP('Données projet'!$B$14,Paramètres!$A$1:$I$89,5,0)</f>
        <v>-4.5224624045658861E-14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248.15263300983543</v>
      </c>
      <c r="DU146" s="62">
        <f t="shared" si="152"/>
        <v>266.46511459244618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26.980627253316321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26.980627253316321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-5.6843418860808015E-14</v>
      </c>
      <c r="EK146" s="18">
        <f>EJ146*VLOOKUP('Données projet'!$B$15,Paramètres!$A$1:$I$89,3,0)*VLOOKUP('Données projet'!$B$15,Paramètres!$A$1:$I$89,5,0)</f>
        <v>-3.813056537183002E-14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205.35893113421139</v>
      </c>
      <c r="EP146" s="62">
        <f t="shared" si="154"/>
        <v>220.4399811285175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22.748371997894164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22.748371997894164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382.55387448074327</v>
      </c>
      <c r="T147" s="62">
        <f t="shared" si="142"/>
        <v>476.29465646955543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49.030308710629406</v>
      </c>
      <c r="AA147" s="23">
        <f>EXP(-LN(2)/25)*AA146+(1-EXP(-LN(2)/25))/(LN(2)/25)*Calculateur!V147*Calculateur!X147*VLOOKUP('Données projet'!$B$9,Paramètres!$A$1:$I$89,3,0)*0.475*44/12</f>
        <v>6.2746499720369115</v>
      </c>
      <c r="AB147" s="23">
        <f>EXP(-LN(2)/2)*AB146+(1-EXP(-LN(2)/2))/(LN(2)/2)*V147*Y147*VLOOKUP('Données projet'!$B$9,Paramètres!$A$1:$I$89,3,0)*0.475*44/12</f>
        <v>1.2805878758469883E-11</v>
      </c>
      <c r="AC147" s="24">
        <f t="shared" si="111"/>
        <v>55.304958682679121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-3.4106051316484809E-13</v>
      </c>
      <c r="AJ147" s="14">
        <f>AI147*VLOOKUP('Données projet'!$B$10,Paramètres!$A$1:$I$89,3,0)*VLOOKUP('Données projet'!$B$10,Paramètres!$A$1:$I$89,5,0)</f>
        <v>-2.1282176021486519E-13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420.68062999212015</v>
      </c>
      <c r="AO147" s="62">
        <f t="shared" si="144"/>
        <v>655.24090633185676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80.672134924427041</v>
      </c>
      <c r="AV147" s="23">
        <f>EXP(-LN(2)/25)*AV146+(1-EXP(-LN(2)/25))/(LN(2)/25)*Calculateur!AQ147*Calculateur!AS147*VLOOKUP('Données projet'!$B$10,Paramètres!$A$1:$I$89,3,0)*0.475*44/12</f>
        <v>10.353405958241279</v>
      </c>
      <c r="AW147" s="23">
        <f>EXP(-LN(2)/2)*AW146+(1-EXP(-LN(2)/2))/(LN(2)/2)*AQ147*AT147*VLOOKUP('Données projet'!$B$10,Paramètres!$A$1:$I$89,3,0)*0.475*44/12</f>
        <v>4.2093191687603221E-9</v>
      </c>
      <c r="AX147" s="23">
        <f t="shared" si="114"/>
        <v>91.02554088687765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3.1428571428571428</v>
      </c>
      <c r="BD147" s="13">
        <f>IF('Données projet'!$A$88&gt;35,BD146+BC147-BL146,IF(A147&lt;'Données projet'!$A$88,$BA$205^A147,IF(A147='Données projet'!$A$88,'Données projet'!$B$88,BD146+BC147-BL146)))</f>
        <v>176.4285714285717</v>
      </c>
      <c r="BE147" s="14">
        <f>BD147*VLOOKUP('Données projet'!$B$11,Paramètres!$A$1:$I$89,3,0)*VLOOKUP('Données projet'!$B$11,Paramètres!$A$1:$I$89,5,0)</f>
        <v>159.63257142857168</v>
      </c>
      <c r="BF147" s="14">
        <f t="shared" si="145"/>
        <v>40.759629780957553</v>
      </c>
      <c r="BG147" s="22">
        <f t="shared" si="115"/>
        <v>349.01641710659669</v>
      </c>
      <c r="BH147" s="62">
        <f t="shared" si="116"/>
        <v>642.34975043992995</v>
      </c>
      <c r="BI147" s="62">
        <f ca="1">AVERAGE(OFFSET($BH$3,0,0,'Données projet'!$E$11+1,1))-AVERAGE(OFFSET($H$3,0,0,'Données projet'!$E$11+1,1))</f>
        <v>138.3429338270858</v>
      </c>
      <c r="BJ147" s="62">
        <f t="shared" si="146"/>
        <v>88.30225651635925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25.49285218759691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25.49285218759691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3.1428571428571428</v>
      </c>
      <c r="BY147" s="13">
        <f>IF('Données projet'!$A$114&gt;35,BY146+BX147-CG146,IF(A147&lt;'Données projet'!$A$114,$BV$205^A147,IF(A147='Données projet'!$A$114,'Données projet'!$B$114,BY146+BX147-CG146)))</f>
        <v>176.4285714285717</v>
      </c>
      <c r="BZ147" s="14">
        <f>BY147*VLOOKUP('Données projet'!$B$12,Paramètres!$A$1:$I$89,3,0)*VLOOKUP('Données projet'!$B$12,Paramètres!$A$1:$I$89,5,0)</f>
        <v>148.62342857142883</v>
      </c>
      <c r="CA147" s="14">
        <f t="shared" si="147"/>
        <v>38.265587164698744</v>
      </c>
      <c r="CB147" s="22">
        <f t="shared" si="118"/>
        <v>325.49836907375555</v>
      </c>
      <c r="CC147" s="62">
        <f t="shared" si="119"/>
        <v>618.83170240708887</v>
      </c>
      <c r="CD147" s="62">
        <f ca="1">AVERAGE(OFFSET($CC$3,0,0,'Données projet'!$E$12+1,1))-AVERAGE(OFFSET($H$3,0,0,'Données projet'!$E$12+1,1))</f>
        <v>122.57815304102127</v>
      </c>
      <c r="CE147" s="62">
        <f t="shared" si="148"/>
        <v>80.106609825870578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23.734724450521266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23.734724450521266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-3.7243808037601412E-14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199.99826357281154</v>
      </c>
      <c r="CZ147" s="62">
        <f t="shared" si="150"/>
        <v>214.67424457475136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17.673513066460323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17.673513066460323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-5.6843418860808015E-14</v>
      </c>
      <c r="DP147" s="18">
        <f>DO147*VLOOKUP('Données projet'!$B$14,Paramètres!$A$1:$I$89,3,0)*VLOOKUP('Données projet'!$B$14,Paramètres!$A$1:$I$89,5,0)</f>
        <v>-4.5224624045658861E-14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248.15263300983543</v>
      </c>
      <c r="DU147" s="62">
        <f t="shared" si="152"/>
        <v>266.46511459244618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26.451553609436463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26.451553609436463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-5.6843418860808015E-14</v>
      </c>
      <c r="EK147" s="18">
        <f>EJ147*VLOOKUP('Données projet'!$B$15,Paramètres!$A$1:$I$89,3,0)*VLOOKUP('Données projet'!$B$15,Paramètres!$A$1:$I$89,5,0)</f>
        <v>-3.813056537183002E-14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205.35893113421139</v>
      </c>
      <c r="EP147" s="62">
        <f t="shared" si="154"/>
        <v>220.4399811285175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22.302290298152322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22.302290298152322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382.55387448074327</v>
      </c>
      <c r="T148" s="62">
        <f t="shared" si="142"/>
        <v>476.29465646955543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48.068854262349348</v>
      </c>
      <c r="AA148" s="23">
        <f>EXP(-LN(2)/25)*AA147+(1-EXP(-LN(2)/25))/(LN(2)/25)*Calculateur!V148*Calculateur!X148*VLOOKUP('Données projet'!$B$9,Paramètres!$A$1:$I$89,3,0)*0.475*44/12</f>
        <v>6.1030693385820607</v>
      </c>
      <c r="AB148" s="23">
        <f>EXP(-LN(2)/2)*AB147+(1-EXP(-LN(2)/2))/(LN(2)/2)*V148*Y148*VLOOKUP('Données projet'!$B$9,Paramètres!$A$1:$I$89,3,0)*0.475*44/12</f>
        <v>9.0551237091668204E-12</v>
      </c>
      <c r="AC148" s="24">
        <f t="shared" si="111"/>
        <v>54.17192360094046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-3.4106051316484809E-13</v>
      </c>
      <c r="AJ148" s="14">
        <f>AI148*VLOOKUP('Données projet'!$B$10,Paramètres!$A$1:$I$89,3,0)*VLOOKUP('Données projet'!$B$10,Paramètres!$A$1:$I$89,5,0)</f>
        <v>-2.1282176021486519E-13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420.68062999212015</v>
      </c>
      <c r="AO148" s="62">
        <f t="shared" si="144"/>
        <v>655.24090633185676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79.09020356370273</v>
      </c>
      <c r="AV148" s="23">
        <f>EXP(-LN(2)/25)*AV147+(1-EXP(-LN(2)/25))/(LN(2)/25)*Calculateur!AQ148*Calculateur!AS148*VLOOKUP('Données projet'!$B$10,Paramètres!$A$1:$I$89,3,0)*0.475*44/12</f>
        <v>10.070291527851214</v>
      </c>
      <c r="AW148" s="23">
        <f>EXP(-LN(2)/2)*AW147+(1-EXP(-LN(2)/2))/(LN(2)/2)*AQ148*AT148*VLOOKUP('Données projet'!$B$10,Paramètres!$A$1:$I$89,3,0)*0.475*44/12</f>
        <v>2.9764381284089452E-9</v>
      </c>
      <c r="AX148" s="23">
        <f t="shared" si="114"/>
        <v>89.160495094530376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3.1428571428571428</v>
      </c>
      <c r="BD148" s="13">
        <f>IF('Données projet'!$A$88&gt;35,BD147+BC148-BL147,IF(A148&lt;'Données projet'!$A$88,$BA$205^A148,IF(A148='Données projet'!$A$88,'Données projet'!$B$88,BD147+BC148-BL147)))</f>
        <v>179.57142857142884</v>
      </c>
      <c r="BE148" s="14">
        <f>BD148*VLOOKUP('Données projet'!$B$11,Paramètres!$A$1:$I$89,3,0)*VLOOKUP('Données projet'!$B$11,Paramètres!$A$1:$I$89,5,0)</f>
        <v>162.47622857142881</v>
      </c>
      <c r="BF148" s="14">
        <f t="shared" si="145"/>
        <v>41.4005354718972</v>
      </c>
      <c r="BG148" s="22">
        <f t="shared" si="115"/>
        <v>355.08536404212606</v>
      </c>
      <c r="BH148" s="62">
        <f t="shared" si="116"/>
        <v>648.41869737545937</v>
      </c>
      <c r="BI148" s="62">
        <f ca="1">AVERAGE(OFFSET($BH$3,0,0,'Données projet'!$E$11+1,1))-AVERAGE(OFFSET($H$3,0,0,'Données projet'!$E$11+1,1))</f>
        <v>138.3429338270858</v>
      </c>
      <c r="BJ148" s="62">
        <f t="shared" si="146"/>
        <v>88.30225651635925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24.992952905302623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24.992952905302623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3.1428571428571428</v>
      </c>
      <c r="BY148" s="13">
        <f>IF('Données projet'!$A$114&gt;35,BY147+BX148-CG147,IF(A148&lt;'Données projet'!$A$114,$BV$205^A148,IF(A148='Données projet'!$A$114,'Données projet'!$B$114,BY147+BX148-CG147)))</f>
        <v>179.57142857142884</v>
      </c>
      <c r="BZ148" s="14">
        <f>BY148*VLOOKUP('Données projet'!$B$12,Paramètres!$A$1:$I$89,3,0)*VLOOKUP('Données projet'!$B$12,Paramètres!$A$1:$I$89,5,0)</f>
        <v>151.27097142857167</v>
      </c>
      <c r="CA148" s="14">
        <f t="shared" si="147"/>
        <v>38.867276451691765</v>
      </c>
      <c r="CB148" s="22">
        <f t="shared" si="118"/>
        <v>331.15744839145879</v>
      </c>
      <c r="CC148" s="62">
        <f t="shared" si="119"/>
        <v>624.4907817247921</v>
      </c>
      <c r="CD148" s="62">
        <f ca="1">AVERAGE(OFFSET($CC$3,0,0,'Données projet'!$E$12+1,1))-AVERAGE(OFFSET($H$3,0,0,'Données projet'!$E$12+1,1))</f>
        <v>122.57815304102127</v>
      </c>
      <c r="CE148" s="62">
        <f t="shared" si="148"/>
        <v>80.106609825870578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23.269300980798999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23.269300980798999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-3.7243808037601412E-14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199.99826357281154</v>
      </c>
      <c r="CZ148" s="62">
        <f t="shared" si="150"/>
        <v>214.67424457475136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17.326946255005591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17.326946255005591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-5.6843418860808015E-14</v>
      </c>
      <c r="DP148" s="18">
        <f>DO148*VLOOKUP('Données projet'!$B$14,Paramètres!$A$1:$I$89,3,0)*VLOOKUP('Données projet'!$B$14,Paramètres!$A$1:$I$89,5,0)</f>
        <v>-4.5224624045658861E-14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248.15263300983543</v>
      </c>
      <c r="DU148" s="62">
        <f t="shared" si="152"/>
        <v>266.46511459244618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25.932854777010029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25.932854777010029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-5.6843418860808015E-14</v>
      </c>
      <c r="EK148" s="18">
        <f>EJ148*VLOOKUP('Données projet'!$B$15,Paramètres!$A$1:$I$89,3,0)*VLOOKUP('Données projet'!$B$15,Paramètres!$A$1:$I$89,5,0)</f>
        <v>-3.813056537183002E-14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205.35893113421139</v>
      </c>
      <c r="EP148" s="62">
        <f t="shared" si="154"/>
        <v>220.4399811285175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21.864955988459446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21.864955988459446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382.55387448074327</v>
      </c>
      <c r="T149" s="62">
        <f t="shared" si="142"/>
        <v>476.29465646955543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47.126253349370756</v>
      </c>
      <c r="AA149" s="23">
        <f>EXP(-LN(2)/25)*AA148+(1-EXP(-LN(2)/25))/(LN(2)/25)*Calculateur!V149*Calculateur!X149*VLOOKUP('Données projet'!$B$9,Paramètres!$A$1:$I$89,3,0)*0.475*44/12</f>
        <v>5.9361805865720667</v>
      </c>
      <c r="AB149" s="23">
        <f>EXP(-LN(2)/2)*AB148+(1-EXP(-LN(2)/2))/(LN(2)/2)*V149*Y149*VLOOKUP('Données projet'!$B$9,Paramètres!$A$1:$I$89,3,0)*0.475*44/12</f>
        <v>6.4029393792349416E-12</v>
      </c>
      <c r="AC149" s="24">
        <f t="shared" si="111"/>
        <v>53.062433935949223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-3.4106051316484809E-13</v>
      </c>
      <c r="AJ149" s="14">
        <f>AI149*VLOOKUP('Données projet'!$B$10,Paramètres!$A$1:$I$89,3,0)*VLOOKUP('Données projet'!$B$10,Paramètres!$A$1:$I$89,5,0)</f>
        <v>-2.1282176021486519E-13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420.68062999212015</v>
      </c>
      <c r="AO149" s="62">
        <f t="shared" si="144"/>
        <v>655.24090633185676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77.539292912079361</v>
      </c>
      <c r="AV149" s="23">
        <f>EXP(-LN(2)/25)*AV148+(1-EXP(-LN(2)/25))/(LN(2)/25)*Calculateur!AQ149*Calculateur!AS149*VLOOKUP('Données projet'!$B$10,Paramètres!$A$1:$I$89,3,0)*0.475*44/12</f>
        <v>9.7949188764485076</v>
      </c>
      <c r="AW149" s="23">
        <f>EXP(-LN(2)/2)*AW148+(1-EXP(-LN(2)/2))/(LN(2)/2)*AQ149*AT149*VLOOKUP('Données projet'!$B$10,Paramètres!$A$1:$I$89,3,0)*0.475*44/12</f>
        <v>2.1046595843801611E-9</v>
      </c>
      <c r="AX149" s="23">
        <f t="shared" si="114"/>
        <v>87.334211790632523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3.1428571428571428</v>
      </c>
      <c r="BD149" s="13">
        <f>IF('Données projet'!$A$88&gt;35,BD148+BC149-BL148,IF(A149&lt;'Données projet'!$A$88,$BA$205^A149,IF(A149='Données projet'!$A$88,'Données projet'!$B$88,BD148+BC149-BL148)))</f>
        <v>182.71428571428598</v>
      </c>
      <c r="BE149" s="14">
        <f>BD149*VLOOKUP('Données projet'!$B$11,Paramètres!$A$1:$I$89,3,0)*VLOOKUP('Données projet'!$B$11,Paramètres!$A$1:$I$89,5,0)</f>
        <v>165.31988571428593</v>
      </c>
      <c r="BF149" s="14">
        <f t="shared" si="145"/>
        <v>42.04013674824526</v>
      </c>
      <c r="BG149" s="22">
        <f t="shared" si="115"/>
        <v>361.15203912224183</v>
      </c>
      <c r="BH149" s="62">
        <f t="shared" si="116"/>
        <v>654.48537245557509</v>
      </c>
      <c r="BI149" s="62">
        <f ca="1">AVERAGE(OFFSET($BH$3,0,0,'Données projet'!$E$11+1,1))-AVERAGE(OFFSET($H$3,0,0,'Données projet'!$E$11+1,1))</f>
        <v>138.3429338270858</v>
      </c>
      <c r="BJ149" s="62">
        <f t="shared" si="146"/>
        <v>88.30225651635925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24.50285634302567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24.50285634302567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3.1428571428571428</v>
      </c>
      <c r="BY149" s="13">
        <f>IF('Données projet'!$A$114&gt;35,BY148+BX149-CG148,IF(A149&lt;'Données projet'!$A$114,$BV$205^A149,IF(A149='Données projet'!$A$114,'Données projet'!$B$114,BY148+BX149-CG148)))</f>
        <v>182.71428571428598</v>
      </c>
      <c r="BZ149" s="14">
        <f>BY149*VLOOKUP('Données projet'!$B$12,Paramètres!$A$1:$I$89,3,0)*VLOOKUP('Données projet'!$B$12,Paramètres!$A$1:$I$89,5,0)</f>
        <v>153.91851428571451</v>
      </c>
      <c r="CA149" s="14">
        <f t="shared" si="147"/>
        <v>39.467741139969725</v>
      </c>
      <c r="CB149" s="22">
        <f t="shared" si="118"/>
        <v>336.81439486640005</v>
      </c>
      <c r="CC149" s="62">
        <f t="shared" si="119"/>
        <v>630.14772819973336</v>
      </c>
      <c r="CD149" s="62">
        <f ca="1">AVERAGE(OFFSET($CC$3,0,0,'Données projet'!$E$12+1,1))-AVERAGE(OFFSET($H$3,0,0,'Données projet'!$E$12+1,1))</f>
        <v>122.57815304102127</v>
      </c>
      <c r="CE149" s="62">
        <f t="shared" si="148"/>
        <v>80.106609825870578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22.813004181437698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22.813004181437698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-3.7243808037601412E-14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199.99826357281154</v>
      </c>
      <c r="CZ149" s="62">
        <f t="shared" si="150"/>
        <v>214.67424457475136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16.987175407338604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16.987175407338604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-5.6843418860808015E-14</v>
      </c>
      <c r="DP149" s="18">
        <f>DO149*VLOOKUP('Données projet'!$B$14,Paramètres!$A$1:$I$89,3,0)*VLOOKUP('Données projet'!$B$14,Paramètres!$A$1:$I$89,5,0)</f>
        <v>-4.5224624045658861E-14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248.15263300983543</v>
      </c>
      <c r="DU149" s="62">
        <f t="shared" si="152"/>
        <v>266.46511459244618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25.424327312312428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25.424327312312428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-5.6843418860808015E-14</v>
      </c>
      <c r="EK149" s="18">
        <f>EJ149*VLOOKUP('Données projet'!$B$15,Paramètres!$A$1:$I$89,3,0)*VLOOKUP('Données projet'!$B$15,Paramètres!$A$1:$I$89,5,0)</f>
        <v>-3.813056537183002E-14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205.35893113421139</v>
      </c>
      <c r="EP149" s="62">
        <f t="shared" si="154"/>
        <v>220.4399811285175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21.436197537832058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21.436197537832058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382.55387448074327</v>
      </c>
      <c r="T150" s="62">
        <f t="shared" si="142"/>
        <v>476.29465646955543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46.202136265365887</v>
      </c>
      <c r="AA150" s="23">
        <f>EXP(-LN(2)/25)*AA149+(1-EXP(-LN(2)/25))/(LN(2)/25)*Calculateur!V150*Calculateur!X150*VLOOKUP('Données projet'!$B$9,Paramètres!$A$1:$I$89,3,0)*0.475*44/12</f>
        <v>5.7738554162620837</v>
      </c>
      <c r="AB150" s="23">
        <f>EXP(-LN(2)/2)*AB149+(1-EXP(-LN(2)/2))/(LN(2)/2)*V150*Y150*VLOOKUP('Données projet'!$B$9,Paramètres!$A$1:$I$89,3,0)*0.475*44/12</f>
        <v>4.5275618545834102E-12</v>
      </c>
      <c r="AC150" s="24">
        <f t="shared" si="111"/>
        <v>51.9759916816325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-3.4106051316484809E-13</v>
      </c>
      <c r="AJ150" s="14">
        <f>AI150*VLOOKUP('Données projet'!$B$10,Paramètres!$A$1:$I$89,3,0)*VLOOKUP('Données projet'!$B$10,Paramètres!$A$1:$I$89,5,0)</f>
        <v>-2.1282176021486519E-13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420.68062999212015</v>
      </c>
      <c r="AO150" s="62">
        <f t="shared" si="144"/>
        <v>655.24090633185676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76.018794672372238</v>
      </c>
      <c r="AV150" s="23">
        <f>EXP(-LN(2)/25)*AV149+(1-EXP(-LN(2)/25))/(LN(2)/25)*Calculateur!AQ150*Calculateur!AS150*VLOOKUP('Données projet'!$B$10,Paramètres!$A$1:$I$89,3,0)*0.475*44/12</f>
        <v>9.5270763046796265</v>
      </c>
      <c r="AW150" s="23">
        <f>EXP(-LN(2)/2)*AW149+(1-EXP(-LN(2)/2))/(LN(2)/2)*AQ150*AT150*VLOOKUP('Données projet'!$B$10,Paramètres!$A$1:$I$89,3,0)*0.475*44/12</f>
        <v>1.4882190642044726E-9</v>
      </c>
      <c r="AX150" s="23">
        <f t="shared" si="114"/>
        <v>85.54587097854008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3.1428571428571428</v>
      </c>
      <c r="BD150" s="13">
        <f>IF('Données projet'!$A$88&gt;35,BD149+BC150-BL149,IF(A150&lt;'Données projet'!$A$88,$BA$205^A150,IF(A150='Données projet'!$A$88,'Données projet'!$B$88,BD149+BC150-BL149)))</f>
        <v>185.85714285714312</v>
      </c>
      <c r="BE150" s="14">
        <f>BD150*VLOOKUP('Données projet'!$B$11,Paramètres!$A$1:$I$89,3,0)*VLOOKUP('Données projet'!$B$11,Paramètres!$A$1:$I$89,5,0)</f>
        <v>168.16354285714309</v>
      </c>
      <c r="BF150" s="14">
        <f t="shared" si="145"/>
        <v>42.67845863626917</v>
      </c>
      <c r="BG150" s="22">
        <f t="shared" si="115"/>
        <v>367.2164859343597</v>
      </c>
      <c r="BH150" s="62">
        <f t="shared" si="116"/>
        <v>660.54981926769301</v>
      </c>
      <c r="BI150" s="62">
        <f ca="1">AVERAGE(OFFSET($BH$3,0,0,'Données projet'!$E$11+1,1))-AVERAGE(OFFSET($H$3,0,0,'Données projet'!$E$11+1,1))</f>
        <v>138.3429338270858</v>
      </c>
      <c r="BJ150" s="62">
        <f t="shared" si="146"/>
        <v>88.30225651635925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24.022370275405581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24.022370275405581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3.1428571428571428</v>
      </c>
      <c r="BY150" s="13">
        <f>IF('Données projet'!$A$114&gt;35,BY149+BX150-CG149,IF(A150&lt;'Données projet'!$A$114,$BV$205^A150,IF(A150='Données projet'!$A$114,'Données projet'!$B$114,BY149+BX150-CG149)))</f>
        <v>185.85714285714312</v>
      </c>
      <c r="BZ150" s="14">
        <f>BY150*VLOOKUP('Données projet'!$B$12,Paramètres!$A$1:$I$89,3,0)*VLOOKUP('Données projet'!$B$12,Paramètres!$A$1:$I$89,5,0)</f>
        <v>156.56605714285737</v>
      </c>
      <c r="CA150" s="14">
        <f t="shared" si="147"/>
        <v>40.067004724466933</v>
      </c>
      <c r="CB150" s="22">
        <f t="shared" si="118"/>
        <v>342.4692494189232</v>
      </c>
      <c r="CC150" s="62">
        <f t="shared" si="119"/>
        <v>635.80258275225651</v>
      </c>
      <c r="CD150" s="62">
        <f ca="1">AVERAGE(OFFSET($CC$3,0,0,'Données projet'!$E$12+1,1))-AVERAGE(OFFSET($H$3,0,0,'Données projet'!$E$12+1,1))</f>
        <v>122.57815304102127</v>
      </c>
      <c r="CE150" s="62">
        <f t="shared" si="148"/>
        <v>80.106609825870578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22.365655083998305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22.365655083998305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-3.7243808037601412E-14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199.99826357281154</v>
      </c>
      <c r="CZ150" s="62">
        <f t="shared" si="150"/>
        <v>214.67424457475136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16.654067258754615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16.654067258754615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-5.6843418860808015E-14</v>
      </c>
      <c r="DP150" s="18">
        <f>DO150*VLOOKUP('Données projet'!$B$14,Paramètres!$A$1:$I$89,3,0)*VLOOKUP('Données projet'!$B$14,Paramètres!$A$1:$I$89,5,0)</f>
        <v>-4.5224624045658861E-14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248.15263300983543</v>
      </c>
      <c r="DU150" s="62">
        <f t="shared" si="152"/>
        <v>266.46511459244618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24.925771761026422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24.925771761026422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-5.6843418860808015E-14</v>
      </c>
      <c r="EK150" s="18">
        <f>EJ150*VLOOKUP('Données projet'!$B$15,Paramètres!$A$1:$I$89,3,0)*VLOOKUP('Données projet'!$B$15,Paramètres!$A$1:$I$89,5,0)</f>
        <v>-3.813056537183002E-14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205.35893113421139</v>
      </c>
      <c r="EP150" s="62">
        <f t="shared" si="154"/>
        <v>220.4399811285175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21.015846778904642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21.015846778904642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382.55387448074327</v>
      </c>
      <c r="T151" s="62">
        <f t="shared" si="142"/>
        <v>476.29465646955543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45.296140553722587</v>
      </c>
      <c r="AA151" s="23">
        <f>EXP(-LN(2)/25)*AA150+(1-EXP(-LN(2)/25))/(LN(2)/25)*Calculateur!V151*Calculateur!X151*VLOOKUP('Données projet'!$B$9,Paramètres!$A$1:$I$89,3,0)*0.475*44/12</f>
        <v>5.6159690362705366</v>
      </c>
      <c r="AB151" s="23">
        <f>EXP(-LN(2)/2)*AB150+(1-EXP(-LN(2)/2))/(LN(2)/2)*V151*Y151*VLOOKUP('Données projet'!$B$9,Paramètres!$A$1:$I$89,3,0)*0.475*44/12</f>
        <v>3.2014696896174708E-12</v>
      </c>
      <c r="AC151" s="24">
        <f t="shared" si="111"/>
        <v>50.912109589996327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-3.4106051316484809E-13</v>
      </c>
      <c r="AJ151" s="14">
        <f>AI151*VLOOKUP('Données projet'!$B$10,Paramètres!$A$1:$I$89,3,0)*VLOOKUP('Données projet'!$B$10,Paramètres!$A$1:$I$89,5,0)</f>
        <v>-2.1282176021486519E-13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420.68062999212015</v>
      </c>
      <c r="AO151" s="62">
        <f t="shared" si="144"/>
        <v>655.24090633185676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74.528112475733423</v>
      </c>
      <c r="AV151" s="23">
        <f>EXP(-LN(2)/25)*AV150+(1-EXP(-LN(2)/25))/(LN(2)/25)*Calculateur!AQ151*Calculateur!AS151*VLOOKUP('Données projet'!$B$10,Paramètres!$A$1:$I$89,3,0)*0.475*44/12</f>
        <v>9.2665579021209936</v>
      </c>
      <c r="AW151" s="23">
        <f>EXP(-LN(2)/2)*AW150+(1-EXP(-LN(2)/2))/(LN(2)/2)*AQ151*AT151*VLOOKUP('Données projet'!$B$10,Paramètres!$A$1:$I$89,3,0)*0.475*44/12</f>
        <v>1.0523297921900805E-9</v>
      </c>
      <c r="AX151" s="23">
        <f t="shared" si="114"/>
        <v>83.794670378906744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>
        <f>VLOOKUP(A151,'Données projet'!$A$87:$I$107,2,0)</f>
        <v>189</v>
      </c>
      <c r="BB151" s="13">
        <f>VLOOKUP(A151,'Données projet'!$A$87:$I$107,9,0)</f>
        <v>3.1428571428571428</v>
      </c>
      <c r="BC151" s="13">
        <f t="array" ref="BC151">INDEX(BB:BB,MIN(IF(ISNUMBER(BB151:BB347),ROW(BB151:BB347),"")))</f>
        <v>3.1428571428571428</v>
      </c>
      <c r="BD151" s="13">
        <f>IF('Données projet'!$A$88&gt;35,BD150+BC151-BL150,IF(A151&lt;'Données projet'!$A$88,$BA$205^A151,IF(A151='Données projet'!$A$88,'Données projet'!$B$88,BD150+BC151-BL150)))</f>
        <v>189.00000000000026</v>
      </c>
      <c r="BE151" s="14">
        <f>BD151*VLOOKUP('Données projet'!$B$11,Paramètres!$A$1:$I$89,3,0)*VLOOKUP('Données projet'!$B$11,Paramètres!$A$1:$I$89,5,0)</f>
        <v>171.00720000000024</v>
      </c>
      <c r="BF151" s="14">
        <f t="shared" si="145"/>
        <v>43.315525267338167</v>
      </c>
      <c r="BG151" s="22">
        <f t="shared" si="115"/>
        <v>373.27874650728103</v>
      </c>
      <c r="BH151" s="62">
        <f t="shared" si="116"/>
        <v>666.61207984061434</v>
      </c>
      <c r="BI151" s="62">
        <f ca="1">AVERAGE(OFFSET($BH$3,0,0,'Données projet'!$E$11+1,1))-AVERAGE(OFFSET($H$3,0,0,'Données projet'!$E$11+1,1))</f>
        <v>138.3429338270858</v>
      </c>
      <c r="BJ151" s="62">
        <f t="shared" si="146"/>
        <v>88.30225651635925</v>
      </c>
      <c r="BK151" s="16">
        <f>IF(ISNA(VLOOKUP(A151,'Données projet'!$A$87:$I$107,3,0)),0,VLOOKUP(A151,'Données projet'!$A$87:$I$107,3,0))</f>
        <v>10</v>
      </c>
      <c r="BL151" s="16">
        <f>IF(ISNA(VLOOKUP(A151,'Données projet'!$A$87:$I$107,4,0)),0,VLOOKUP(A151,'Données projet'!$A$87:$I$107,4,0))</f>
        <v>30</v>
      </c>
      <c r="BM151" s="17">
        <f>IF(ISNA(VLOOKUP(A151,'Données projet'!$A$87:$I$107,5,0)),0%,VLOOKUP(A151,'Données projet'!$A$87:$I$107,5,0)*VLOOKUP('Données projet'!$B$11,Paramètres!$A$1:$I$89,7,0))</f>
        <v>0.38700000000000001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35.163971895554369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35.163971895554369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>
        <f>VLOOKUP(A151,'Données projet'!$A$113:$I$133,2,0)</f>
        <v>189</v>
      </c>
      <c r="BW151" s="13">
        <f>VLOOKUP(A151,'Données projet'!$A$113:$I$133,9,0)</f>
        <v>3.1428571428571428</v>
      </c>
      <c r="BX151" s="13">
        <f t="array" ref="BX151">INDEX(BW:BW,MIN(IF(ISNUMBER(BW151:BW347),ROW(BW151:BW347),"")))</f>
        <v>3.1428571428571428</v>
      </c>
      <c r="BY151" s="13">
        <f>IF('Données projet'!$A$114&gt;35,BY150+BX151-CG150,IF(A151&lt;'Données projet'!$A$114,$BV$205^A151,IF(A151='Données projet'!$A$114,'Données projet'!$B$114,BY150+BX151-CG150)))</f>
        <v>189.00000000000026</v>
      </c>
      <c r="BZ151" s="14">
        <f>BY151*VLOOKUP('Données projet'!$B$12,Paramètres!$A$1:$I$89,3,0)*VLOOKUP('Données projet'!$B$12,Paramètres!$A$1:$I$89,5,0)</f>
        <v>159.21360000000024</v>
      </c>
      <c r="CA151" s="14">
        <f t="shared" si="147"/>
        <v>40.665089859977144</v>
      </c>
      <c r="CB151" s="22">
        <f t="shared" si="118"/>
        <v>348.12205150612726</v>
      </c>
      <c r="CC151" s="62">
        <f t="shared" si="119"/>
        <v>641.45538483946052</v>
      </c>
      <c r="CD151" s="62">
        <f ca="1">AVERAGE(OFFSET($CC$3,0,0,'Données projet'!$E$12+1,1))-AVERAGE(OFFSET($H$3,0,0,'Données projet'!$E$12+1,1))</f>
        <v>122.57815304102127</v>
      </c>
      <c r="CE151" s="62">
        <f t="shared" si="148"/>
        <v>80.106609825870578</v>
      </c>
      <c r="CF151" s="16">
        <f>IF(ISNA(VLOOKUP(A151,'Données projet'!$A$113:$I$133,3,0)),0,VLOOKUP(A151,'Données projet'!$A$113:$I$133,3,0))</f>
        <v>10</v>
      </c>
      <c r="CG151" s="16">
        <f>IF(ISNA(VLOOKUP(A151,'Données projet'!$A$113:$I$133,4,0)),0,VLOOKUP(A151,'Données projet'!$A$113:$I$133,4,0))</f>
        <v>30</v>
      </c>
      <c r="CH151" s="17">
        <f>IF(ISNA(VLOOKUP(A151,'Données projet'!$A$113:$I$133,5,0)),0%,VLOOKUP(A151,'Données projet'!$A$113:$I$133,5,0)*VLOOKUP('Données projet'!$B$12,Paramètres!$A$1:$I$89,7,0))</f>
        <v>0.38700000000000001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32.738870385516144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32.738870385516144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-3.7243808037601412E-14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199.99826357281154</v>
      </c>
      <c r="CZ151" s="62">
        <f t="shared" si="150"/>
        <v>214.67424457475136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16.327491157788447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16.327491157788447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-5.6843418860808015E-14</v>
      </c>
      <c r="DP151" s="18">
        <f>DO151*VLOOKUP('Données projet'!$B$14,Paramètres!$A$1:$I$89,3,0)*VLOOKUP('Données projet'!$B$14,Paramètres!$A$1:$I$89,5,0)</f>
        <v>-4.5224624045658861E-14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248.15263300983543</v>
      </c>
      <c r="DU151" s="62">
        <f t="shared" si="152"/>
        <v>266.46511459244618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24.436992580012273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24.436992580012273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-5.6843418860808015E-14</v>
      </c>
      <c r="EK151" s="18">
        <f>EJ151*VLOOKUP('Données projet'!$B$15,Paramètres!$A$1:$I$89,3,0)*VLOOKUP('Données projet'!$B$15,Paramètres!$A$1:$I$89,5,0)</f>
        <v>-3.813056537183002E-14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205.35893113421139</v>
      </c>
      <c r="EP151" s="62">
        <f t="shared" si="154"/>
        <v>220.4399811285175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20.603738841971143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20.603738841971143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382.55387448074327</v>
      </c>
      <c r="T152" s="62">
        <f t="shared" si="142"/>
        <v>476.29465646955543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44.407910865381794</v>
      </c>
      <c r="AA152" s="23">
        <f>EXP(-LN(2)/25)*AA151+(1-EXP(-LN(2)/25))/(LN(2)/25)*Calculateur!V152*Calculateur!X152*VLOOKUP('Données projet'!$B$9,Paramètres!$A$1:$I$89,3,0)*0.475*44/12</f>
        <v>5.4624000676427427</v>
      </c>
      <c r="AB152" s="23">
        <f>EXP(-LN(2)/2)*AB151+(1-EXP(-LN(2)/2))/(LN(2)/2)*V152*Y152*VLOOKUP('Données projet'!$B$9,Paramètres!$A$1:$I$89,3,0)*0.475*44/12</f>
        <v>2.2637809272917051E-12</v>
      </c>
      <c r="AC152" s="24">
        <f t="shared" si="111"/>
        <v>49.870310933026801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-3.4106051316484809E-13</v>
      </c>
      <c r="AJ152" s="14">
        <f>AI152*VLOOKUP('Données projet'!$B$10,Paramètres!$A$1:$I$89,3,0)*VLOOKUP('Données projet'!$B$10,Paramètres!$A$1:$I$89,5,0)</f>
        <v>-2.1282176021486519E-13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420.68062999212015</v>
      </c>
      <c r="AO152" s="62">
        <f t="shared" si="144"/>
        <v>655.24090633185676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73.066661647744326</v>
      </c>
      <c r="AV152" s="23">
        <f>EXP(-LN(2)/25)*AV151+(1-EXP(-LN(2)/25))/(LN(2)/25)*Calculateur!AQ152*Calculateur!AS152*VLOOKUP('Données projet'!$B$10,Paramètres!$A$1:$I$89,3,0)*0.475*44/12</f>
        <v>9.0131633889803933</v>
      </c>
      <c r="AW152" s="23">
        <f>EXP(-LN(2)/2)*AW151+(1-EXP(-LN(2)/2))/(LN(2)/2)*AQ152*AT152*VLOOKUP('Données projet'!$B$10,Paramètres!$A$1:$I$89,3,0)*0.475*44/12</f>
        <v>7.4410953210223631E-10</v>
      </c>
      <c r="AX152" s="23">
        <f t="shared" si="114"/>
        <v>82.079825037468822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3.7857142857142856</v>
      </c>
      <c r="BD152" s="13">
        <f>IF('Données projet'!$A$88&gt;35,BD151+BC152-BL151,IF(A152&lt;'Données projet'!$A$88,$BA$205^A152,IF(A152='Données projet'!$A$88,'Données projet'!$B$88,BD151+BC152-BL151)))</f>
        <v>162.78571428571453</v>
      </c>
      <c r="BE152" s="14">
        <f>BD152*VLOOKUP('Données projet'!$B$11,Paramètres!$A$1:$I$89,3,0)*VLOOKUP('Données projet'!$B$11,Paramètres!$A$1:$I$89,5,0)</f>
        <v>147.28851428571451</v>
      </c>
      <c r="BF152" s="14">
        <f t="shared" si="145"/>
        <v>37.961738087664742</v>
      </c>
      <c r="BG152" s="22">
        <f t="shared" si="115"/>
        <v>322.6441895503022</v>
      </c>
      <c r="BH152" s="62">
        <f t="shared" si="116"/>
        <v>615.97752288363552</v>
      </c>
      <c r="BI152" s="62">
        <f ca="1">AVERAGE(OFFSET($BH$3,0,0,'Données projet'!$E$11+1,1))-AVERAGE(OFFSET($H$3,0,0,'Données projet'!$E$11+1,1))</f>
        <v>138.3429338270858</v>
      </c>
      <c r="BJ152" s="62">
        <f t="shared" si="146"/>
        <v>88.30225651635925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34.474427854587596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34.474427854587596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3.7857142857142856</v>
      </c>
      <c r="BY152" s="13">
        <f>IF('Données projet'!$A$114&gt;35,BY151+BX152-CG151,IF(A152&lt;'Données projet'!$A$114,$BV$205^A152,IF(A152='Données projet'!$A$114,'Données projet'!$B$114,BY151+BX152-CG151)))</f>
        <v>162.78571428571453</v>
      </c>
      <c r="BZ152" s="14">
        <f>BY152*VLOOKUP('Données projet'!$B$12,Paramètres!$A$1:$I$89,3,0)*VLOOKUP('Données projet'!$B$12,Paramètres!$A$1:$I$89,5,0)</f>
        <v>137.13068571428593</v>
      </c>
      <c r="CA152" s="14">
        <f t="shared" si="147"/>
        <v>35.63889577808807</v>
      </c>
      <c r="CB152" s="22">
        <f t="shared" si="118"/>
        <v>300.90702109921807</v>
      </c>
      <c r="CC152" s="62">
        <f t="shared" si="119"/>
        <v>594.24035443255138</v>
      </c>
      <c r="CD152" s="62">
        <f ca="1">AVERAGE(OFFSET($CC$3,0,0,'Données projet'!$E$12+1,1))-AVERAGE(OFFSET($H$3,0,0,'Données projet'!$E$12+1,1))</f>
        <v>122.57815304102127</v>
      </c>
      <c r="CE152" s="62">
        <f t="shared" si="148"/>
        <v>80.106609825870578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32.096881105995358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32.096881105995358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-3.7243808037601412E-14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199.99826357281154</v>
      </c>
      <c r="CZ152" s="62">
        <f t="shared" si="150"/>
        <v>214.67424457475136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16.007319014970474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16.007319014970474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-5.6843418860808015E-14</v>
      </c>
      <c r="DP152" s="18">
        <f>DO152*VLOOKUP('Données projet'!$B$14,Paramètres!$A$1:$I$89,3,0)*VLOOKUP('Données projet'!$B$14,Paramètres!$A$1:$I$89,5,0)</f>
        <v>-4.5224624045658861E-14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248.15263300983543</v>
      </c>
      <c r="DU152" s="62">
        <f t="shared" si="152"/>
        <v>266.46511459244618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23.95779806061195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23.95779806061195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-5.6843418860808015E-14</v>
      </c>
      <c r="EK152" s="18">
        <f>EJ152*VLOOKUP('Données projet'!$B$15,Paramètres!$A$1:$I$89,3,0)*VLOOKUP('Données projet'!$B$15,Paramètres!$A$1:$I$89,5,0)</f>
        <v>-3.813056537183002E-14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205.35893113421139</v>
      </c>
      <c r="EP152" s="62">
        <f t="shared" si="154"/>
        <v>220.4399811285175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20.199712090319892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20.199712090319892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382.55387448074327</v>
      </c>
      <c r="T153" s="62">
        <f t="shared" si="142"/>
        <v>476.29465646955543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43.537098819462749</v>
      </c>
      <c r="AA153" s="23">
        <f>EXP(-LN(2)/25)*AA152+(1-EXP(-LN(2)/25))/(LN(2)/25)*Calculateur!V153*Calculateur!X153*VLOOKUP('Données projet'!$B$9,Paramètres!$A$1:$I$89,3,0)*0.475*44/12</f>
        <v>5.3130304505379167</v>
      </c>
      <c r="AB153" s="23">
        <f>EXP(-LN(2)/2)*AB152+(1-EXP(-LN(2)/2))/(LN(2)/2)*V153*Y153*VLOOKUP('Données projet'!$B$9,Paramètres!$A$1:$I$89,3,0)*0.475*44/12</f>
        <v>1.6007348448087354E-12</v>
      </c>
      <c r="AC153" s="24">
        <f t="shared" si="111"/>
        <v>48.850129270002263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-3.4106051316484809E-13</v>
      </c>
      <c r="AJ153" s="14">
        <f>AI153*VLOOKUP('Données projet'!$B$10,Paramètres!$A$1:$I$89,3,0)*VLOOKUP('Données projet'!$B$10,Paramètres!$A$1:$I$89,5,0)</f>
        <v>-2.1282176021486519E-13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420.68062999212015</v>
      </c>
      <c r="AO153" s="62">
        <f t="shared" si="144"/>
        <v>655.24090633185676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71.633868979095112</v>
      </c>
      <c r="AV153" s="23">
        <f>EXP(-LN(2)/25)*AV152+(1-EXP(-LN(2)/25))/(LN(2)/25)*Calculateur!AQ153*Calculateur!AS153*VLOOKUP('Données projet'!$B$10,Paramètres!$A$1:$I$89,3,0)*0.475*44/12</f>
        <v>8.7666979621270613</v>
      </c>
      <c r="AW153" s="23">
        <f>EXP(-LN(2)/2)*AW152+(1-EXP(-LN(2)/2))/(LN(2)/2)*AQ153*AT153*VLOOKUP('Données projet'!$B$10,Paramètres!$A$1:$I$89,3,0)*0.475*44/12</f>
        <v>5.2616489609504026E-10</v>
      </c>
      <c r="AX153" s="23">
        <f t="shared" si="114"/>
        <v>80.400566941748338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3.7857142857142856</v>
      </c>
      <c r="BD153" s="13">
        <f>IF('Données projet'!$A$88&gt;35,BD152+BC153-BL152,IF(A153&lt;'Données projet'!$A$88,$BA$205^A153,IF(A153='Données projet'!$A$88,'Données projet'!$B$88,BD152+BC153-BL152)))</f>
        <v>166.57142857142881</v>
      </c>
      <c r="BE153" s="14">
        <f>BD153*VLOOKUP('Données projet'!$B$11,Paramètres!$A$1:$I$89,3,0)*VLOOKUP('Données projet'!$B$11,Paramètres!$A$1:$I$89,5,0)</f>
        <v>150.71382857142879</v>
      </c>
      <c r="BF153" s="14">
        <f t="shared" si="145"/>
        <v>38.740760875184563</v>
      </c>
      <c r="BG153" s="22">
        <f t="shared" si="115"/>
        <v>329.96674328618491</v>
      </c>
      <c r="BH153" s="62">
        <f t="shared" si="116"/>
        <v>623.30007661951822</v>
      </c>
      <c r="BI153" s="62">
        <f ca="1">AVERAGE(OFFSET($BH$3,0,0,'Données projet'!$E$11+1,1))-AVERAGE(OFFSET($H$3,0,0,'Données projet'!$E$11+1,1))</f>
        <v>138.3429338270858</v>
      </c>
      <c r="BJ153" s="62">
        <f t="shared" si="146"/>
        <v>88.30225651635925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33.798405351683847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33.798405351683847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3.7857142857142856</v>
      </c>
      <c r="BY153" s="13">
        <f>IF('Données projet'!$A$114&gt;35,BY152+BX153-CG152,IF(A153&lt;'Données projet'!$A$114,$BV$205^A153,IF(A153='Données projet'!$A$114,'Données projet'!$B$114,BY152+BX153-CG152)))</f>
        <v>166.57142857142881</v>
      </c>
      <c r="BZ153" s="14">
        <f>BY153*VLOOKUP('Données projet'!$B$12,Paramètres!$A$1:$I$89,3,0)*VLOOKUP('Données projet'!$B$12,Paramètres!$A$1:$I$89,5,0)</f>
        <v>140.31977142857164</v>
      </c>
      <c r="CA153" s="14">
        <f t="shared" si="147"/>
        <v>36.370250909116585</v>
      </c>
      <c r="CB153" s="22">
        <f t="shared" si="118"/>
        <v>307.73512223814032</v>
      </c>
      <c r="CC153" s="62">
        <f t="shared" si="119"/>
        <v>601.06845557147358</v>
      </c>
      <c r="CD153" s="62">
        <f ca="1">AVERAGE(OFFSET($CC$3,0,0,'Données projet'!$E$12+1,1))-AVERAGE(OFFSET($H$3,0,0,'Données projet'!$E$12+1,1))</f>
        <v>122.57815304102127</v>
      </c>
      <c r="CE153" s="62">
        <f t="shared" si="148"/>
        <v>80.106609825870578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31.467480844671179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31.467480844671179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-3.7243808037601412E-14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199.99826357281154</v>
      </c>
      <c r="CZ153" s="62">
        <f t="shared" si="150"/>
        <v>214.67424457475136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15.693425252587437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15.693425252587437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-5.6843418860808015E-14</v>
      </c>
      <c r="DP153" s="18">
        <f>DO153*VLOOKUP('Données projet'!$B$14,Paramètres!$A$1:$I$89,3,0)*VLOOKUP('Données projet'!$B$14,Paramètres!$A$1:$I$89,5,0)</f>
        <v>-4.5224624045658861E-14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248.15263300983543</v>
      </c>
      <c r="DU153" s="62">
        <f t="shared" si="152"/>
        <v>266.46511459244618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23.488000253457272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23.488000253457272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-5.6843418860808015E-14</v>
      </c>
      <c r="EK153" s="18">
        <f>EJ153*VLOOKUP('Données projet'!$B$15,Paramètres!$A$1:$I$89,3,0)*VLOOKUP('Données projet'!$B$15,Paramètres!$A$1:$I$89,5,0)</f>
        <v>-3.813056537183002E-14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205.35893113421139</v>
      </c>
      <c r="EP153" s="62">
        <f t="shared" si="154"/>
        <v>220.4399811285175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19.803608056836534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19.803608056836534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382.55387448074327</v>
      </c>
      <c r="T154" s="62">
        <f t="shared" si="142"/>
        <v>476.29465646955543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42.683362866621273</v>
      </c>
      <c r="AA154" s="23">
        <f>EXP(-LN(2)/25)*AA153+(1-EXP(-LN(2)/25))/(LN(2)/25)*Calculateur!V154*Calculateur!X154*VLOOKUP('Données projet'!$B$9,Paramètres!$A$1:$I$89,3,0)*0.475*44/12</f>
        <v>5.1677453534678293</v>
      </c>
      <c r="AB154" s="23">
        <f>EXP(-LN(2)/2)*AB153+(1-EXP(-LN(2)/2))/(LN(2)/2)*V154*Y154*VLOOKUP('Données projet'!$B$9,Paramètres!$A$1:$I$89,3,0)*0.475*44/12</f>
        <v>1.1318904636458526E-12</v>
      </c>
      <c r="AC154" s="24">
        <f t="shared" ref="AC154:AC203" si="163">SUM(Z154:AB154)</f>
        <v>47.851108220090232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projet'!$B$10,Paramètres!$A$1:$I$89,3,0)*VLOOKUP('Données projet'!$B$10,Paramètres!$A$1:$I$89,5,0)</f>
        <v>-2.1282176021486519E-13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420.68062999212015</v>
      </c>
      <c r="AO154" s="62">
        <f t="shared" si="144"/>
        <v>655.24090633185676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70.229172500760868</v>
      </c>
      <c r="AV154" s="23">
        <f>EXP(-LN(2)/25)*AV153+(1-EXP(-LN(2)/25))/(LN(2)/25)*Calculateur!AQ154*Calculateur!AS154*VLOOKUP('Données projet'!$B$10,Paramètres!$A$1:$I$89,3,0)*0.475*44/12</f>
        <v>8.5269721453320884</v>
      </c>
      <c r="AW154" s="23">
        <f>EXP(-LN(2)/2)*AW153+(1-EXP(-LN(2)/2))/(LN(2)/2)*AQ154*AT154*VLOOKUP('Données projet'!$B$10,Paramètres!$A$1:$I$89,3,0)*0.475*44/12</f>
        <v>3.7205476605111815E-10</v>
      </c>
      <c r="AX154" s="23">
        <f t="shared" ref="AX154:AX203" si="166">SUM(AU154:AW154)</f>
        <v>78.756144646465017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3.7857142857142856</v>
      </c>
      <c r="BD154" s="13">
        <f>IF('Données projet'!$A$88&gt;35,BD153+BC154-BL153,IF(A154&lt;'Données projet'!$A$88,$BA$205^A154,IF(A154='Données projet'!$A$88,'Données projet'!$B$88,BD153+BC154-BL153)))</f>
        <v>170.35714285714309</v>
      </c>
      <c r="BE154" s="14">
        <f>BD154*VLOOKUP('Données projet'!$B$11,Paramètres!$A$1:$I$89,3,0)*VLOOKUP('Données projet'!$B$11,Paramètres!$A$1:$I$89,5,0)</f>
        <v>154.13914285714304</v>
      </c>
      <c r="BF154" s="14">
        <f t="shared" ref="BF154:BF203" si="167">EXP(-1.0587+0.8836*LN(BE154)+0.284)</f>
        <v>39.517725329609455</v>
      </c>
      <c r="BG154" s="22">
        <f t="shared" ref="BG154:BG203" si="168">(BE154+BF154)*0.475*44/12</f>
        <v>337.28571209192722</v>
      </c>
      <c r="BH154" s="62">
        <f t="shared" si="116"/>
        <v>630.61904542526054</v>
      </c>
      <c r="BI154" s="62">
        <f ca="1">AVERAGE(OFFSET($BH$3,0,0,'Données projet'!$E$11+1,1))-AVERAGE(OFFSET($H$3,0,0,'Données projet'!$E$11+1,1))</f>
        <v>138.3429338270858</v>
      </c>
      <c r="BJ154" s="62">
        <f t="shared" si="146"/>
        <v>88.30225651635925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33.135639237729031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33.135639237729031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3.7857142857142856</v>
      </c>
      <c r="BY154" s="13">
        <f>IF('Données projet'!$A$114&gt;35,BY153+BX154-CG153,IF(A154&lt;'Données projet'!$A$114,$BV$205^A154,IF(A154='Données projet'!$A$114,'Données projet'!$B$114,BY153+BX154-CG153)))</f>
        <v>170.35714285714309</v>
      </c>
      <c r="BZ154" s="14">
        <f>BY154*VLOOKUP('Données projet'!$B$12,Paramètres!$A$1:$I$89,3,0)*VLOOKUP('Données projet'!$B$12,Paramètres!$A$1:$I$89,5,0)</f>
        <v>143.50885714285735</v>
      </c>
      <c r="CA154" s="14">
        <f t="shared" ref="CA154:CA203" si="170">EXP(-1.0587+0.8836*LN(BZ154)+0.284)</f>
        <v>37.099673654476227</v>
      </c>
      <c r="CB154" s="22">
        <f t="shared" ref="CB154:CB203" si="171">(BZ154+CA154)*0.475*44/12</f>
        <v>314.55985780535599</v>
      </c>
      <c r="CC154" s="62">
        <f t="shared" si="119"/>
        <v>607.8931911386893</v>
      </c>
      <c r="CD154" s="62">
        <f ca="1">AVERAGE(OFFSET($CC$3,0,0,'Données projet'!$E$12+1,1))-AVERAGE(OFFSET($H$3,0,0,'Données projet'!$E$12+1,1))</f>
        <v>122.57815304102127</v>
      </c>
      <c r="CE154" s="62">
        <f t="shared" si="148"/>
        <v>80.106609825870578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30.850422738575315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30.850422738575315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-3.7243808037601412E-14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199.99826357281154</v>
      </c>
      <c r="CZ154" s="62">
        <f t="shared" si="150"/>
        <v>214.67424457475136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15.38568675542844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15.38568675542844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-5.6843418860808015E-14</v>
      </c>
      <c r="DP154" s="18">
        <f>DO154*VLOOKUP('Données projet'!$B$14,Paramètres!$A$1:$I$89,3,0)*VLOOKUP('Données projet'!$B$14,Paramètres!$A$1:$I$89,5,0)</f>
        <v>-4.5224624045658861E-14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248.15263300983543</v>
      </c>
      <c r="DU154" s="62">
        <f t="shared" si="152"/>
        <v>266.46511459244618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23.027414894752528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23.027414894752528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-5.6843418860808015E-14</v>
      </c>
      <c r="EK154" s="18">
        <f>EJ154*VLOOKUP('Données projet'!$B$15,Paramètres!$A$1:$I$89,3,0)*VLOOKUP('Données projet'!$B$15,Paramètres!$A$1:$I$89,5,0)</f>
        <v>-3.813056537183002E-14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205.35893113421139</v>
      </c>
      <c r="EP154" s="62">
        <f t="shared" si="154"/>
        <v>220.4399811285175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19.415271381850182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19.415271381850182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382.55387448074327</v>
      </c>
      <c r="T155" s="62">
        <f t="shared" si="142"/>
        <v>476.29465646955543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41.846368155087504</v>
      </c>
      <c r="AA155" s="23">
        <f>EXP(-LN(2)/25)*AA154+(1-EXP(-LN(2)/25))/(LN(2)/25)*Calculateur!V155*Calculateur!X155*VLOOKUP('Données projet'!$B$9,Paramètres!$A$1:$I$89,3,0)*0.475*44/12</f>
        <v>5.0264330850173344</v>
      </c>
      <c r="AB155" s="23">
        <f>EXP(-LN(2)/2)*AB154+(1-EXP(-LN(2)/2))/(LN(2)/2)*V155*Y155*VLOOKUP('Données projet'!$B$9,Paramètres!$A$1:$I$89,3,0)*0.475*44/12</f>
        <v>8.003674224043677E-13</v>
      </c>
      <c r="AC155" s="24">
        <f t="shared" si="163"/>
        <v>46.872801240105638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projet'!$B$10,Paramètres!$A$1:$I$89,3,0)*VLOOKUP('Données projet'!$B$10,Paramètres!$A$1:$I$89,5,0)</f>
        <v>-2.1282176021486519E-13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420.68062999212015</v>
      </c>
      <c r="AO155" s="62">
        <f t="shared" si="144"/>
        <v>655.24090633185676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68.852021263586508</v>
      </c>
      <c r="AV155" s="23">
        <f>EXP(-LN(2)/25)*AV154+(1-EXP(-LN(2)/25))/(LN(2)/25)*Calculateur!AQ155*Calculateur!AS155*VLOOKUP('Données projet'!$B$10,Paramètres!$A$1:$I$89,3,0)*0.475*44/12</f>
        <v>8.2938016436040058</v>
      </c>
      <c r="AW155" s="23">
        <f>EXP(-LN(2)/2)*AW154+(1-EXP(-LN(2)/2))/(LN(2)/2)*AQ155*AT155*VLOOKUP('Données projet'!$B$10,Paramètres!$A$1:$I$89,3,0)*0.475*44/12</f>
        <v>2.6308244804752013E-10</v>
      </c>
      <c r="AX155" s="23">
        <f t="shared" si="166"/>
        <v>77.145822907453592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3.7857142857142856</v>
      </c>
      <c r="BD155" s="13">
        <f>IF('Données projet'!$A$88&gt;35,BD154+BC155-BL154,IF(A155&lt;'Données projet'!$A$88,$BA$205^A155,IF(A155='Données projet'!$A$88,'Données projet'!$B$88,BD154+BC155-BL154)))</f>
        <v>174.14285714285737</v>
      </c>
      <c r="BE155" s="14">
        <f>BD155*VLOOKUP('Données projet'!$B$11,Paramètres!$A$1:$I$89,3,0)*VLOOKUP('Données projet'!$B$11,Paramètres!$A$1:$I$89,5,0)</f>
        <v>157.56445714285735</v>
      </c>
      <c r="BF155" s="14">
        <f t="shared" si="167"/>
        <v>40.292682458391148</v>
      </c>
      <c r="BG155" s="22">
        <f t="shared" si="168"/>
        <v>344.60118480550773</v>
      </c>
      <c r="BH155" s="62">
        <f t="shared" si="116"/>
        <v>637.93451813884099</v>
      </c>
      <c r="BI155" s="62">
        <f ca="1">AVERAGE(OFFSET($BH$3,0,0,'Données projet'!$E$11+1,1))-AVERAGE(OFFSET($H$3,0,0,'Données projet'!$E$11+1,1))</f>
        <v>138.3429338270858</v>
      </c>
      <c r="BJ155" s="62">
        <f t="shared" si="146"/>
        <v>88.30225651635925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32.485869563021453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32.485869563021453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3.7857142857142856</v>
      </c>
      <c r="BY155" s="13">
        <f>IF('Données projet'!$A$114&gt;35,BY154+BX155-CG154,IF(A155&lt;'Données projet'!$A$114,$BV$205^A155,IF(A155='Données projet'!$A$114,'Données projet'!$B$114,BY154+BX155-CG154)))</f>
        <v>174.14285714285737</v>
      </c>
      <c r="BZ155" s="14">
        <f>BY155*VLOOKUP('Données projet'!$B$12,Paramètres!$A$1:$I$89,3,0)*VLOOKUP('Données projet'!$B$12,Paramètres!$A$1:$I$89,5,0)</f>
        <v>146.69794285714306</v>
      </c>
      <c r="CA155" s="14">
        <f t="shared" si="170"/>
        <v>37.827211900521689</v>
      </c>
      <c r="CB155" s="22">
        <f t="shared" si="171"/>
        <v>321.38131120293275</v>
      </c>
      <c r="CC155" s="62">
        <f t="shared" si="119"/>
        <v>614.71464453626606</v>
      </c>
      <c r="CD155" s="62">
        <f ca="1">AVERAGE(OFFSET($CC$3,0,0,'Données projet'!$E$12+1,1))-AVERAGE(OFFSET($H$3,0,0,'Données projet'!$E$12+1,1))</f>
        <v>122.57815304102127</v>
      </c>
      <c r="CE155" s="62">
        <f t="shared" si="148"/>
        <v>80.106609825870578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30.245464765571707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30.245464765571707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-3.7243808037601412E-14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199.99826357281154</v>
      </c>
      <c r="CZ155" s="62">
        <f t="shared" si="150"/>
        <v>214.67424457475136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15.083982822496782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15.083982822496782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-5.6843418860808015E-14</v>
      </c>
      <c r="DP155" s="18">
        <f>DO155*VLOOKUP('Données projet'!$B$14,Paramètres!$A$1:$I$89,3,0)*VLOOKUP('Données projet'!$B$14,Paramètres!$A$1:$I$89,5,0)</f>
        <v>-4.5224624045658861E-14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248.15263300983543</v>
      </c>
      <c r="DU155" s="62">
        <f t="shared" si="152"/>
        <v>266.46511459244618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22.575861334002656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22.575861334002656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-5.6843418860808015E-14</v>
      </c>
      <c r="EK155" s="18">
        <f>EJ155*VLOOKUP('Données projet'!$B$15,Paramètres!$A$1:$I$89,3,0)*VLOOKUP('Données projet'!$B$15,Paramètres!$A$1:$I$89,5,0)</f>
        <v>-3.813056537183002E-14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205.35893113421139</v>
      </c>
      <c r="EP155" s="62">
        <f t="shared" si="154"/>
        <v>220.4399811285175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19.034549752198327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19.034549752198327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382.55387448074327</v>
      </c>
      <c r="T156" s="62">
        <f t="shared" si="142"/>
        <v>476.29465646955543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41.025786399330549</v>
      </c>
      <c r="AA156" s="23">
        <f>EXP(-LN(2)/25)*AA155+(1-EXP(-LN(2)/25))/(LN(2)/25)*Calculateur!V156*Calculateur!X156*VLOOKUP('Données projet'!$B$9,Paramètres!$A$1:$I$89,3,0)*0.475*44/12</f>
        <v>4.8889850079789072</v>
      </c>
      <c r="AB156" s="23">
        <f>EXP(-LN(2)/2)*AB155+(1-EXP(-LN(2)/2))/(LN(2)/2)*V156*Y156*VLOOKUP('Données projet'!$B$9,Paramètres!$A$1:$I$89,3,0)*0.475*44/12</f>
        <v>5.6594523182292628E-13</v>
      </c>
      <c r="AC156" s="24">
        <f t="shared" si="163"/>
        <v>45.914771407310027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projet'!$B$10,Paramètres!$A$1:$I$89,3,0)*VLOOKUP('Données projet'!$B$10,Paramètres!$A$1:$I$89,5,0)</f>
        <v>-2.1282176021486519E-13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420.68062999212015</v>
      </c>
      <c r="AO156" s="62">
        <f t="shared" si="144"/>
        <v>655.24090633185676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67.501875122193823</v>
      </c>
      <c r="AV156" s="23">
        <f>EXP(-LN(2)/25)*AV155+(1-EXP(-LN(2)/25))/(LN(2)/25)*Calculateur!AQ156*Calculateur!AS156*VLOOKUP('Données projet'!$B$10,Paramètres!$A$1:$I$89,3,0)*0.475*44/12</f>
        <v>8.0670072015075824</v>
      </c>
      <c r="AW156" s="23">
        <f>EXP(-LN(2)/2)*AW155+(1-EXP(-LN(2)/2))/(LN(2)/2)*AQ156*AT156*VLOOKUP('Données projet'!$B$10,Paramètres!$A$1:$I$89,3,0)*0.475*44/12</f>
        <v>1.8602738302555908E-10</v>
      </c>
      <c r="AX156" s="23">
        <f t="shared" si="166"/>
        <v>75.568882323887436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3.7857142857142856</v>
      </c>
      <c r="BD156" s="13">
        <f>IF('Données projet'!$A$88&gt;35,BD155+BC156-BL155,IF(A156&lt;'Données projet'!$A$88,$BA$205^A156,IF(A156='Données projet'!$A$88,'Données projet'!$B$88,BD155+BC156-BL155)))</f>
        <v>177.92857142857164</v>
      </c>
      <c r="BE156" s="14">
        <f>BD156*VLOOKUP('Données projet'!$B$11,Paramètres!$A$1:$I$89,3,0)*VLOOKUP('Données projet'!$B$11,Paramètres!$A$1:$I$89,5,0)</f>
        <v>160.9897714285716</v>
      </c>
      <c r="BF156" s="14">
        <f t="shared" si="167"/>
        <v>41.065680924606852</v>
      </c>
      <c r="BG156" s="22">
        <f t="shared" si="168"/>
        <v>351.91324618178578</v>
      </c>
      <c r="BH156" s="62">
        <f t="shared" si="116"/>
        <v>645.24657951511904</v>
      </c>
      <c r="BI156" s="62">
        <f ca="1">AVERAGE(OFFSET($BH$3,0,0,'Données projet'!$E$11+1,1))-AVERAGE(OFFSET($H$3,0,0,'Données projet'!$E$11+1,1))</f>
        <v>138.3429338270858</v>
      </c>
      <c r="BJ156" s="62">
        <f t="shared" si="146"/>
        <v>88.30225651635925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31.848841475314522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31.848841475314522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3.7857142857142856</v>
      </c>
      <c r="BY156" s="13">
        <f>IF('Données projet'!$A$114&gt;35,BY155+BX156-CG155,IF(A156&lt;'Données projet'!$A$114,$BV$205^A156,IF(A156='Données projet'!$A$114,'Données projet'!$B$114,BY155+BX156-CG155)))</f>
        <v>177.92857142857164</v>
      </c>
      <c r="BZ156" s="14">
        <f>BY156*VLOOKUP('Données projet'!$B$12,Paramètres!$A$1:$I$89,3,0)*VLOOKUP('Données projet'!$B$12,Paramètres!$A$1:$I$89,5,0)</f>
        <v>149.88702857142877</v>
      </c>
      <c r="CA156" s="14">
        <f t="shared" si="170"/>
        <v>38.55291133268323</v>
      </c>
      <c r="CB156" s="22">
        <f t="shared" si="171"/>
        <v>328.19956199966174</v>
      </c>
      <c r="CC156" s="62">
        <f t="shared" si="119"/>
        <v>621.53289533299505</v>
      </c>
      <c r="CD156" s="62">
        <f ca="1">AVERAGE(OFFSET($CC$3,0,0,'Données projet'!$E$12+1,1))-AVERAGE(OFFSET($H$3,0,0,'Données projet'!$E$12+1,1))</f>
        <v>122.57815304102127</v>
      </c>
      <c r="CE156" s="62">
        <f t="shared" si="148"/>
        <v>80.106609825870578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29.652369649430774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29.652369649430774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-3.7243808037601412E-14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199.99826357281154</v>
      </c>
      <c r="CZ156" s="62">
        <f t="shared" si="150"/>
        <v>214.67424457475136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14.788195119668686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14.788195119668686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-5.6843418860808015E-14</v>
      </c>
      <c r="DP156" s="18">
        <f>DO156*VLOOKUP('Données projet'!$B$14,Paramètres!$A$1:$I$89,3,0)*VLOOKUP('Données projet'!$B$14,Paramètres!$A$1:$I$89,5,0)</f>
        <v>-4.5224624045658861E-14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248.15263300983543</v>
      </c>
      <c r="DU156" s="62">
        <f t="shared" si="152"/>
        <v>266.46511459244618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22.133162463158612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22.133162463158612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-5.6843418860808015E-14</v>
      </c>
      <c r="EK156" s="18">
        <f>EJ156*VLOOKUP('Données projet'!$B$15,Paramètres!$A$1:$I$89,3,0)*VLOOKUP('Données projet'!$B$15,Paramètres!$A$1:$I$89,5,0)</f>
        <v>-3.813056537183002E-14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205.35893113421139</v>
      </c>
      <c r="EP156" s="62">
        <f t="shared" si="154"/>
        <v>220.4399811285175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18.661293841486682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18.661293841486682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382.55387448074327</v>
      </c>
      <c r="T157" s="62">
        <f t="shared" si="142"/>
        <v>476.29465646955543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40.221295751298541</v>
      </c>
      <c r="AA157" s="23">
        <f>EXP(-LN(2)/25)*AA156+(1-EXP(-LN(2)/25))/(LN(2)/25)*Calculateur!V157*Calculateur!X157*VLOOKUP('Données projet'!$B$9,Paramètres!$A$1:$I$89,3,0)*0.475*44/12</f>
        <v>4.7552954558351761</v>
      </c>
      <c r="AB157" s="23">
        <f>EXP(-LN(2)/2)*AB156+(1-EXP(-LN(2)/2))/(LN(2)/2)*V157*Y157*VLOOKUP('Données projet'!$B$9,Paramètres!$A$1:$I$89,3,0)*0.475*44/12</f>
        <v>4.0018371120218385E-13</v>
      </c>
      <c r="AC157" s="24">
        <f t="shared" si="163"/>
        <v>44.976591207134113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projet'!$B$10,Paramètres!$A$1:$I$89,3,0)*VLOOKUP('Données projet'!$B$10,Paramètres!$A$1:$I$89,5,0)</f>
        <v>-2.1282176021486519E-13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420.68062999212015</v>
      </c>
      <c r="AO157" s="62">
        <f t="shared" si="144"/>
        <v>655.24090633185676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66.178204523126027</v>
      </c>
      <c r="AV157" s="23">
        <f>EXP(-LN(2)/25)*AV156+(1-EXP(-LN(2)/25))/(LN(2)/25)*Calculateur!AQ157*Calculateur!AS157*VLOOKUP('Données projet'!$B$10,Paramètres!$A$1:$I$89,3,0)*0.475*44/12</f>
        <v>7.8464144653568866</v>
      </c>
      <c r="AW157" s="23">
        <f>EXP(-LN(2)/2)*AW156+(1-EXP(-LN(2)/2))/(LN(2)/2)*AQ157*AT157*VLOOKUP('Données projet'!$B$10,Paramètres!$A$1:$I$89,3,0)*0.475*44/12</f>
        <v>1.3154122402376007E-10</v>
      </c>
      <c r="AX157" s="23">
        <f t="shared" si="166"/>
        <v>74.024618988614449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3.7857142857142856</v>
      </c>
      <c r="BD157" s="13">
        <f>IF('Données projet'!$A$88&gt;35,BD156+BC157-BL156,IF(A157&lt;'Données projet'!$A$88,$BA$205^A157,IF(A157='Données projet'!$A$88,'Données projet'!$B$88,BD156+BC157-BL156)))</f>
        <v>181.71428571428592</v>
      </c>
      <c r="BE157" s="14">
        <f>BD157*VLOOKUP('Données projet'!$B$11,Paramètres!$A$1:$I$89,3,0)*VLOOKUP('Données projet'!$B$11,Paramètres!$A$1:$I$89,5,0)</f>
        <v>164.41508571428591</v>
      </c>
      <c r="BF157" s="14">
        <f t="shared" si="167"/>
        <v>41.836767202260965</v>
      </c>
      <c r="BG157" s="22">
        <f t="shared" si="168"/>
        <v>359.22197716298575</v>
      </c>
      <c r="BH157" s="62">
        <f t="shared" si="116"/>
        <v>652.55531049631907</v>
      </c>
      <c r="BI157" s="62">
        <f ca="1">AVERAGE(OFFSET($BH$3,0,0,'Données projet'!$E$11+1,1))-AVERAGE(OFFSET($H$3,0,0,'Données projet'!$E$11+1,1))</f>
        <v>138.3429338270858</v>
      </c>
      <c r="BJ157" s="62">
        <f t="shared" si="146"/>
        <v>88.30225651635925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31.224305119858759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31.224305119858759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3.7857142857142856</v>
      </c>
      <c r="BY157" s="13">
        <f>IF('Données projet'!$A$114&gt;35,BY156+BX157-CG156,IF(A157&lt;'Données projet'!$A$114,$BV$205^A157,IF(A157='Données projet'!$A$114,'Données projet'!$B$114,BY156+BX157-CG156)))</f>
        <v>181.71428571428592</v>
      </c>
      <c r="BZ157" s="14">
        <f>BY157*VLOOKUP('Données projet'!$B$12,Paramètres!$A$1:$I$89,3,0)*VLOOKUP('Données projet'!$B$12,Paramètres!$A$1:$I$89,5,0)</f>
        <v>153.07611428571448</v>
      </c>
      <c r="CA157" s="14">
        <f t="shared" si="170"/>
        <v>39.276815581265524</v>
      </c>
      <c r="CB157" s="22">
        <f t="shared" si="171"/>
        <v>335.01468618499013</v>
      </c>
      <c r="CC157" s="62">
        <f t="shared" si="119"/>
        <v>628.34801951832344</v>
      </c>
      <c r="CD157" s="62">
        <f ca="1">AVERAGE(OFFSET($CC$3,0,0,'Données projet'!$E$12+1,1))-AVERAGE(OFFSET($H$3,0,0,'Données projet'!$E$12+1,1))</f>
        <v>122.57815304102127</v>
      </c>
      <c r="CE157" s="62">
        <f t="shared" si="148"/>
        <v>80.106609825870578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29.070904766765064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29.070904766765064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-3.7243808037601412E-14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199.99826357281154</v>
      </c>
      <c r="CZ157" s="62">
        <f t="shared" si="150"/>
        <v>214.67424457475136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14.498207633280364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14.498207633280364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-5.6843418860808015E-14</v>
      </c>
      <c r="DP157" s="18">
        <f>DO157*VLOOKUP('Données projet'!$B$14,Paramètres!$A$1:$I$89,3,0)*VLOOKUP('Données projet'!$B$14,Paramètres!$A$1:$I$89,5,0)</f>
        <v>-4.5224624045658861E-14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248.15263300983543</v>
      </c>
      <c r="DU157" s="62">
        <f t="shared" si="152"/>
        <v>266.46511459244618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21.699144647152171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21.699144647152171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-5.6843418860808015E-14</v>
      </c>
      <c r="EK157" s="18">
        <f>EJ157*VLOOKUP('Données projet'!$B$15,Paramètres!$A$1:$I$89,3,0)*VLOOKUP('Données projet'!$B$15,Paramètres!$A$1:$I$89,5,0)</f>
        <v>-3.813056537183002E-14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205.35893113421139</v>
      </c>
      <c r="EP157" s="62">
        <f t="shared" si="154"/>
        <v>220.4399811285175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18.295357251520468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18.295357251520468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382.55387448074327</v>
      </c>
      <c r="T158" s="62">
        <f t="shared" si="142"/>
        <v>476.29465646955543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39.432580674183598</v>
      </c>
      <c r="AA158" s="23">
        <f>EXP(-LN(2)/25)*AA157+(1-EXP(-LN(2)/25))/(LN(2)/25)*Calculateur!V158*Calculateur!X158*VLOOKUP('Données projet'!$B$9,Paramètres!$A$1:$I$89,3,0)*0.475*44/12</f>
        <v>4.6252616515252436</v>
      </c>
      <c r="AB158" s="23">
        <f>EXP(-LN(2)/2)*AB157+(1-EXP(-LN(2)/2))/(LN(2)/2)*V158*Y158*VLOOKUP('Données projet'!$B$9,Paramètres!$A$1:$I$89,3,0)*0.475*44/12</f>
        <v>2.8297261591146314E-13</v>
      </c>
      <c r="AC158" s="24">
        <f t="shared" si="163"/>
        <v>44.057842325709125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projet'!$B$10,Paramètres!$A$1:$I$89,3,0)*VLOOKUP('Données projet'!$B$10,Paramètres!$A$1:$I$89,5,0)</f>
        <v>-2.1282176021486519E-13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420.68062999212015</v>
      </c>
      <c r="AO158" s="62">
        <f t="shared" si="144"/>
        <v>655.24090633185676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64.880490297146594</v>
      </c>
      <c r="AV158" s="23">
        <f>EXP(-LN(2)/25)*AV157+(1-EXP(-LN(2)/25))/(LN(2)/25)*Calculateur!AQ158*Calculateur!AS158*VLOOKUP('Données projet'!$B$10,Paramètres!$A$1:$I$89,3,0)*0.475*44/12</f>
        <v>7.6318538491766992</v>
      </c>
      <c r="AW158" s="23">
        <f>EXP(-LN(2)/2)*AW157+(1-EXP(-LN(2)/2))/(LN(2)/2)*AQ158*AT158*VLOOKUP('Données projet'!$B$10,Paramètres!$A$1:$I$89,3,0)*0.475*44/12</f>
        <v>9.3013691512779539E-11</v>
      </c>
      <c r="AX158" s="23">
        <f t="shared" si="166"/>
        <v>72.512344146416297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3.7857142857142856</v>
      </c>
      <c r="BD158" s="13">
        <f>IF('Données projet'!$A$88&gt;35,BD157+BC158-BL157,IF(A158&lt;'Données projet'!$A$88,$BA$205^A158,IF(A158='Données projet'!$A$88,'Données projet'!$B$88,BD157+BC158-BL157)))</f>
        <v>185.5000000000002</v>
      </c>
      <c r="BE158" s="14">
        <f>BD158*VLOOKUP('Données projet'!$B$11,Paramètres!$A$1:$I$89,3,0)*VLOOKUP('Données projet'!$B$11,Paramètres!$A$1:$I$89,5,0)</f>
        <v>167.84040000000016</v>
      </c>
      <c r="BF158" s="14">
        <f t="shared" si="167"/>
        <v>42.605985718279626</v>
      </c>
      <c r="BG158" s="22">
        <f t="shared" si="168"/>
        <v>366.52745512600387</v>
      </c>
      <c r="BH158" s="62">
        <f t="shared" si="116"/>
        <v>659.86078845933719</v>
      </c>
      <c r="BI158" s="62">
        <f ca="1">AVERAGE(OFFSET($BH$3,0,0,'Données projet'!$E$11+1,1))-AVERAGE(OFFSET($H$3,0,0,'Données projet'!$E$11+1,1))</f>
        <v>138.3429338270858</v>
      </c>
      <c r="BJ158" s="62">
        <f t="shared" si="146"/>
        <v>88.30225651635925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30.61201554140392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30.61201554140392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3.7857142857142856</v>
      </c>
      <c r="BY158" s="13">
        <f>IF('Données projet'!$A$114&gt;35,BY157+BX158-CG157,IF(A158&lt;'Données projet'!$A$114,$BV$205^A158,IF(A158='Données projet'!$A$114,'Données projet'!$B$114,BY157+BX158-CG157)))</f>
        <v>185.5000000000002</v>
      </c>
      <c r="BZ158" s="14">
        <f>BY158*VLOOKUP('Données projet'!$B$12,Paramètres!$A$1:$I$89,3,0)*VLOOKUP('Données projet'!$B$12,Paramètres!$A$1:$I$89,5,0)</f>
        <v>156.26520000000019</v>
      </c>
      <c r="CA158" s="14">
        <f t="shared" si="170"/>
        <v>39.998966354753719</v>
      </c>
      <c r="CB158" s="22">
        <f t="shared" si="171"/>
        <v>341.82675640119641</v>
      </c>
      <c r="CC158" s="62">
        <f t="shared" si="119"/>
        <v>635.16008973452972</v>
      </c>
      <c r="CD158" s="62">
        <f ca="1">AVERAGE(OFFSET($CC$3,0,0,'Données projet'!$E$12+1,1))-AVERAGE(OFFSET($H$3,0,0,'Données projet'!$E$12+1,1))</f>
        <v>122.57815304102127</v>
      </c>
      <c r="CE158" s="62">
        <f t="shared" si="148"/>
        <v>80.106609825870578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28.500842055789867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28.500842055789867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-3.7243808037601412E-14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199.99826357281154</v>
      </c>
      <c r="CZ158" s="62">
        <f t="shared" si="150"/>
        <v>214.67424457475136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14.213906624625215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14.213906624625215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-5.6843418860808015E-14</v>
      </c>
      <c r="DP158" s="18">
        <f>DO158*VLOOKUP('Données projet'!$B$14,Paramètres!$A$1:$I$89,3,0)*VLOOKUP('Données projet'!$B$14,Paramètres!$A$1:$I$89,5,0)</f>
        <v>-4.5224624045658861E-14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248.15263300983543</v>
      </c>
      <c r="DU158" s="62">
        <f t="shared" si="152"/>
        <v>266.46511459244618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21.273637655792886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21.273637655792886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-5.6843418860808015E-14</v>
      </c>
      <c r="EK158" s="18">
        <f>EJ158*VLOOKUP('Données projet'!$B$15,Paramètres!$A$1:$I$89,3,0)*VLOOKUP('Données projet'!$B$15,Paramètres!$A$1:$I$89,5,0)</f>
        <v>-3.813056537183002E-14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205.35893113421139</v>
      </c>
      <c r="EP158" s="62">
        <f t="shared" si="154"/>
        <v>220.4399811285175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17.93659645488421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17.93659645488421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382.55387448074327</v>
      </c>
      <c r="T159" s="62">
        <f t="shared" si="142"/>
        <v>476.29465646955543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38.659331818662181</v>
      </c>
      <c r="AA159" s="23">
        <f>EXP(-LN(2)/25)*AA158+(1-EXP(-LN(2)/25))/(LN(2)/25)*Calculateur!V159*Calculateur!X159*VLOOKUP('Données projet'!$B$9,Paramètres!$A$1:$I$89,3,0)*0.475*44/12</f>
        <v>4.4987836284323466</v>
      </c>
      <c r="AB159" s="23">
        <f>EXP(-LN(2)/2)*AB158+(1-EXP(-LN(2)/2))/(LN(2)/2)*V159*Y159*VLOOKUP('Données projet'!$B$9,Paramètres!$A$1:$I$89,3,0)*0.475*44/12</f>
        <v>2.0009185560109193E-13</v>
      </c>
      <c r="AC159" s="24">
        <f t="shared" si="163"/>
        <v>43.15811544709473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projet'!$B$10,Paramètres!$A$1:$I$89,3,0)*VLOOKUP('Données projet'!$B$10,Paramètres!$A$1:$I$89,5,0)</f>
        <v>-2.1282176021486519E-13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420.68062999212015</v>
      </c>
      <c r="AO159" s="62">
        <f t="shared" si="144"/>
        <v>655.24090633185676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63.608223455611103</v>
      </c>
      <c r="AV159" s="23">
        <f>EXP(-LN(2)/25)*AV158+(1-EXP(-LN(2)/25))/(LN(2)/25)*Calculateur!AQ159*Calculateur!AS159*VLOOKUP('Données projet'!$B$10,Paramètres!$A$1:$I$89,3,0)*0.475*44/12</f>
        <v>7.4231604043292112</v>
      </c>
      <c r="AW159" s="23">
        <f>EXP(-LN(2)/2)*AW158+(1-EXP(-LN(2)/2))/(LN(2)/2)*AQ159*AT159*VLOOKUP('Données projet'!$B$10,Paramètres!$A$1:$I$89,3,0)*0.475*44/12</f>
        <v>6.5770612011880033E-11</v>
      </c>
      <c r="AX159" s="23">
        <f t="shared" si="166"/>
        <v>71.031383860006088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3.7857142857142856</v>
      </c>
      <c r="BD159" s="13">
        <f>IF('Données projet'!$A$88&gt;35,BD158+BC159-BL158,IF(A159&lt;'Données projet'!$A$88,$BA$205^A159,IF(A159='Données projet'!$A$88,'Données projet'!$B$88,BD158+BC159-BL158)))</f>
        <v>189.28571428571448</v>
      </c>
      <c r="BE159" s="14">
        <f>BD159*VLOOKUP('Données projet'!$B$11,Paramètres!$A$1:$I$89,3,0)*VLOOKUP('Données projet'!$B$11,Paramètres!$A$1:$I$89,5,0)</f>
        <v>171.26571428571447</v>
      </c>
      <c r="BF159" s="14">
        <f t="shared" si="167"/>
        <v>43.373378982586424</v>
      </c>
      <c r="BG159" s="22">
        <f t="shared" si="168"/>
        <v>373.82975410895733</v>
      </c>
      <c r="BH159" s="62">
        <f t="shared" si="116"/>
        <v>667.16308744229059</v>
      </c>
      <c r="BI159" s="62">
        <f ca="1">AVERAGE(OFFSET($BH$3,0,0,'Données projet'!$E$11+1,1))-AVERAGE(OFFSET($H$3,0,0,'Données projet'!$E$11+1,1))</f>
        <v>138.3429338270858</v>
      </c>
      <c r="BJ159" s="62">
        <f t="shared" si="146"/>
        <v>88.30225651635925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30.011732588122815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30.011732588122815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3.7857142857142856</v>
      </c>
      <c r="BY159" s="13">
        <f>IF('Données projet'!$A$114&gt;35,BY158+BX159-CG158,IF(A159&lt;'Données projet'!$A$114,$BV$205^A159,IF(A159='Données projet'!$A$114,'Données projet'!$B$114,BY158+BX159-CG158)))</f>
        <v>189.28571428571448</v>
      </c>
      <c r="BZ159" s="14">
        <f>BY159*VLOOKUP('Données projet'!$B$12,Paramètres!$A$1:$I$89,3,0)*VLOOKUP('Données projet'!$B$12,Paramètres!$A$1:$I$89,5,0)</f>
        <v>159.45428571428587</v>
      </c>
      <c r="CA159" s="14">
        <f t="shared" si="170"/>
        <v>40.719403561930058</v>
      </c>
      <c r="CB159" s="22">
        <f t="shared" si="171"/>
        <v>348.63584215607608</v>
      </c>
      <c r="CC159" s="62">
        <f t="shared" si="119"/>
        <v>641.96917548940939</v>
      </c>
      <c r="CD159" s="62">
        <f ca="1">AVERAGE(OFFSET($CC$3,0,0,'Données projet'!$E$12+1,1))-AVERAGE(OFFSET($H$3,0,0,'Données projet'!$E$12+1,1))</f>
        <v>122.57815304102127</v>
      </c>
      <c r="CE159" s="62">
        <f t="shared" si="148"/>
        <v>80.106609825870578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27.941957926872973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27.941957926872973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-3.7243808037601412E-14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199.99826357281154</v>
      </c>
      <c r="CZ159" s="62">
        <f t="shared" si="150"/>
        <v>214.67424457475136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13.935180585343302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13.935180585343302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-5.6843418860808015E-14</v>
      </c>
      <c r="DP159" s="18">
        <f>DO159*VLOOKUP('Données projet'!$B$14,Paramètres!$A$1:$I$89,3,0)*VLOOKUP('Données projet'!$B$14,Paramètres!$A$1:$I$89,5,0)</f>
        <v>-4.5224624045658861E-14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248.15263300983543</v>
      </c>
      <c r="DU159" s="62">
        <f t="shared" si="152"/>
        <v>266.46511459244618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20.856474597000521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20.856474597000521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-5.6843418860808015E-14</v>
      </c>
      <c r="EK159" s="18">
        <f>EJ159*VLOOKUP('Données projet'!$B$15,Paramètres!$A$1:$I$89,3,0)*VLOOKUP('Données projet'!$B$15,Paramètres!$A$1:$I$89,5,0)</f>
        <v>-3.813056537183002E-14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205.35893113421139</v>
      </c>
      <c r="EP159" s="62">
        <f t="shared" si="154"/>
        <v>220.4399811285175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17.58487073864751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17.58487073864751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382.55387448074327</v>
      </c>
      <c r="T160" s="62">
        <f t="shared" si="142"/>
        <v>476.29465646955543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37.901245901562305</v>
      </c>
      <c r="AA160" s="23">
        <f>EXP(-LN(2)/25)*AA159+(1-EXP(-LN(2)/25))/(LN(2)/25)*Calculateur!V160*Calculateur!X160*VLOOKUP('Données projet'!$B$9,Paramètres!$A$1:$I$89,3,0)*0.475*44/12</f>
        <v>4.3757641535321152</v>
      </c>
      <c r="AB160" s="23">
        <f>EXP(-LN(2)/2)*AB159+(1-EXP(-LN(2)/2))/(LN(2)/2)*V160*Y160*VLOOKUP('Données projet'!$B$9,Paramètres!$A$1:$I$89,3,0)*0.475*44/12</f>
        <v>1.4148630795573157E-13</v>
      </c>
      <c r="AC160" s="24">
        <f t="shared" si="163"/>
        <v>42.277010055094564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projet'!$B$10,Paramètres!$A$1:$I$89,3,0)*VLOOKUP('Données projet'!$B$10,Paramètres!$A$1:$I$89,5,0)</f>
        <v>-2.1282176021486519E-13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420.68062999212015</v>
      </c>
      <c r="AO160" s="62">
        <f t="shared" si="144"/>
        <v>655.24090633185676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62.360904990831976</v>
      </c>
      <c r="AV160" s="23">
        <f>EXP(-LN(2)/25)*AV159+(1-EXP(-LN(2)/25))/(LN(2)/25)*Calculateur!AQ160*Calculateur!AS160*VLOOKUP('Données projet'!$B$10,Paramètres!$A$1:$I$89,3,0)*0.475*44/12</f>
        <v>7.2201736927057887</v>
      </c>
      <c r="AW160" s="23">
        <f>EXP(-LN(2)/2)*AW159+(1-EXP(-LN(2)/2))/(LN(2)/2)*AQ160*AT160*VLOOKUP('Données projet'!$B$10,Paramètres!$A$1:$I$89,3,0)*0.475*44/12</f>
        <v>4.6506845756389769E-11</v>
      </c>
      <c r="AX160" s="23">
        <f t="shared" si="166"/>
        <v>69.58107868358428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3.7857142857142856</v>
      </c>
      <c r="BD160" s="13">
        <f>IF('Données projet'!$A$88&gt;35,BD159+BC160-BL159,IF(A160&lt;'Données projet'!$A$88,$BA$205^A160,IF(A160='Données projet'!$A$88,'Données projet'!$B$88,BD159+BC160-BL159)))</f>
        <v>193.07142857142875</v>
      </c>
      <c r="BE160" s="14">
        <f>BD160*VLOOKUP('Données projet'!$B$11,Paramètres!$A$1:$I$89,3,0)*VLOOKUP('Données projet'!$B$11,Paramètres!$A$1:$I$89,5,0)</f>
        <v>174.69102857142872</v>
      </c>
      <c r="BF160" s="14">
        <f t="shared" si="167"/>
        <v>44.138987707478243</v>
      </c>
      <c r="BG160" s="22">
        <f t="shared" si="168"/>
        <v>381.12894501909619</v>
      </c>
      <c r="BH160" s="62">
        <f t="shared" si="116"/>
        <v>674.46227835242951</v>
      </c>
      <c r="BI160" s="62">
        <f ca="1">AVERAGE(OFFSET($BH$3,0,0,'Données projet'!$E$11+1,1))-AVERAGE(OFFSET($H$3,0,0,'Données projet'!$E$11+1,1))</f>
        <v>138.3429338270858</v>
      </c>
      <c r="BJ160" s="62">
        <f t="shared" si="146"/>
        <v>88.30225651635925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29.423220817419104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29.423220817419104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3.7857142857142856</v>
      </c>
      <c r="BY160" s="13">
        <f>IF('Données projet'!$A$114&gt;35,BY159+BX160-CG159,IF(A160&lt;'Données projet'!$A$114,$BV$205^A160,IF(A160='Données projet'!$A$114,'Données projet'!$B$114,BY159+BX160-CG159)))</f>
        <v>193.07142857142875</v>
      </c>
      <c r="BZ160" s="14">
        <f>BY160*VLOOKUP('Données projet'!$B$12,Paramètres!$A$1:$I$89,3,0)*VLOOKUP('Données projet'!$B$12,Paramètres!$A$1:$I$89,5,0)</f>
        <v>162.64337142857158</v>
      </c>
      <c r="CA160" s="14">
        <f t="shared" si="170"/>
        <v>41.438165423945058</v>
      </c>
      <c r="CB160" s="22">
        <f t="shared" si="171"/>
        <v>355.44201001813309</v>
      </c>
      <c r="CC160" s="62">
        <f t="shared" si="119"/>
        <v>648.7753433514664</v>
      </c>
      <c r="CD160" s="62">
        <f ca="1">AVERAGE(OFFSET($CC$3,0,0,'Données projet'!$E$12+1,1))-AVERAGE(OFFSET($H$3,0,0,'Données projet'!$E$12+1,1))</f>
        <v>122.57815304102127</v>
      </c>
      <c r="CE160" s="62">
        <f t="shared" si="148"/>
        <v>80.106609825870578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27.394033174838484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27.394033174838484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-3.7243808037601412E-14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199.99826357281154</v>
      </c>
      <c r="CZ160" s="62">
        <f t="shared" si="150"/>
        <v>214.67424457475136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13.661920193685608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13.661920193685608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-5.6843418860808015E-14</v>
      </c>
      <c r="DP160" s="18">
        <f>DO160*VLOOKUP('Données projet'!$B$14,Paramètres!$A$1:$I$89,3,0)*VLOOKUP('Données projet'!$B$14,Paramètres!$A$1:$I$89,5,0)</f>
        <v>-4.5224624045658861E-14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248.15263300983543</v>
      </c>
      <c r="DU160" s="62">
        <f t="shared" si="152"/>
        <v>266.46511459244618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20.447491851346729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20.447491851346729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-5.6843418860808015E-14</v>
      </c>
      <c r="EK160" s="18">
        <f>EJ160*VLOOKUP('Données projet'!$B$15,Paramètres!$A$1:$I$89,3,0)*VLOOKUP('Données projet'!$B$15,Paramètres!$A$1:$I$89,5,0)</f>
        <v>-3.813056537183002E-14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205.35893113421139</v>
      </c>
      <c r="EP160" s="62">
        <f t="shared" si="154"/>
        <v>220.4399811285175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17.240042149174705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17.240042149174705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382.55387448074327</v>
      </c>
      <c r="T161" s="62">
        <f t="shared" si="142"/>
        <v>476.29465646955543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37.158025586910007</v>
      </c>
      <c r="AA161" s="23">
        <f>EXP(-LN(2)/25)*AA160+(1-EXP(-LN(2)/25))/(LN(2)/25)*Calculateur!V161*Calculateur!X161*VLOOKUP('Données projet'!$B$9,Paramètres!$A$1:$I$89,3,0)*0.475*44/12</f>
        <v>4.2561086526423439</v>
      </c>
      <c r="AB161" s="23">
        <f>EXP(-LN(2)/2)*AB160+(1-EXP(-LN(2)/2))/(LN(2)/2)*V161*Y161*VLOOKUP('Données projet'!$B$9,Paramètres!$A$1:$I$89,3,0)*0.475*44/12</f>
        <v>1.0004592780054596E-13</v>
      </c>
      <c r="AC161" s="24">
        <f t="shared" si="163"/>
        <v>41.414134239552453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projet'!$B$10,Paramètres!$A$1:$I$89,3,0)*VLOOKUP('Données projet'!$B$10,Paramètres!$A$1:$I$89,5,0)</f>
        <v>-2.1282176021486519E-13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420.68062999212015</v>
      </c>
      <c r="AO161" s="62">
        <f t="shared" si="144"/>
        <v>655.24090633185676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61.138045680358026</v>
      </c>
      <c r="AV161" s="23">
        <f>EXP(-LN(2)/25)*AV160+(1-EXP(-LN(2)/25))/(LN(2)/25)*Calculateur!AQ161*Calculateur!AS161*VLOOKUP('Données projet'!$B$10,Paramètres!$A$1:$I$89,3,0)*0.475*44/12</f>
        <v>7.0227376633863159</v>
      </c>
      <c r="AW161" s="23">
        <f>EXP(-LN(2)/2)*AW160+(1-EXP(-LN(2)/2))/(LN(2)/2)*AQ161*AT161*VLOOKUP('Données projet'!$B$10,Paramètres!$A$1:$I$89,3,0)*0.475*44/12</f>
        <v>3.2885306005940017E-11</v>
      </c>
      <c r="AX161" s="23">
        <f t="shared" si="166"/>
        <v>68.160783343777226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3.7857142857142856</v>
      </c>
      <c r="BD161" s="13">
        <f>IF('Données projet'!$A$88&gt;35,BD160+BC161-BL160,IF(A161&lt;'Données projet'!$A$88,$BA$205^A161,IF(A161='Données projet'!$A$88,'Données projet'!$B$88,BD160+BC161-BL160)))</f>
        <v>196.85714285714303</v>
      </c>
      <c r="BE161" s="14">
        <f>BD161*VLOOKUP('Données projet'!$B$11,Paramètres!$A$1:$I$89,3,0)*VLOOKUP('Données projet'!$B$11,Paramètres!$A$1:$I$89,5,0)</f>
        <v>178.11634285714302</v>
      </c>
      <c r="BF161" s="14">
        <f t="shared" si="167"/>
        <v>44.902850917373833</v>
      </c>
      <c r="BG161" s="22">
        <f t="shared" si="168"/>
        <v>388.42509582395013</v>
      </c>
      <c r="BH161" s="62">
        <f t="shared" si="116"/>
        <v>681.75842915728344</v>
      </c>
      <c r="BI161" s="62">
        <f ca="1">AVERAGE(OFFSET($BH$3,0,0,'Données projet'!$E$11+1,1))-AVERAGE(OFFSET($H$3,0,0,'Données projet'!$E$11+1,1))</f>
        <v>138.3429338270858</v>
      </c>
      <c r="BJ161" s="62">
        <f t="shared" si="146"/>
        <v>88.30225651635925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28.846249403582153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28.846249403582153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3.7857142857142856</v>
      </c>
      <c r="BY161" s="13">
        <f>IF('Données projet'!$A$114&gt;35,BY160+BX161-CG160,IF(A161&lt;'Données projet'!$A$114,$BV$205^A161,IF(A161='Données projet'!$A$114,'Données projet'!$B$114,BY160+BX161-CG160)))</f>
        <v>196.85714285714303</v>
      </c>
      <c r="BZ161" s="14">
        <f>BY161*VLOOKUP('Données projet'!$B$12,Paramètres!$A$1:$I$89,3,0)*VLOOKUP('Données projet'!$B$12,Paramètres!$A$1:$I$89,5,0)</f>
        <v>165.83245714285732</v>
      </c>
      <c r="CA161" s="14">
        <f t="shared" si="170"/>
        <v>42.155288577350689</v>
      </c>
      <c r="CB161" s="22">
        <f t="shared" si="171"/>
        <v>362.24532379602897</v>
      </c>
      <c r="CC161" s="62">
        <f t="shared" si="119"/>
        <v>655.57865712936223</v>
      </c>
      <c r="CD161" s="62">
        <f ca="1">AVERAGE(OFFSET($CC$3,0,0,'Données projet'!$E$12+1,1))-AVERAGE(OFFSET($H$3,0,0,'Données projet'!$E$12+1,1))</f>
        <v>122.57815304102127</v>
      </c>
      <c r="CE161" s="62">
        <f t="shared" si="148"/>
        <v>80.106609825870578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26.85685289299029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26.85685289299029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-3.7243808037601412E-14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199.99826357281154</v>
      </c>
      <c r="CZ161" s="62">
        <f t="shared" si="150"/>
        <v>214.67424457475136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13.394018271635941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13.394018271635941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-5.6843418860808015E-14</v>
      </c>
      <c r="DP161" s="18">
        <f>DO161*VLOOKUP('Données projet'!$B$14,Paramètres!$A$1:$I$89,3,0)*VLOOKUP('Données projet'!$B$14,Paramètres!$A$1:$I$89,5,0)</f>
        <v>-4.5224624045658861E-14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248.15263300983543</v>
      </c>
      <c r="DU161" s="62">
        <f t="shared" si="152"/>
        <v>266.46511459244618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20.046529007880366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20.046529007880366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-5.6843418860808015E-14</v>
      </c>
      <c r="EK161" s="18">
        <f>EJ161*VLOOKUP('Données projet'!$B$15,Paramètres!$A$1:$I$89,3,0)*VLOOKUP('Données projet'!$B$15,Paramètres!$A$1:$I$89,5,0)</f>
        <v>-3.813056537183002E-14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205.35893113421139</v>
      </c>
      <c r="EP161" s="62">
        <f t="shared" si="154"/>
        <v>220.4399811285175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16.901975438016791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16.901975438016791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382.55387448074327</v>
      </c>
      <c r="T162" s="62">
        <f t="shared" si="142"/>
        <v>476.29465646955543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36.429379369308407</v>
      </c>
      <c r="AA162" s="23">
        <f>EXP(-LN(2)/25)*AA161+(1-EXP(-LN(2)/25))/(LN(2)/25)*Calculateur!V162*Calculateur!X162*VLOOKUP('Données projet'!$B$9,Paramètres!$A$1:$I$89,3,0)*0.475*44/12</f>
        <v>4.1397251377168125</v>
      </c>
      <c r="AB162" s="23">
        <f>EXP(-LN(2)/2)*AB161+(1-EXP(-LN(2)/2))/(LN(2)/2)*V162*Y162*VLOOKUP('Données projet'!$B$9,Paramètres!$A$1:$I$89,3,0)*0.475*44/12</f>
        <v>7.0743153977865784E-14</v>
      </c>
      <c r="AC162" s="24">
        <f t="shared" si="163"/>
        <v>40.569104507025287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projet'!$B$10,Paramètres!$A$1:$I$89,3,0)*VLOOKUP('Données projet'!$B$10,Paramètres!$A$1:$I$89,5,0)</f>
        <v>-2.1282176021486519E-13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420.68062999212015</v>
      </c>
      <c r="AO162" s="62">
        <f t="shared" si="144"/>
        <v>655.24090633185676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59.939165895091939</v>
      </c>
      <c r="AV162" s="23">
        <f>EXP(-LN(2)/25)*AV161+(1-EXP(-LN(2)/25))/(LN(2)/25)*Calculateur!AQ162*Calculateur!AS162*VLOOKUP('Données projet'!$B$10,Paramètres!$A$1:$I$89,3,0)*0.475*44/12</f>
        <v>6.830700532671294</v>
      </c>
      <c r="AW162" s="23">
        <f>EXP(-LN(2)/2)*AW161+(1-EXP(-LN(2)/2))/(LN(2)/2)*AQ162*AT162*VLOOKUP('Données projet'!$B$10,Paramètres!$A$1:$I$89,3,0)*0.475*44/12</f>
        <v>2.3253422878194885E-11</v>
      </c>
      <c r="AX162" s="23">
        <f t="shared" si="166"/>
        <v>66.769866427786482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3.7857142857142856</v>
      </c>
      <c r="BD162" s="13">
        <f>IF('Données projet'!$A$88&gt;35,BD161+BC162-BL161,IF(A162&lt;'Données projet'!$A$88,$BA$205^A162,IF(A162='Données projet'!$A$88,'Données projet'!$B$88,BD161+BC162-BL161)))</f>
        <v>200.64285714285731</v>
      </c>
      <c r="BE162" s="14">
        <f>BD162*VLOOKUP('Données projet'!$B$11,Paramètres!$A$1:$I$89,3,0)*VLOOKUP('Données projet'!$B$11,Paramètres!$A$1:$I$89,5,0)</f>
        <v>181.54165714285728</v>
      </c>
      <c r="BF162" s="14">
        <f t="shared" si="167"/>
        <v>45.665006049881242</v>
      </c>
      <c r="BG162" s="22">
        <f t="shared" si="168"/>
        <v>395.71827172735294</v>
      </c>
      <c r="BH162" s="62">
        <f t="shared" si="116"/>
        <v>689.05160506068626</v>
      </c>
      <c r="BI162" s="62">
        <f ca="1">AVERAGE(OFFSET($BH$3,0,0,'Données projet'!$E$11+1,1))-AVERAGE(OFFSET($H$3,0,0,'Données projet'!$E$11+1,1))</f>
        <v>138.3429338270858</v>
      </c>
      <c r="BJ162" s="62">
        <f t="shared" si="146"/>
        <v>88.30225651635925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28.280592047252732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28.280592047252732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3.7857142857142856</v>
      </c>
      <c r="BY162" s="13">
        <f>IF('Données projet'!$A$114&gt;35,BY161+BX162-CG161,IF(A162&lt;'Données projet'!$A$114,$BV$205^A162,IF(A162='Données projet'!$A$114,'Données projet'!$B$114,BY161+BX162-CG161)))</f>
        <v>200.64285714285731</v>
      </c>
      <c r="BZ162" s="14">
        <f>BY162*VLOOKUP('Données projet'!$B$12,Paramètres!$A$1:$I$89,3,0)*VLOOKUP('Données projet'!$B$12,Paramètres!$A$1:$I$89,5,0)</f>
        <v>169.021542857143</v>
      </c>
      <c r="CA162" s="14">
        <f t="shared" si="170"/>
        <v>42.870808168983736</v>
      </c>
      <c r="CB162" s="22">
        <f t="shared" si="171"/>
        <v>369.0458447038373</v>
      </c>
      <c r="CC162" s="62">
        <f t="shared" si="119"/>
        <v>662.37917803717062</v>
      </c>
      <c r="CD162" s="62">
        <f ca="1">AVERAGE(OFFSET($CC$3,0,0,'Données projet'!$E$12+1,1))-AVERAGE(OFFSET($H$3,0,0,'Données projet'!$E$12+1,1))</f>
        <v>122.57815304102127</v>
      </c>
      <c r="CE162" s="62">
        <f t="shared" si="148"/>
        <v>80.106609825870578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26.330206388821519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26.330206388821519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-3.7243808037601412E-14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199.99826357281154</v>
      </c>
      <c r="CZ162" s="62">
        <f t="shared" si="150"/>
        <v>214.67424457475136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13.13136974287363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13.13136974287363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-5.6843418860808015E-14</v>
      </c>
      <c r="DP162" s="18">
        <f>DO162*VLOOKUP('Données projet'!$B$14,Paramètres!$A$1:$I$89,3,0)*VLOOKUP('Données projet'!$B$14,Paramètres!$A$1:$I$89,5,0)</f>
        <v>-4.5224624045658861E-14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248.15263300983543</v>
      </c>
      <c r="DU162" s="62">
        <f t="shared" si="152"/>
        <v>266.46511459244618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19.653428801211195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19.653428801211195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-5.6843418860808015E-14</v>
      </c>
      <c r="EK162" s="18">
        <f>EJ162*VLOOKUP('Données projet'!$B$15,Paramètres!$A$1:$I$89,3,0)*VLOOKUP('Données projet'!$B$15,Paramètres!$A$1:$I$89,5,0)</f>
        <v>-3.813056537183002E-14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205.35893113421139</v>
      </c>
      <c r="EP162" s="62">
        <f t="shared" si="154"/>
        <v>220.4399811285175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16.57053800886435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16.57053800886435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382.55387448074327</v>
      </c>
      <c r="T163" s="62">
        <f t="shared" si="142"/>
        <v>476.29465646955543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35.715021459603669</v>
      </c>
      <c r="AA163" s="23">
        <f>EXP(-LN(2)/25)*AA162+(1-EXP(-LN(2)/25))/(LN(2)/25)*Calculateur!V163*Calculateur!X163*VLOOKUP('Données projet'!$B$9,Paramètres!$A$1:$I$89,3,0)*0.475*44/12</f>
        <v>4.0265241361272626</v>
      </c>
      <c r="AB163" s="23">
        <f>EXP(-LN(2)/2)*AB162+(1-EXP(-LN(2)/2))/(LN(2)/2)*V163*Y163*VLOOKUP('Données projet'!$B$9,Paramètres!$A$1:$I$89,3,0)*0.475*44/12</f>
        <v>5.0022963900272981E-14</v>
      </c>
      <c r="AC163" s="24">
        <f t="shared" si="163"/>
        <v>39.741545595730983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projet'!$B$10,Paramètres!$A$1:$I$89,3,0)*VLOOKUP('Données projet'!$B$10,Paramètres!$A$1:$I$89,5,0)</f>
        <v>-2.1282176021486519E-13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420.68062999212015</v>
      </c>
      <c r="AO163" s="62">
        <f t="shared" si="144"/>
        <v>655.24090633185676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58.763795411170456</v>
      </c>
      <c r="AV163" s="23">
        <f>EXP(-LN(2)/25)*AV162+(1-EXP(-LN(2)/25))/(LN(2)/25)*Calculateur!AQ163*Calculateur!AS163*VLOOKUP('Données projet'!$B$10,Paramètres!$A$1:$I$89,3,0)*0.475*44/12</f>
        <v>6.6439146673944682</v>
      </c>
      <c r="AW163" s="23">
        <f>EXP(-LN(2)/2)*AW162+(1-EXP(-LN(2)/2))/(LN(2)/2)*AQ163*AT163*VLOOKUP('Données projet'!$B$10,Paramètres!$A$1:$I$89,3,0)*0.475*44/12</f>
        <v>1.6442653002970008E-11</v>
      </c>
      <c r="AX163" s="23">
        <f t="shared" si="166"/>
        <v>65.40771007858136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3.7857142857142856</v>
      </c>
      <c r="BD163" s="13">
        <f>IF('Données projet'!$A$88&gt;35,BD162+BC163-BL162,IF(A163&lt;'Données projet'!$A$88,$BA$205^A163,IF(A163='Données projet'!$A$88,'Données projet'!$B$88,BD162+BC163-BL162)))</f>
        <v>204.42857142857159</v>
      </c>
      <c r="BE163" s="14">
        <f>BD163*VLOOKUP('Données projet'!$B$11,Paramètres!$A$1:$I$89,3,0)*VLOOKUP('Données projet'!$B$11,Paramètres!$A$1:$I$89,5,0)</f>
        <v>184.96697142857158</v>
      </c>
      <c r="BF163" s="14">
        <f t="shared" si="167"/>
        <v>46.425489049022062</v>
      </c>
      <c r="BG163" s="22">
        <f t="shared" si="168"/>
        <v>403.0085353318089</v>
      </c>
      <c r="BH163" s="62">
        <f t="shared" si="116"/>
        <v>696.34186866514221</v>
      </c>
      <c r="BI163" s="62">
        <f ca="1">AVERAGE(OFFSET($BH$3,0,0,'Données projet'!$E$11+1,1))-AVERAGE(OFFSET($H$3,0,0,'Données projet'!$E$11+1,1))</f>
        <v>138.3429338270858</v>
      </c>
      <c r="BJ163" s="62">
        <f t="shared" si="146"/>
        <v>88.30225651635925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27.726026886664012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27.726026886664012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3.7857142857142856</v>
      </c>
      <c r="BY163" s="13">
        <f>IF('Données projet'!$A$114&gt;35,BY162+BX163-CG162,IF(A163&lt;'Données projet'!$A$114,$BV$205^A163,IF(A163='Données projet'!$A$114,'Données projet'!$B$114,BY162+BX163-CG162)))</f>
        <v>204.42857142857159</v>
      </c>
      <c r="BZ163" s="14">
        <f>BY163*VLOOKUP('Données projet'!$B$12,Paramètres!$A$1:$I$89,3,0)*VLOOKUP('Données projet'!$B$12,Paramètres!$A$1:$I$89,5,0)</f>
        <v>172.21062857142871</v>
      </c>
      <c r="CA163" s="14">
        <f t="shared" si="170"/>
        <v>43.58475794348557</v>
      </c>
      <c r="CB163" s="22">
        <f t="shared" si="171"/>
        <v>375.84363151347571</v>
      </c>
      <c r="CC163" s="62">
        <f t="shared" si="119"/>
        <v>669.17696484680903</v>
      </c>
      <c r="CD163" s="62">
        <f ca="1">AVERAGE(OFFSET($CC$3,0,0,'Données projet'!$E$12+1,1))-AVERAGE(OFFSET($H$3,0,0,'Données projet'!$E$12+1,1))</f>
        <v>122.57815304102127</v>
      </c>
      <c r="CE163" s="62">
        <f t="shared" si="148"/>
        <v>80.106609825870578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25.813887101376849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25.813887101376849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-3.7243808037601412E-14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199.99826357281154</v>
      </c>
      <c r="CZ163" s="62">
        <f t="shared" si="150"/>
        <v>214.67424457475136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12.873871591560565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12.873871591560565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-5.6843418860808015E-14</v>
      </c>
      <c r="DP163" s="18">
        <f>DO163*VLOOKUP('Données projet'!$B$14,Paramètres!$A$1:$I$89,3,0)*VLOOKUP('Données projet'!$B$14,Paramètres!$A$1:$I$89,5,0)</f>
        <v>-4.5224624045658861E-14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248.15263300983543</v>
      </c>
      <c r="DU163" s="62">
        <f t="shared" si="152"/>
        <v>266.46511459244618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19.268037049827353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19.268037049827353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-5.6843418860808015E-14</v>
      </c>
      <c r="EK163" s="18">
        <f>EJ163*VLOOKUP('Données projet'!$B$15,Paramètres!$A$1:$I$89,3,0)*VLOOKUP('Données projet'!$B$15,Paramètres!$A$1:$I$89,5,0)</f>
        <v>-3.813056537183002E-14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205.35893113421139</v>
      </c>
      <c r="EP163" s="62">
        <f t="shared" si="154"/>
        <v>220.4399811285175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16.245599865540719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16.245599865540719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382.55387448074327</v>
      </c>
      <c r="T164" s="62">
        <f t="shared" si="142"/>
        <v>476.29465646955543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35.014671672792936</v>
      </c>
      <c r="AA164" s="23">
        <f>EXP(-LN(2)/25)*AA163+(1-EXP(-LN(2)/25))/(LN(2)/25)*Calculateur!V164*Calculateur!X164*VLOOKUP('Données projet'!$B$9,Paramètres!$A$1:$I$89,3,0)*0.475*44/12</f>
        <v>3.9164186218791608</v>
      </c>
      <c r="AB164" s="23">
        <f>EXP(-LN(2)/2)*AB163+(1-EXP(-LN(2)/2))/(LN(2)/2)*V164*Y164*VLOOKUP('Données projet'!$B$9,Paramètres!$A$1:$I$89,3,0)*0.475*44/12</f>
        <v>3.5371576988932892E-14</v>
      </c>
      <c r="AC164" s="24">
        <f t="shared" si="163"/>
        <v>38.931090294672131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projet'!$B$10,Paramètres!$A$1:$I$89,3,0)*VLOOKUP('Données projet'!$B$10,Paramètres!$A$1:$I$89,5,0)</f>
        <v>-2.1282176021486519E-13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420.68062999212015</v>
      </c>
      <c r="AO164" s="62">
        <f t="shared" si="144"/>
        <v>655.24090633185676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57.611473225533466</v>
      </c>
      <c r="AV164" s="23">
        <f>EXP(-LN(2)/25)*AV163+(1-EXP(-LN(2)/25))/(LN(2)/25)*Calculateur!AQ164*Calculateur!AS164*VLOOKUP('Données projet'!$B$10,Paramètres!$A$1:$I$89,3,0)*0.475*44/12</f>
        <v>6.4622364714262792</v>
      </c>
      <c r="AW164" s="23">
        <f>EXP(-LN(2)/2)*AW163+(1-EXP(-LN(2)/2))/(LN(2)/2)*AQ164*AT164*VLOOKUP('Données projet'!$B$10,Paramètres!$A$1:$I$89,3,0)*0.475*44/12</f>
        <v>1.1626711439097442E-11</v>
      </c>
      <c r="AX164" s="23">
        <f t="shared" si="166"/>
        <v>64.073709696971363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3.7857142857142856</v>
      </c>
      <c r="BD164" s="13">
        <f>IF('Données projet'!$A$88&gt;35,BD163+BC164-BL163,IF(A164&lt;'Données projet'!$A$88,$BA$205^A164,IF(A164='Données projet'!$A$88,'Données projet'!$B$88,BD163+BC164-BL163)))</f>
        <v>208.21428571428586</v>
      </c>
      <c r="BE164" s="14">
        <f>BD164*VLOOKUP('Données projet'!$B$11,Paramètres!$A$1:$I$89,3,0)*VLOOKUP('Données projet'!$B$11,Paramètres!$A$1:$I$89,5,0)</f>
        <v>188.39228571428583</v>
      </c>
      <c r="BF164" s="14">
        <f t="shared" si="167"/>
        <v>47.184334451354665</v>
      </c>
      <c r="BG164" s="22">
        <f t="shared" si="168"/>
        <v>410.29594678849054</v>
      </c>
      <c r="BH164" s="62">
        <f t="shared" si="116"/>
        <v>703.62928012182385</v>
      </c>
      <c r="BI164" s="62">
        <f ca="1">AVERAGE(OFFSET($BH$3,0,0,'Données projet'!$E$11+1,1))-AVERAGE(OFFSET($H$3,0,0,'Données projet'!$E$11+1,1))</f>
        <v>138.3429338270858</v>
      </c>
      <c r="BJ164" s="62">
        <f t="shared" si="146"/>
        <v>88.30225651635925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27.18233641062309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27.18233641062309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3.7857142857142856</v>
      </c>
      <c r="BY164" s="13">
        <f>IF('Données projet'!$A$114&gt;35,BY163+BX164-CG163,IF(A164&lt;'Données projet'!$A$114,$BV$205^A164,IF(A164='Données projet'!$A$114,'Données projet'!$B$114,BY163+BX164-CG163)))</f>
        <v>208.21428571428586</v>
      </c>
      <c r="BZ164" s="14">
        <f>BY164*VLOOKUP('Données projet'!$B$12,Paramètres!$A$1:$I$89,3,0)*VLOOKUP('Données projet'!$B$12,Paramètres!$A$1:$I$89,5,0)</f>
        <v>175.39971428571442</v>
      </c>
      <c r="CA164" s="14">
        <f t="shared" si="170"/>
        <v>44.297170324155836</v>
      </c>
      <c r="CB164" s="22">
        <f t="shared" si="171"/>
        <v>382.63874069552395</v>
      </c>
      <c r="CC164" s="62">
        <f t="shared" si="119"/>
        <v>675.97207402885726</v>
      </c>
      <c r="CD164" s="62">
        <f ca="1">AVERAGE(OFFSET($CC$3,0,0,'Données projet'!$E$12+1,1))-AVERAGE(OFFSET($H$3,0,0,'Données projet'!$E$12+1,1))</f>
        <v>122.57815304102127</v>
      </c>
      <c r="CE164" s="62">
        <f t="shared" si="148"/>
        <v>80.106609825870578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25.3076925202353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25.3076925202353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-3.7243808037601412E-14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199.99826357281154</v>
      </c>
      <c r="CZ164" s="62">
        <f t="shared" si="150"/>
        <v>214.67424457475136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12.621422821936385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12.621422821936385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-5.6843418860808015E-14</v>
      </c>
      <c r="DP164" s="18">
        <f>DO164*VLOOKUP('Données projet'!$B$14,Paramètres!$A$1:$I$89,3,0)*VLOOKUP('Données projet'!$B$14,Paramètres!$A$1:$I$89,5,0)</f>
        <v>-4.5224624045658861E-14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248.15263300983543</v>
      </c>
      <c r="DU164" s="62">
        <f t="shared" si="152"/>
        <v>266.46511459244618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18.890202595622391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18.890202595622391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-5.6843418860808015E-14</v>
      </c>
      <c r="EK164" s="18">
        <f>EJ164*VLOOKUP('Données projet'!$B$15,Paramètres!$A$1:$I$89,3,0)*VLOOKUP('Données projet'!$B$15,Paramètres!$A$1:$I$89,5,0)</f>
        <v>-3.813056537183002E-14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205.35893113421139</v>
      </c>
      <c r="EP164" s="62">
        <f t="shared" si="154"/>
        <v>220.4399811285175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15.927033561014966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15.927033561014966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382.55387448074327</v>
      </c>
      <c r="T165" s="62">
        <f t="shared" si="142"/>
        <v>476.29465646955543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34.328055318130374</v>
      </c>
      <c r="AA165" s="23">
        <f>EXP(-LN(2)/25)*AA164+(1-EXP(-LN(2)/25))/(LN(2)/25)*Calculateur!V165*Calculateur!X165*VLOOKUP('Données projet'!$B$9,Paramètres!$A$1:$I$89,3,0)*0.475*44/12</f>
        <v>3.809323948708371</v>
      </c>
      <c r="AB165" s="23">
        <f>EXP(-LN(2)/2)*AB164+(1-EXP(-LN(2)/2))/(LN(2)/2)*V165*Y165*VLOOKUP('Données projet'!$B$9,Paramètres!$A$1:$I$89,3,0)*0.475*44/12</f>
        <v>2.5011481950136491E-14</v>
      </c>
      <c r="AC165" s="24">
        <f t="shared" si="163"/>
        <v>38.137379266838771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projet'!$B$10,Paramètres!$A$1:$I$89,3,0)*VLOOKUP('Données projet'!$B$10,Paramètres!$A$1:$I$89,5,0)</f>
        <v>-2.1282176021486519E-13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420.68062999212015</v>
      </c>
      <c r="AO165" s="62">
        <f t="shared" si="144"/>
        <v>655.24090633185676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56.481747375109684</v>
      </c>
      <c r="AV165" s="23">
        <f>EXP(-LN(2)/25)*AV164+(1-EXP(-LN(2)/25))/(LN(2)/25)*Calculateur!AQ165*Calculateur!AS165*VLOOKUP('Données projet'!$B$10,Paramètres!$A$1:$I$89,3,0)*0.475*44/12</f>
        <v>6.2855262752808816</v>
      </c>
      <c r="AW165" s="23">
        <f>EXP(-LN(2)/2)*AW164+(1-EXP(-LN(2)/2))/(LN(2)/2)*AQ165*AT165*VLOOKUP('Données projet'!$B$10,Paramètres!$A$1:$I$89,3,0)*0.475*44/12</f>
        <v>8.2213265014850041E-12</v>
      </c>
      <c r="AX165" s="23">
        <f t="shared" si="166"/>
        <v>62.767273650398785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>
        <f>VLOOKUP(A165,'Données projet'!$A$87:$I$107,2,0)</f>
        <v>212</v>
      </c>
      <c r="BB165" s="13">
        <f>VLOOKUP(A165,'Données projet'!$A$87:$I$107,9,0)</f>
        <v>3.7857142857142856</v>
      </c>
      <c r="BC165" s="13">
        <f t="array" ref="BC165">INDEX(BB:BB,MIN(IF(ISNUMBER(BB165:BB361),ROW(BB165:BB361),"")))</f>
        <v>3.7857142857142856</v>
      </c>
      <c r="BD165" s="13">
        <f>IF('Données projet'!$A$88&gt;35,BD164+BC165-BL164,IF(A165&lt;'Données projet'!$A$88,$BA$205^A165,IF(A165='Données projet'!$A$88,'Données projet'!$B$88,BD164+BC165-BL164)))</f>
        <v>212.00000000000014</v>
      </c>
      <c r="BE165" s="14">
        <f>BD165*VLOOKUP('Données projet'!$B$11,Paramètres!$A$1:$I$89,3,0)*VLOOKUP('Données projet'!$B$11,Paramètres!$A$1:$I$89,5,0)</f>
        <v>191.81760000000014</v>
      </c>
      <c r="BF165" s="14">
        <f t="shared" si="167"/>
        <v>47.941575465657138</v>
      </c>
      <c r="BG165" s="22">
        <f t="shared" si="168"/>
        <v>417.5805639360197</v>
      </c>
      <c r="BH165" s="62">
        <f t="shared" si="116"/>
        <v>710.91389726935301</v>
      </c>
      <c r="BI165" s="62">
        <f ca="1">AVERAGE(OFFSET($BH$3,0,0,'Données projet'!$E$11+1,1))-AVERAGE(OFFSET($H$3,0,0,'Données projet'!$E$11+1,1))</f>
        <v>138.3429338270858</v>
      </c>
      <c r="BJ165" s="62">
        <f t="shared" si="146"/>
        <v>88.30225651635925</v>
      </c>
      <c r="BK165" s="16">
        <f>IF(ISNA(VLOOKUP(A165,'Données projet'!$A$87:$I$107,3,0)),0,VLOOKUP(A165,'Données projet'!$A$87:$I$107,3,0))</f>
        <v>11</v>
      </c>
      <c r="BL165" s="16">
        <f>IF(ISNA(VLOOKUP(A165,'Données projet'!$A$87:$I$107,4,0)),0,VLOOKUP(A165,'Données projet'!$A$87:$I$107,4,0))</f>
        <v>37</v>
      </c>
      <c r="BM165" s="17">
        <f>IF(ISNA(VLOOKUP(A165,'Données projet'!$A$87:$I$107,5,0)),0%,VLOOKUP(A165,'Données projet'!$A$87:$I$107,5,0)*VLOOKUP('Données projet'!$B$11,Paramètres!$A$1:$I$89,7,0))</f>
        <v>0.38700000000000001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40.971595007027723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40.971595007027723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>
        <f>VLOOKUP(A165,'Données projet'!$A$113:$I$133,2,0)</f>
        <v>212</v>
      </c>
      <c r="BW165" s="13">
        <f>VLOOKUP(A165,'Données projet'!$A$113:$I$133,9,0)</f>
        <v>3.7857142857142856</v>
      </c>
      <c r="BX165" s="13">
        <f t="array" ref="BX165">INDEX(BW:BW,MIN(IF(ISNUMBER(BW165:BW361),ROW(BW165:BW361),"")))</f>
        <v>3.7857142857142856</v>
      </c>
      <c r="BY165" s="13">
        <f>IF('Données projet'!$A$114&gt;35,BY164+BX165-CG164,IF(A165&lt;'Données projet'!$A$114,$BV$205^A165,IF(A165='Données projet'!$A$114,'Données projet'!$B$114,BY164+BX165-CG164)))</f>
        <v>212.00000000000014</v>
      </c>
      <c r="BZ165" s="14">
        <f>BY165*VLOOKUP('Données projet'!$B$12,Paramètres!$A$1:$I$89,3,0)*VLOOKUP('Données projet'!$B$12,Paramètres!$A$1:$I$89,5,0)</f>
        <v>178.58880000000013</v>
      </c>
      <c r="CA165" s="14">
        <f t="shared" si="170"/>
        <v>45.008076487759254</v>
      </c>
      <c r="CB165" s="22">
        <f t="shared" si="171"/>
        <v>389.43122654951429</v>
      </c>
      <c r="CC165" s="62">
        <f t="shared" si="119"/>
        <v>682.76455988284761</v>
      </c>
      <c r="CD165" s="62">
        <f ca="1">AVERAGE(OFFSET($CC$3,0,0,'Données projet'!$E$12+1,1))-AVERAGE(OFFSET($H$3,0,0,'Données projet'!$E$12+1,1))</f>
        <v>122.57815304102127</v>
      </c>
      <c r="CE165" s="62">
        <f t="shared" si="148"/>
        <v>80.106609825870578</v>
      </c>
      <c r="CF165" s="16">
        <f>IF(ISNA(VLOOKUP(A165,'Données projet'!$A$113:$I$133,3,0)),0,VLOOKUP(A165,'Données projet'!$A$113:$I$133,3,0))</f>
        <v>11</v>
      </c>
      <c r="CG165" s="16">
        <f>IF(ISNA(VLOOKUP(A165,'Données projet'!$A$113:$I$133,4,0)),0,VLOOKUP(A165,'Données projet'!$A$113:$I$133,4,0))</f>
        <v>37</v>
      </c>
      <c r="CH165" s="17">
        <f>IF(ISNA(VLOOKUP(A165,'Données projet'!$A$113:$I$133,5,0)),0%,VLOOKUP(A165,'Données projet'!$A$113:$I$133,5,0)*VLOOKUP('Données projet'!$B$12,Paramètres!$A$1:$I$89,7,0))</f>
        <v>0.38700000000000001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38.145967765163746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38.145967765163746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-3.7243808037601412E-14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199.99826357281154</v>
      </c>
      <c r="CZ165" s="62">
        <f t="shared" si="150"/>
        <v>214.67424457475136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12.37392441870599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12.37392441870599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-5.6843418860808015E-14</v>
      </c>
      <c r="DP165" s="18">
        <f>DO165*VLOOKUP('Données projet'!$B$14,Paramètres!$A$1:$I$89,3,0)*VLOOKUP('Données projet'!$B$14,Paramètres!$A$1:$I$89,5,0)</f>
        <v>-4.5224624045658861E-14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248.15263300983543</v>
      </c>
      <c r="DU165" s="62">
        <f t="shared" si="152"/>
        <v>266.46511459244618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18.519777244608129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18.519777244608129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-5.6843418860808015E-14</v>
      </c>
      <c r="EK165" s="18">
        <f>EJ165*VLOOKUP('Données projet'!$B$15,Paramètres!$A$1:$I$89,3,0)*VLOOKUP('Données projet'!$B$15,Paramètres!$A$1:$I$89,5,0)</f>
        <v>-3.813056537183002E-14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205.35893113421139</v>
      </c>
      <c r="EP165" s="62">
        <f t="shared" si="154"/>
        <v>220.4399811285175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15.614714147414704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15.614714147414704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382.55387448074327</v>
      </c>
      <c r="T166" s="62">
        <f t="shared" si="142"/>
        <v>476.29465646955543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33.654903091388121</v>
      </c>
      <c r="AA166" s="23">
        <f>EXP(-LN(2)/25)*AA165+(1-EXP(-LN(2)/25))/(LN(2)/25)*Calculateur!V166*Calculateur!X166*VLOOKUP('Données projet'!$B$9,Paramètres!$A$1:$I$89,3,0)*0.475*44/12</f>
        <v>3.7051577850073003</v>
      </c>
      <c r="AB166" s="23">
        <f>EXP(-LN(2)/2)*AB165+(1-EXP(-LN(2)/2))/(LN(2)/2)*V166*Y166*VLOOKUP('Données projet'!$B$9,Paramètres!$A$1:$I$89,3,0)*0.475*44/12</f>
        <v>1.7685788494466446E-14</v>
      </c>
      <c r="AC166" s="24">
        <f t="shared" si="163"/>
        <v>37.360060876395437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projet'!$B$10,Paramètres!$A$1:$I$89,3,0)*VLOOKUP('Données projet'!$B$10,Paramètres!$A$1:$I$89,5,0)</f>
        <v>-2.1282176021486519E-13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420.68062999212015</v>
      </c>
      <c r="AO166" s="62">
        <f t="shared" si="144"/>
        <v>655.24090633185676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55.374174759547984</v>
      </c>
      <c r="AV166" s="23">
        <f>EXP(-LN(2)/25)*AV165+(1-EXP(-LN(2)/25))/(LN(2)/25)*Calculateur!AQ166*Calculateur!AS166*VLOOKUP('Données projet'!$B$10,Paramètres!$A$1:$I$89,3,0)*0.475*44/12</f>
        <v>6.113648228741865</v>
      </c>
      <c r="AW166" s="23">
        <f>EXP(-LN(2)/2)*AW165+(1-EXP(-LN(2)/2))/(LN(2)/2)*AQ166*AT166*VLOOKUP('Données projet'!$B$10,Paramètres!$A$1:$I$89,3,0)*0.475*44/12</f>
        <v>5.8133557195487212E-12</v>
      </c>
      <c r="AX166" s="23">
        <f t="shared" si="166"/>
        <v>61.487822988295662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3.6666666666666665</v>
      </c>
      <c r="BD166" s="13">
        <f>IF('Données projet'!$A$88&gt;35,BD165+BC166-BL165,IF(A166&lt;'Données projet'!$A$88,$BA$205^A166,IF(A166='Données projet'!$A$88,'Données projet'!$B$88,BD165+BC166-BL165)))</f>
        <v>178.6666666666668</v>
      </c>
      <c r="BE166" s="14">
        <f>BD166*VLOOKUP('Données projet'!$B$11,Paramètres!$A$1:$I$89,3,0)*VLOOKUP('Données projet'!$B$11,Paramètres!$A$1:$I$89,5,0)</f>
        <v>161.65760000000012</v>
      </c>
      <c r="BF166" s="14">
        <f t="shared" si="167"/>
        <v>41.21616714850834</v>
      </c>
      <c r="BG166" s="22">
        <f t="shared" si="168"/>
        <v>353.33847778365225</v>
      </c>
      <c r="BH166" s="62">
        <f t="shared" si="116"/>
        <v>646.67181111698551</v>
      </c>
      <c r="BI166" s="62">
        <f ca="1">AVERAGE(OFFSET($BH$3,0,0,'Données projet'!$E$11+1,1))-AVERAGE(OFFSET($H$3,0,0,'Données projet'!$E$11+1,1))</f>
        <v>138.3429338270858</v>
      </c>
      <c r="BJ166" s="62">
        <f t="shared" si="146"/>
        <v>88.30225651635925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40.168167019145287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40.168167019145287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3.6666666666666665</v>
      </c>
      <c r="BY166" s="13">
        <f>IF('Données projet'!$A$114&gt;35,BY165+BX166-CG165,IF(A166&lt;'Données projet'!$A$114,$BV$205^A166,IF(A166='Données projet'!$A$114,'Données projet'!$B$114,BY165+BX166-CG165)))</f>
        <v>178.6666666666668</v>
      </c>
      <c r="BZ166" s="14">
        <f>BY166*VLOOKUP('Données projet'!$B$12,Paramètres!$A$1:$I$89,3,0)*VLOOKUP('Données projet'!$B$12,Paramètres!$A$1:$I$89,5,0)</f>
        <v>150.50880000000012</v>
      </c>
      <c r="CA166" s="14">
        <f t="shared" si="170"/>
        <v>38.694189449013898</v>
      </c>
      <c r="CB166" s="22">
        <f t="shared" si="171"/>
        <v>329.52853995703276</v>
      </c>
      <c r="CC166" s="62">
        <f t="shared" si="119"/>
        <v>622.86187329036602</v>
      </c>
      <c r="CD166" s="62">
        <f ca="1">AVERAGE(OFFSET($CC$3,0,0,'Données projet'!$E$12+1,1))-AVERAGE(OFFSET($H$3,0,0,'Données projet'!$E$12+1,1))</f>
        <v>122.57815304102127</v>
      </c>
      <c r="CE166" s="62">
        <f t="shared" si="148"/>
        <v>80.106609825870578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37.397948604031825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37.397948604031825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-3.7243808037601412E-14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199.99826357281154</v>
      </c>
      <c r="CZ166" s="62">
        <f t="shared" si="150"/>
        <v>214.67424457475136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12.131279308203823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12.131279308203823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-5.6843418860808015E-14</v>
      </c>
      <c r="DP166" s="18">
        <f>DO166*VLOOKUP('Données projet'!$B$14,Paramètres!$A$1:$I$89,3,0)*VLOOKUP('Données projet'!$B$14,Paramètres!$A$1:$I$89,5,0)</f>
        <v>-4.5224624045658861E-14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248.15263300983543</v>
      </c>
      <c r="DU166" s="62">
        <f t="shared" si="152"/>
        <v>266.46511459244618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18.156615708790099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18.156615708790099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-5.6843418860808015E-14</v>
      </c>
      <c r="EK166" s="18">
        <f>EJ166*VLOOKUP('Données projet'!$B$15,Paramètres!$A$1:$I$89,3,0)*VLOOKUP('Données projet'!$B$15,Paramètres!$A$1:$I$89,5,0)</f>
        <v>-3.813056537183002E-14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205.35893113421139</v>
      </c>
      <c r="EP166" s="62">
        <f t="shared" si="154"/>
        <v>220.4399811285175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15.30851912701911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15.30851912701911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382.55387448074327</v>
      </c>
      <c r="T167" s="62">
        <f t="shared" si="142"/>
        <v>476.29465646955543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32.994950969229969</v>
      </c>
      <c r="AA167" s="23">
        <f>EXP(-LN(2)/25)*AA166+(1-EXP(-LN(2)/25))/(LN(2)/25)*Calculateur!V167*Calculateur!X167*VLOOKUP('Données projet'!$B$9,Paramètres!$A$1:$I$89,3,0)*0.475*44/12</f>
        <v>3.6038400505304962</v>
      </c>
      <c r="AB167" s="23">
        <f>EXP(-LN(2)/2)*AB166+(1-EXP(-LN(2)/2))/(LN(2)/2)*V167*Y167*VLOOKUP('Données projet'!$B$9,Paramètres!$A$1:$I$89,3,0)*0.475*44/12</f>
        <v>1.2505740975068245E-14</v>
      </c>
      <c r="AC167" s="24">
        <f t="shared" si="163"/>
        <v>36.598791019760476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projet'!$B$10,Paramètres!$A$1:$I$89,3,0)*VLOOKUP('Données projet'!$B$10,Paramètres!$A$1:$I$89,5,0)</f>
        <v>-2.1282176021486519E-13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420.68062999212015</v>
      </c>
      <c r="AO167" s="62">
        <f t="shared" si="144"/>
        <v>655.24090633185676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54.288320967424859</v>
      </c>
      <c r="AV167" s="23">
        <f>EXP(-LN(2)/25)*AV166+(1-EXP(-LN(2)/25))/(LN(2)/25)*Calculateur!AQ167*Calculateur!AS167*VLOOKUP('Données projet'!$B$10,Paramètres!$A$1:$I$89,3,0)*0.475*44/12</f>
        <v>5.9464701964241309</v>
      </c>
      <c r="AW167" s="23">
        <f>EXP(-LN(2)/2)*AW166+(1-EXP(-LN(2)/2))/(LN(2)/2)*AQ167*AT167*VLOOKUP('Données projet'!$B$10,Paramètres!$A$1:$I$89,3,0)*0.475*44/12</f>
        <v>4.1106632507425021E-12</v>
      </c>
      <c r="AX167" s="23">
        <f t="shared" si="166"/>
        <v>60.234791163853103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3.6666666666666665</v>
      </c>
      <c r="BD167" s="13">
        <f>IF('Données projet'!$A$88&gt;35,BD166+BC167-BL166,IF(A167&lt;'Données projet'!$A$88,$BA$205^A167,IF(A167='Données projet'!$A$88,'Données projet'!$B$88,BD166+BC167-BL166)))</f>
        <v>182.33333333333346</v>
      </c>
      <c r="BE167" s="14">
        <f>BD167*VLOOKUP('Données projet'!$B$11,Paramètres!$A$1:$I$89,3,0)*VLOOKUP('Données projet'!$B$11,Paramètres!$A$1:$I$89,5,0)</f>
        <v>164.97520000000011</v>
      </c>
      <c r="BF167" s="14">
        <f t="shared" si="167"/>
        <v>41.962677950462357</v>
      </c>
      <c r="BG167" s="22">
        <f t="shared" si="168"/>
        <v>360.41680409705549</v>
      </c>
      <c r="BH167" s="62">
        <f t="shared" si="116"/>
        <v>653.7501374303888</v>
      </c>
      <c r="BI167" s="62">
        <f ca="1">AVERAGE(OFFSET($BH$3,0,0,'Données projet'!$E$11+1,1))-AVERAGE(OFFSET($H$3,0,0,'Données projet'!$E$11+1,1))</f>
        <v>138.3429338270858</v>
      </c>
      <c r="BJ167" s="62">
        <f t="shared" si="146"/>
        <v>88.30225651635925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39.380493764062543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39.380493764062543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3.6666666666666665</v>
      </c>
      <c r="BY167" s="13">
        <f>IF('Données projet'!$A$114&gt;35,BY166+BX167-CG166,IF(A167&lt;'Données projet'!$A$114,$BV$205^A167,IF(A167='Données projet'!$A$114,'Données projet'!$B$114,BY166+BX167-CG166)))</f>
        <v>182.33333333333346</v>
      </c>
      <c r="BZ167" s="14">
        <f>BY167*VLOOKUP('Données projet'!$B$12,Paramètres!$A$1:$I$89,3,0)*VLOOKUP('Données projet'!$B$12,Paramètres!$A$1:$I$89,5,0)</f>
        <v>153.59760000000014</v>
      </c>
      <c r="CA167" s="14">
        <f t="shared" si="170"/>
        <v>39.395021971661244</v>
      </c>
      <c r="CB167" s="22">
        <f t="shared" si="171"/>
        <v>336.12881660064357</v>
      </c>
      <c r="CC167" s="62">
        <f t="shared" si="119"/>
        <v>629.46214993397689</v>
      </c>
      <c r="CD167" s="62">
        <f ca="1">AVERAGE(OFFSET($CC$3,0,0,'Données projet'!$E$12+1,1))-AVERAGE(OFFSET($H$3,0,0,'Données projet'!$E$12+1,1))</f>
        <v>122.57815304102127</v>
      </c>
      <c r="CE167" s="62">
        <f t="shared" si="148"/>
        <v>80.106609825870578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36.664597642403059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36.664597642403059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-3.7243808037601412E-14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199.99826357281154</v>
      </c>
      <c r="CZ167" s="62">
        <f t="shared" si="150"/>
        <v>214.67424457475136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11.893392320319698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11.893392320319698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-5.6843418860808015E-14</v>
      </c>
      <c r="DP167" s="18">
        <f>DO167*VLOOKUP('Données projet'!$B$14,Paramètres!$A$1:$I$89,3,0)*VLOOKUP('Données projet'!$B$14,Paramètres!$A$1:$I$89,5,0)</f>
        <v>-4.5224624045658861E-14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248.15263300983543</v>
      </c>
      <c r="DU167" s="62">
        <f t="shared" si="152"/>
        <v>266.46511459244618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17.800575549182795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17.800575549182795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-5.6843418860808015E-14</v>
      </c>
      <c r="EK167" s="18">
        <f>EJ167*VLOOKUP('Données projet'!$B$15,Paramètres!$A$1:$I$89,3,0)*VLOOKUP('Données projet'!$B$15,Paramètres!$A$1:$I$89,5,0)</f>
        <v>-3.813056537183002E-14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205.35893113421139</v>
      </c>
      <c r="EP167" s="62">
        <f t="shared" si="154"/>
        <v>220.4399811285175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15.008328404212953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15.008328404212953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382.55387448074327</v>
      </c>
      <c r="T168" s="62">
        <f t="shared" si="142"/>
        <v>476.29465646955543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32.347940105656285</v>
      </c>
      <c r="AA168" s="23">
        <f>EXP(-LN(2)/25)*AA167+(1-EXP(-LN(2)/25))/(LN(2)/25)*Calculateur!V168*Calculateur!X168*VLOOKUP('Données projet'!$B$9,Paramètres!$A$1:$I$89,3,0)*0.475*44/12</f>
        <v>3.505292854831028</v>
      </c>
      <c r="AB168" s="23">
        <f>EXP(-LN(2)/2)*AB167+(1-EXP(-LN(2)/2))/(LN(2)/2)*V168*Y168*VLOOKUP('Données projet'!$B$9,Paramètres!$A$1:$I$89,3,0)*0.475*44/12</f>
        <v>8.842894247233223E-15</v>
      </c>
      <c r="AC168" s="24">
        <f t="shared" si="163"/>
        <v>35.853232960487318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projet'!$B$10,Paramètres!$A$1:$I$89,3,0)*VLOOKUP('Données projet'!$B$10,Paramètres!$A$1:$I$89,5,0)</f>
        <v>-2.1282176021486519E-13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420.68062999212015</v>
      </c>
      <c r="AO168" s="62">
        <f t="shared" si="144"/>
        <v>655.24090633185676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53.223760105859853</v>
      </c>
      <c r="AV168" s="23">
        <f>EXP(-LN(2)/25)*AV167+(1-EXP(-LN(2)/25))/(LN(2)/25)*Calculateur!AQ168*Calculateur!AS168*VLOOKUP('Données projet'!$B$10,Paramètres!$A$1:$I$89,3,0)*0.475*44/12</f>
        <v>5.7838636561916363</v>
      </c>
      <c r="AW168" s="23">
        <f>EXP(-LN(2)/2)*AW167+(1-EXP(-LN(2)/2))/(LN(2)/2)*AQ168*AT168*VLOOKUP('Données projet'!$B$10,Paramètres!$A$1:$I$89,3,0)*0.475*44/12</f>
        <v>2.9066778597743606E-12</v>
      </c>
      <c r="AX168" s="23">
        <f t="shared" si="166"/>
        <v>59.007623762054394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3.6666666666666665</v>
      </c>
      <c r="BD168" s="13">
        <f>IF('Données projet'!$A$88&gt;35,BD167+BC168-BL167,IF(A168&lt;'Données projet'!$A$88,$BA$205^A168,IF(A168='Données projet'!$A$88,'Données projet'!$B$88,BD167+BC168-BL167)))</f>
        <v>186.00000000000011</v>
      </c>
      <c r="BE168" s="14">
        <f>BD168*VLOOKUP('Données projet'!$B$11,Paramètres!$A$1:$I$89,3,0)*VLOOKUP('Données projet'!$B$11,Paramètres!$A$1:$I$89,5,0)</f>
        <v>168.29280000000008</v>
      </c>
      <c r="BF168" s="14">
        <f t="shared" si="167"/>
        <v>42.707443263135104</v>
      </c>
      <c r="BG168" s="22">
        <f t="shared" si="168"/>
        <v>367.49209034996039</v>
      </c>
      <c r="BH168" s="62">
        <f t="shared" si="116"/>
        <v>660.82542368329371</v>
      </c>
      <c r="BI168" s="62">
        <f ca="1">AVERAGE(OFFSET($BH$3,0,0,'Données projet'!$E$11+1,1))-AVERAGE(OFFSET($H$3,0,0,'Données projet'!$E$11+1,1))</f>
        <v>138.3429338270858</v>
      </c>
      <c r="BJ168" s="62">
        <f t="shared" si="146"/>
        <v>88.30225651635925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38.608266301078721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38.608266301078721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3.6666666666666665</v>
      </c>
      <c r="BY168" s="13">
        <f>IF('Données projet'!$A$114&gt;35,BY167+BX168-CG167,IF(A168&lt;'Données projet'!$A$114,$BV$205^A168,IF(A168='Données projet'!$A$114,'Données projet'!$B$114,BY167+BX168-CG167)))</f>
        <v>186.00000000000011</v>
      </c>
      <c r="BZ168" s="14">
        <f>BY168*VLOOKUP('Données projet'!$B$12,Paramètres!$A$1:$I$89,3,0)*VLOOKUP('Données projet'!$B$12,Paramètres!$A$1:$I$89,5,0)</f>
        <v>156.68640000000011</v>
      </c>
      <c r="CA168" s="14">
        <f t="shared" si="170"/>
        <v>40.094215809840748</v>
      </c>
      <c r="CB168" s="22">
        <f t="shared" si="171"/>
        <v>342.72623920213954</v>
      </c>
      <c r="CC168" s="62">
        <f t="shared" si="119"/>
        <v>636.05957253547285</v>
      </c>
      <c r="CD168" s="62">
        <f ca="1">AVERAGE(OFFSET($CC$3,0,0,'Données projet'!$E$12+1,1))-AVERAGE(OFFSET($H$3,0,0,'Données projet'!$E$12+1,1))</f>
        <v>122.57815304102127</v>
      </c>
      <c r="CE168" s="62">
        <f t="shared" si="148"/>
        <v>80.106609825870578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35.945627245831915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35.945627245831915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-3.7243808037601412E-14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199.99826357281154</v>
      </c>
      <c r="CZ168" s="62">
        <f t="shared" si="150"/>
        <v>214.67424457475136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11.660170151171247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11.660170151171247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-5.6843418860808015E-14</v>
      </c>
      <c r="DP168" s="18">
        <f>DO168*VLOOKUP('Données projet'!$B$14,Paramètres!$A$1:$I$89,3,0)*VLOOKUP('Données projet'!$B$14,Paramètres!$A$1:$I$89,5,0)</f>
        <v>-4.5224624045658861E-14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248.15263300983543</v>
      </c>
      <c r="DU168" s="62">
        <f t="shared" si="152"/>
        <v>266.46511459244618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17.451517119942338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17.451517119942338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-5.6843418860808015E-14</v>
      </c>
      <c r="EK168" s="18">
        <f>EJ168*VLOOKUP('Données projet'!$B$15,Paramètres!$A$1:$I$89,3,0)*VLOOKUP('Données projet'!$B$15,Paramètres!$A$1:$I$89,5,0)</f>
        <v>-3.813056537183002E-14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205.35893113421139</v>
      </c>
      <c r="EP168" s="62">
        <f t="shared" si="154"/>
        <v>220.4399811285175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14.714024238382764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14.714024238382764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382.55387448074327</v>
      </c>
      <c r="T169" s="62">
        <f t="shared" si="142"/>
        <v>476.29465646955543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31.713616730479625</v>
      </c>
      <c r="AA169" s="23">
        <f>EXP(-LN(2)/25)*AA168+(1-EXP(-LN(2)/25))/(LN(2)/25)*Calculateur!V169*Calculateur!X169*VLOOKUP('Données projet'!$B$9,Paramètres!$A$1:$I$89,3,0)*0.475*44/12</f>
        <v>3.4094404373803338</v>
      </c>
      <c r="AB169" s="23">
        <f>EXP(-LN(2)/2)*AB168+(1-EXP(-LN(2)/2))/(LN(2)/2)*V169*Y169*VLOOKUP('Données projet'!$B$9,Paramètres!$A$1:$I$89,3,0)*0.475*44/12</f>
        <v>6.2528704875341227E-15</v>
      </c>
      <c r="AC169" s="24">
        <f t="shared" si="163"/>
        <v>35.123057167859969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projet'!$B$10,Paramètres!$A$1:$I$89,3,0)*VLOOKUP('Données projet'!$B$10,Paramètres!$A$1:$I$89,5,0)</f>
        <v>-2.1282176021486519E-13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420.68062999212015</v>
      </c>
      <c r="AO169" s="62">
        <f t="shared" si="144"/>
        <v>655.24090633185676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52.180074633472124</v>
      </c>
      <c r="AV169" s="23">
        <f>EXP(-LN(2)/25)*AV168+(1-EXP(-LN(2)/25))/(LN(2)/25)*Calculateur!AQ169*Calculateur!AS169*VLOOKUP('Données projet'!$B$10,Paramètres!$A$1:$I$89,3,0)*0.475*44/12</f>
        <v>5.6257036003529057</v>
      </c>
      <c r="AW169" s="23">
        <f>EXP(-LN(2)/2)*AW168+(1-EXP(-LN(2)/2))/(LN(2)/2)*AQ169*AT169*VLOOKUP('Données projet'!$B$10,Paramètres!$A$1:$I$89,3,0)*0.475*44/12</f>
        <v>2.055331625371251E-12</v>
      </c>
      <c r="AX169" s="23">
        <f t="shared" si="166"/>
        <v>57.805778233827084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3.6666666666666665</v>
      </c>
      <c r="BD169" s="13">
        <f>IF('Données projet'!$A$88&gt;35,BD168+BC169-BL168,IF(A169&lt;'Données projet'!$A$88,$BA$205^A169,IF(A169='Données projet'!$A$88,'Données projet'!$B$88,BD168+BC169-BL168)))</f>
        <v>189.66666666666677</v>
      </c>
      <c r="BE169" s="14">
        <f>BD169*VLOOKUP('Données projet'!$B$11,Paramètres!$A$1:$I$89,3,0)*VLOOKUP('Données projet'!$B$11,Paramètres!$A$1:$I$89,5,0)</f>
        <v>171.61040000000008</v>
      </c>
      <c r="BF169" s="14">
        <f t="shared" si="167"/>
        <v>43.450501462030459</v>
      </c>
      <c r="BG169" s="22">
        <f t="shared" si="168"/>
        <v>374.56440337970315</v>
      </c>
      <c r="BH169" s="62">
        <f t="shared" si="116"/>
        <v>667.89773671303647</v>
      </c>
      <c r="BI169" s="62">
        <f ca="1">AVERAGE(OFFSET($BH$3,0,0,'Données projet'!$E$11+1,1))-AVERAGE(OFFSET($H$3,0,0,'Données projet'!$E$11+1,1))</f>
        <v>138.3429338270858</v>
      </c>
      <c r="BJ169" s="62">
        <f t="shared" si="146"/>
        <v>88.30225651635925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37.85118174763177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37.85118174763177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3.6666666666666665</v>
      </c>
      <c r="BY169" s="13">
        <f>IF('Données projet'!$A$114&gt;35,BY168+BX169-CG168,IF(A169&lt;'Données projet'!$A$114,$BV$205^A169,IF(A169='Données projet'!$A$114,'Données projet'!$B$114,BY168+BX169-CG168)))</f>
        <v>189.66666666666677</v>
      </c>
      <c r="BZ169" s="14">
        <f>BY169*VLOOKUP('Données projet'!$B$12,Paramètres!$A$1:$I$89,3,0)*VLOOKUP('Données projet'!$B$12,Paramètres!$A$1:$I$89,5,0)</f>
        <v>159.7752000000001</v>
      </c>
      <c r="CA169" s="14">
        <f t="shared" si="170"/>
        <v>40.791806990896028</v>
      </c>
      <c r="CB169" s="22">
        <f t="shared" si="171"/>
        <v>349.32087050914407</v>
      </c>
      <c r="CC169" s="62">
        <f t="shared" si="119"/>
        <v>642.65420384247739</v>
      </c>
      <c r="CD169" s="62">
        <f ca="1">AVERAGE(OFFSET($CC$3,0,0,'Données projet'!$E$12+1,1))-AVERAGE(OFFSET($H$3,0,0,'Données projet'!$E$12+1,1))</f>
        <v>122.57815304102127</v>
      </c>
      <c r="CE169" s="62">
        <f t="shared" si="148"/>
        <v>80.106609825870578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35.240755420208892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35.240755420208892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-3.7243808037601412E-14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199.99826357281154</v>
      </c>
      <c r="CZ169" s="62">
        <f t="shared" si="150"/>
        <v>214.67424457475136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11.431521326508319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11.431521326508319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-5.6843418860808015E-14</v>
      </c>
      <c r="DP169" s="18">
        <f>DO169*VLOOKUP('Données projet'!$B$14,Paramètres!$A$1:$I$89,3,0)*VLOOKUP('Données projet'!$B$14,Paramètres!$A$1:$I$89,5,0)</f>
        <v>-4.5224624045658861E-14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248.15263300983543</v>
      </c>
      <c r="DU169" s="62">
        <f t="shared" si="152"/>
        <v>266.46511459244618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17.109303513594668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17.109303513594668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-5.6843418860808015E-14</v>
      </c>
      <c r="EK169" s="18">
        <f>EJ169*VLOOKUP('Données projet'!$B$15,Paramètres!$A$1:$I$89,3,0)*VLOOKUP('Données projet'!$B$15,Paramètres!$A$1:$I$89,5,0)</f>
        <v>-3.813056537183002E-14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205.35893113421139</v>
      </c>
      <c r="EP169" s="62">
        <f t="shared" si="154"/>
        <v>220.4399811285175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14.425491197736688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14.425491197736688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382.55387448074327</v>
      </c>
      <c r="T170" s="62">
        <f t="shared" si="142"/>
        <v>476.29465646955543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31.091732049791123</v>
      </c>
      <c r="AA170" s="23">
        <f>EXP(-LN(2)/25)*AA169+(1-EXP(-LN(2)/25))/(LN(2)/25)*Calculateur!V170*Calculateur!X170*VLOOKUP('Données projet'!$B$9,Paramètres!$A$1:$I$89,3,0)*0.475*44/12</f>
        <v>3.3162091093254884</v>
      </c>
      <c r="AB170" s="23">
        <f>EXP(-LN(2)/2)*AB169+(1-EXP(-LN(2)/2))/(LN(2)/2)*V170*Y170*VLOOKUP('Données projet'!$B$9,Paramètres!$A$1:$I$89,3,0)*0.475*44/12</f>
        <v>4.4214471236166115E-15</v>
      </c>
      <c r="AC170" s="24">
        <f t="shared" si="163"/>
        <v>34.407941159116618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projet'!$B$10,Paramètres!$A$1:$I$89,3,0)*VLOOKUP('Données projet'!$B$10,Paramètres!$A$1:$I$89,5,0)</f>
        <v>-2.1282176021486519E-13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420.68062999212015</v>
      </c>
      <c r="AO170" s="62">
        <f t="shared" si="144"/>
        <v>655.24090633185676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51.156855196612639</v>
      </c>
      <c r="AV170" s="23">
        <f>EXP(-LN(2)/25)*AV169+(1-EXP(-LN(2)/25))/(LN(2)/25)*Calculateur!AQ170*Calculateur!AS170*VLOOKUP('Données projet'!$B$10,Paramètres!$A$1:$I$89,3,0)*0.475*44/12</f>
        <v>5.471868439558361</v>
      </c>
      <c r="AW170" s="23">
        <f>EXP(-LN(2)/2)*AW169+(1-EXP(-LN(2)/2))/(LN(2)/2)*AQ170*AT170*VLOOKUP('Données projet'!$B$10,Paramètres!$A$1:$I$89,3,0)*0.475*44/12</f>
        <v>1.4533389298871803E-12</v>
      </c>
      <c r="AX170" s="23">
        <f t="shared" si="166"/>
        <v>56.62872363617246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3.6666666666666665</v>
      </c>
      <c r="BD170" s="13">
        <f>IF('Données projet'!$A$88&gt;35,BD169+BC170-BL169,IF(A170&lt;'Données projet'!$A$88,$BA$205^A170,IF(A170='Données projet'!$A$88,'Données projet'!$B$88,BD169+BC170-BL169)))</f>
        <v>193.33333333333343</v>
      </c>
      <c r="BE170" s="14">
        <f>BD170*VLOOKUP('Données projet'!$B$11,Paramètres!$A$1:$I$89,3,0)*VLOOKUP('Données projet'!$B$11,Paramètres!$A$1:$I$89,5,0)</f>
        <v>174.92800000000008</v>
      </c>
      <c r="BF170" s="14">
        <f t="shared" si="167"/>
        <v>44.191889354006811</v>
      </c>
      <c r="BG170" s="22">
        <f t="shared" si="168"/>
        <v>381.63380729156194</v>
      </c>
      <c r="BH170" s="62">
        <f t="shared" si="116"/>
        <v>674.96714062489525</v>
      </c>
      <c r="BI170" s="62">
        <f ca="1">AVERAGE(OFFSET($BH$3,0,0,'Données projet'!$E$11+1,1))-AVERAGE(OFFSET($H$3,0,0,'Données projet'!$E$11+1,1))</f>
        <v>138.3429338270858</v>
      </c>
      <c r="BJ170" s="62">
        <f t="shared" si="146"/>
        <v>88.30225651635925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37.10894316050193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37.10894316050193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3.6666666666666665</v>
      </c>
      <c r="BY170" s="13">
        <f>IF('Données projet'!$A$114&gt;35,BY169+BX170-CG169,IF(A170&lt;'Données projet'!$A$114,$BV$205^A170,IF(A170='Données projet'!$A$114,'Données projet'!$B$114,BY169+BX170-CG169)))</f>
        <v>193.33333333333343</v>
      </c>
      <c r="BZ170" s="14">
        <f>BY170*VLOOKUP('Données projet'!$B$12,Paramètres!$A$1:$I$89,3,0)*VLOOKUP('Données projet'!$B$12,Paramètres!$A$1:$I$89,5,0)</f>
        <v>162.86400000000009</v>
      </c>
      <c r="CA170" s="14">
        <f t="shared" si="170"/>
        <v>41.487830069509158</v>
      </c>
      <c r="CB170" s="22">
        <f t="shared" si="171"/>
        <v>355.91277070439531</v>
      </c>
      <c r="CC170" s="62">
        <f t="shared" si="119"/>
        <v>649.24610403772863</v>
      </c>
      <c r="CD170" s="62">
        <f ca="1">AVERAGE(OFFSET($CC$3,0,0,'Données projet'!$E$12+1,1))-AVERAGE(OFFSET($H$3,0,0,'Données projet'!$E$12+1,1))</f>
        <v>122.57815304102127</v>
      </c>
      <c r="CE170" s="62">
        <f t="shared" si="148"/>
        <v>80.106609825870578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34.549705701156974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34.549705701156974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-3.7243808037601412E-14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199.99826357281154</v>
      </c>
      <c r="CZ170" s="62">
        <f t="shared" si="150"/>
        <v>214.67424457475136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11.207356165835019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11.207356165835019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-5.6843418860808015E-14</v>
      </c>
      <c r="DP170" s="18">
        <f>DO170*VLOOKUP('Données projet'!$B$14,Paramètres!$A$1:$I$89,3,0)*VLOOKUP('Données projet'!$B$14,Paramètres!$A$1:$I$89,5,0)</f>
        <v>-4.5224624045658861E-14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248.15263300983543</v>
      </c>
      <c r="DU170" s="62">
        <f t="shared" si="152"/>
        <v>266.46511459244618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16.773800507337786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16.773800507337786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-5.6843418860808015E-14</v>
      </c>
      <c r="EK170" s="18">
        <f>EJ170*VLOOKUP('Données projet'!$B$15,Paramètres!$A$1:$I$89,3,0)*VLOOKUP('Données projet'!$B$15,Paramètres!$A$1:$I$89,5,0)</f>
        <v>-3.813056537183002E-14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205.35893113421139</v>
      </c>
      <c r="EP170" s="62">
        <f t="shared" si="154"/>
        <v>220.4399811285175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14.142616114029906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14.142616114029906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382.55387448074327</v>
      </c>
      <c r="T171" s="62">
        <f t="shared" si="142"/>
        <v>476.29465646955543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30.482042148378721</v>
      </c>
      <c r="AA171" s="23">
        <f>EXP(-LN(2)/25)*AA170+(1-EXP(-LN(2)/25))/(LN(2)/25)*Calculateur!V171*Calculateur!X171*VLOOKUP('Données projet'!$B$9,Paramètres!$A$1:$I$89,3,0)*0.475*44/12</f>
        <v>3.225527196839125</v>
      </c>
      <c r="AB171" s="23">
        <f>EXP(-LN(2)/2)*AB170+(1-EXP(-LN(2)/2))/(LN(2)/2)*V171*Y171*VLOOKUP('Données projet'!$B$9,Paramètres!$A$1:$I$89,3,0)*0.475*44/12</f>
        <v>3.1264352437670613E-15</v>
      </c>
      <c r="AC171" s="24">
        <f t="shared" si="163"/>
        <v>33.707569345217848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projet'!$B$10,Paramètres!$A$1:$I$89,3,0)*VLOOKUP('Données projet'!$B$10,Paramètres!$A$1:$I$89,5,0)</f>
        <v>-2.1282176021486519E-13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420.68062999212015</v>
      </c>
      <c r="AO171" s="62">
        <f t="shared" si="144"/>
        <v>655.24090633185676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50.153700468807735</v>
      </c>
      <c r="AV171" s="23">
        <f>EXP(-LN(2)/25)*AV170+(1-EXP(-LN(2)/25))/(LN(2)/25)*Calculateur!AQ171*Calculateur!AS171*VLOOKUP('Données projet'!$B$10,Paramètres!$A$1:$I$89,3,0)*0.475*44/12</f>
        <v>5.3222399093255826</v>
      </c>
      <c r="AW171" s="23">
        <f>EXP(-LN(2)/2)*AW170+(1-EXP(-LN(2)/2))/(LN(2)/2)*AQ171*AT171*VLOOKUP('Données projet'!$B$10,Paramètres!$A$1:$I$89,3,0)*0.475*44/12</f>
        <v>1.0276658126856255E-12</v>
      </c>
      <c r="AX171" s="23">
        <f t="shared" si="166"/>
        <v>55.475940378134347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3.6666666666666665</v>
      </c>
      <c r="BD171" s="13">
        <f>IF('Données projet'!$A$88&gt;35,BD170+BC171-BL170,IF(A171&lt;'Données projet'!$A$88,$BA$205^A171,IF(A171='Données projet'!$A$88,'Données projet'!$B$88,BD170+BC171-BL170)))</f>
        <v>197.00000000000009</v>
      </c>
      <c r="BE171" s="14">
        <f>BD171*VLOOKUP('Données projet'!$B$11,Paramètres!$A$1:$I$89,3,0)*VLOOKUP('Données projet'!$B$11,Paramètres!$A$1:$I$89,5,0)</f>
        <v>178.24560000000008</v>
      </c>
      <c r="BF171" s="14">
        <f t="shared" si="167"/>
        <v>44.931642269910469</v>
      </c>
      <c r="BG171" s="22">
        <f t="shared" si="168"/>
        <v>388.70036362009415</v>
      </c>
      <c r="BH171" s="62">
        <f t="shared" si="116"/>
        <v>682.03369695342747</v>
      </c>
      <c r="BI171" s="62">
        <f ca="1">AVERAGE(OFFSET($BH$3,0,0,'Données projet'!$E$11+1,1))-AVERAGE(OFFSET($H$3,0,0,'Données projet'!$E$11+1,1))</f>
        <v>138.3429338270858</v>
      </c>
      <c r="BJ171" s="62">
        <f t="shared" si="146"/>
        <v>88.30225651635925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36.381259419344872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36.381259419344872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3.6666666666666665</v>
      </c>
      <c r="BY171" s="13">
        <f>IF('Données projet'!$A$114&gt;35,BY170+BX171-CG170,IF(A171&lt;'Données projet'!$A$114,$BV$205^A171,IF(A171='Données projet'!$A$114,'Données projet'!$B$114,BY170+BX171-CG170)))</f>
        <v>197.00000000000009</v>
      </c>
      <c r="BZ171" s="14">
        <f>BY171*VLOOKUP('Données projet'!$B$12,Paramètres!$A$1:$I$89,3,0)*VLOOKUP('Données projet'!$B$12,Paramètres!$A$1:$I$89,5,0)</f>
        <v>165.95280000000008</v>
      </c>
      <c r="CA171" s="14">
        <f t="shared" si="170"/>
        <v>42.182318214665827</v>
      </c>
      <c r="CB171" s="22">
        <f t="shared" si="171"/>
        <v>362.50199755720979</v>
      </c>
      <c r="CC171" s="62">
        <f t="shared" si="119"/>
        <v>655.8353308905431</v>
      </c>
      <c r="CD171" s="62">
        <f ca="1">AVERAGE(OFFSET($CC$3,0,0,'Données projet'!$E$12+1,1))-AVERAGE(OFFSET($H$3,0,0,'Données projet'!$E$12+1,1))</f>
        <v>122.57815304102127</v>
      </c>
      <c r="CE171" s="62">
        <f t="shared" si="148"/>
        <v>80.106609825870578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33.872207045596952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33.872207045596952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-3.7243808037601412E-14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199.99826357281154</v>
      </c>
      <c r="CZ171" s="62">
        <f t="shared" si="150"/>
        <v>214.67424457475136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10.987586747235275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10.987586747235275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-5.6843418860808015E-14</v>
      </c>
      <c r="DP171" s="18">
        <f>DO171*VLOOKUP('Données projet'!$B$14,Paramètres!$A$1:$I$89,3,0)*VLOOKUP('Données projet'!$B$14,Paramètres!$A$1:$I$89,5,0)</f>
        <v>-4.5224624045658861E-14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248.15263300983543</v>
      </c>
      <c r="DU171" s="62">
        <f t="shared" si="152"/>
        <v>266.46511459244618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16.444876510396973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16.444876510396973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-5.6843418860808015E-14</v>
      </c>
      <c r="EK171" s="18">
        <f>EJ171*VLOOKUP('Données projet'!$B$15,Paramètres!$A$1:$I$89,3,0)*VLOOKUP('Données projet'!$B$15,Paramètres!$A$1:$I$89,5,0)</f>
        <v>-3.813056537183002E-14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205.35893113421139</v>
      </c>
      <c r="EP171" s="62">
        <f t="shared" si="154"/>
        <v>220.4399811285175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13.865288038177848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13.865288038177848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382.55387448074327</v>
      </c>
      <c r="T172" s="62">
        <f t="shared" si="142"/>
        <v>476.29465646955543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29.884307894058896</v>
      </c>
      <c r="AA172" s="23">
        <f>EXP(-LN(2)/25)*AA171+(1-EXP(-LN(2)/25))/(LN(2)/25)*Calculateur!V172*Calculateur!X172*VLOOKUP('Données projet'!$B$9,Paramètres!$A$1:$I$89,3,0)*0.475*44/12</f>
        <v>3.1373249860184558</v>
      </c>
      <c r="AB172" s="23">
        <f>EXP(-LN(2)/2)*AB171+(1-EXP(-LN(2)/2))/(LN(2)/2)*V172*Y172*VLOOKUP('Données projet'!$B$9,Paramètres!$A$1:$I$89,3,0)*0.475*44/12</f>
        <v>2.2107235618083058E-15</v>
      </c>
      <c r="AC172" s="24">
        <f t="shared" si="163"/>
        <v>33.021632880077348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projet'!$B$10,Paramètres!$A$1:$I$89,3,0)*VLOOKUP('Données projet'!$B$10,Paramètres!$A$1:$I$89,5,0)</f>
        <v>-2.1282176021486519E-13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420.68062999212015</v>
      </c>
      <c r="AO172" s="62">
        <f t="shared" si="144"/>
        <v>655.24090633185676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49.170216993351119</v>
      </c>
      <c r="AV172" s="23">
        <f>EXP(-LN(2)/25)*AV171+(1-EXP(-LN(2)/25))/(LN(2)/25)*Calculateur!AQ172*Calculateur!AS172*VLOOKUP('Données projet'!$B$10,Paramètres!$A$1:$I$89,3,0)*0.475*44/12</f>
        <v>5.176702979120642</v>
      </c>
      <c r="AW172" s="23">
        <f>EXP(-LN(2)/2)*AW171+(1-EXP(-LN(2)/2))/(LN(2)/2)*AQ172*AT172*VLOOKUP('Données projet'!$B$10,Paramètres!$A$1:$I$89,3,0)*0.475*44/12</f>
        <v>7.2666946494359015E-13</v>
      </c>
      <c r="AX172" s="23">
        <f t="shared" si="166"/>
        <v>54.346919972472485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3.6666666666666665</v>
      </c>
      <c r="BD172" s="13">
        <f>IF('Données projet'!$A$88&gt;35,BD171+BC172-BL171,IF(A172&lt;'Données projet'!$A$88,$BA$205^A172,IF(A172='Données projet'!$A$88,'Données projet'!$B$88,BD171+BC172-BL171)))</f>
        <v>200.66666666666674</v>
      </c>
      <c r="BE172" s="14">
        <f>BD172*VLOOKUP('Données projet'!$B$11,Paramètres!$A$1:$I$89,3,0)*VLOOKUP('Données projet'!$B$11,Paramètres!$A$1:$I$89,5,0)</f>
        <v>181.56320000000005</v>
      </c>
      <c r="BF172" s="14">
        <f t="shared" si="167"/>
        <v>45.669794150117184</v>
      </c>
      <c r="BG172" s="22">
        <f t="shared" si="168"/>
        <v>395.76413147812082</v>
      </c>
      <c r="BH172" s="62">
        <f t="shared" si="116"/>
        <v>689.09746481145407</v>
      </c>
      <c r="BI172" s="62">
        <f ca="1">AVERAGE(OFFSET($BH$3,0,0,'Données projet'!$E$11+1,1))-AVERAGE(OFFSET($H$3,0,0,'Données projet'!$E$11+1,1))</f>
        <v>138.3429338270858</v>
      </c>
      <c r="BJ172" s="62">
        <f t="shared" si="146"/>
        <v>88.30225651635925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35.667845112508644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35.667845112508644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3.6666666666666665</v>
      </c>
      <c r="BY172" s="13">
        <f>IF('Données projet'!$A$114&gt;35,BY171+BX172-CG171,IF(A172&lt;'Données projet'!$A$114,$BV$205^A172,IF(A172='Données projet'!$A$114,'Données projet'!$B$114,BY171+BX172-CG171)))</f>
        <v>200.66666666666674</v>
      </c>
      <c r="BZ172" s="14">
        <f>BY172*VLOOKUP('Données projet'!$B$12,Paramètres!$A$1:$I$89,3,0)*VLOOKUP('Données projet'!$B$12,Paramètres!$A$1:$I$89,5,0)</f>
        <v>169.04160000000007</v>
      </c>
      <c r="CA172" s="14">
        <f t="shared" si="170"/>
        <v>42.875303289962908</v>
      </c>
      <c r="CB172" s="22">
        <f t="shared" si="171"/>
        <v>369.08860656335219</v>
      </c>
      <c r="CC172" s="62">
        <f t="shared" si="119"/>
        <v>662.42193989668544</v>
      </c>
      <c r="CD172" s="62">
        <f ca="1">AVERAGE(OFFSET($CC$3,0,0,'Données projet'!$E$12+1,1))-AVERAGE(OFFSET($H$3,0,0,'Données projet'!$E$12+1,1))</f>
        <v>122.57815304102127</v>
      </c>
      <c r="CE172" s="62">
        <f t="shared" si="148"/>
        <v>80.106609825870578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33.207993725439088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33.207993725439088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-3.7243808037601412E-14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199.99826357281154</v>
      </c>
      <c r="CZ172" s="62">
        <f t="shared" si="150"/>
        <v>214.67424457475136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10.772126872888162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10.772126872888162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-5.6843418860808015E-14</v>
      </c>
      <c r="DP172" s="18">
        <f>DO172*VLOOKUP('Données projet'!$B$14,Paramètres!$A$1:$I$89,3,0)*VLOOKUP('Données projet'!$B$14,Paramètres!$A$1:$I$89,5,0)</f>
        <v>-4.5224624045658861E-14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248.15263300983543</v>
      </c>
      <c r="DU172" s="62">
        <f t="shared" si="152"/>
        <v>266.46511459244618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16.122402512412343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16.122402512412343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-5.6843418860808015E-14</v>
      </c>
      <c r="EK172" s="18">
        <f>EJ172*VLOOKUP('Données projet'!$B$15,Paramètres!$A$1:$I$89,3,0)*VLOOKUP('Données projet'!$B$15,Paramètres!$A$1:$I$89,5,0)</f>
        <v>-3.813056537183002E-14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205.35893113421139</v>
      </c>
      <c r="EP172" s="62">
        <f t="shared" si="154"/>
        <v>220.4399811285175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13.593398196739825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13.593398196739825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382.55387448074327</v>
      </c>
      <c r="T173" s="62">
        <f t="shared" si="142"/>
        <v>476.29465646955543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29.298294843884388</v>
      </c>
      <c r="AA173" s="23">
        <f>EXP(-LN(2)/25)*AA172+(1-EXP(-LN(2)/25))/(LN(2)/25)*Calculateur!V173*Calculateur!X173*VLOOKUP('Données projet'!$B$9,Paramètres!$A$1:$I$89,3,0)*0.475*44/12</f>
        <v>3.0515346692910303</v>
      </c>
      <c r="AB173" s="23">
        <f>EXP(-LN(2)/2)*AB172+(1-EXP(-LN(2)/2))/(LN(2)/2)*V173*Y173*VLOOKUP('Données projet'!$B$9,Paramètres!$A$1:$I$89,3,0)*0.475*44/12</f>
        <v>1.5632176218835307E-15</v>
      </c>
      <c r="AC173" s="24">
        <f t="shared" si="163"/>
        <v>32.349829513175422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projet'!$B$10,Paramètres!$A$1:$I$89,3,0)*VLOOKUP('Données projet'!$B$10,Paramètres!$A$1:$I$89,5,0)</f>
        <v>-2.1282176021486519E-13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420.68062999212015</v>
      </c>
      <c r="AO173" s="62">
        <f t="shared" si="144"/>
        <v>655.24090633185676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48.206019028982517</v>
      </c>
      <c r="AV173" s="23">
        <f>EXP(-LN(2)/25)*AV172+(1-EXP(-LN(2)/25))/(LN(2)/25)*Calculateur!AQ173*Calculateur!AS173*VLOOKUP('Données projet'!$B$10,Paramètres!$A$1:$I$89,3,0)*0.475*44/12</f>
        <v>5.0351457639256099</v>
      </c>
      <c r="AW173" s="23">
        <f>EXP(-LN(2)/2)*AW172+(1-EXP(-LN(2)/2))/(LN(2)/2)*AQ173*AT173*VLOOKUP('Données projet'!$B$10,Paramètres!$A$1:$I$89,3,0)*0.475*44/12</f>
        <v>5.1383290634281276E-13</v>
      </c>
      <c r="AX173" s="23">
        <f t="shared" si="166"/>
        <v>53.241164792908641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3.6666666666666665</v>
      </c>
      <c r="BD173" s="13">
        <f>IF('Données projet'!$A$88&gt;35,BD172+BC173-BL172,IF(A173&lt;'Données projet'!$A$88,$BA$205^A173,IF(A173='Données projet'!$A$88,'Données projet'!$B$88,BD172+BC173-BL172)))</f>
        <v>204.3333333333334</v>
      </c>
      <c r="BE173" s="14">
        <f>BD173*VLOOKUP('Données projet'!$B$11,Paramètres!$A$1:$I$89,3,0)*VLOOKUP('Données projet'!$B$11,Paramètres!$A$1:$I$89,5,0)</f>
        <v>184.88080000000005</v>
      </c>
      <c r="BF173" s="14">
        <f t="shared" si="167"/>
        <v>46.40637762364517</v>
      </c>
      <c r="BG173" s="22">
        <f t="shared" si="168"/>
        <v>402.82516769451541</v>
      </c>
      <c r="BH173" s="62">
        <f t="shared" si="116"/>
        <v>696.15850102784873</v>
      </c>
      <c r="BI173" s="62">
        <f ca="1">AVERAGE(OFFSET($BH$3,0,0,'Données projet'!$E$11+1,1))-AVERAGE(OFFSET($H$3,0,0,'Données projet'!$E$11+1,1))</f>
        <v>138.3429338270858</v>
      </c>
      <c r="BJ173" s="62">
        <f t="shared" si="146"/>
        <v>88.30225651635925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34.968420425089718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34.968420425089718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3.6666666666666665</v>
      </c>
      <c r="BY173" s="13">
        <f>IF('Données projet'!$A$114&gt;35,BY172+BX173-CG172,IF(A173&lt;'Données projet'!$A$114,$BV$205^A173,IF(A173='Données projet'!$A$114,'Données projet'!$B$114,BY172+BX173-CG172)))</f>
        <v>204.3333333333334</v>
      </c>
      <c r="BZ173" s="14">
        <f>BY173*VLOOKUP('Données projet'!$B$12,Paramètres!$A$1:$I$89,3,0)*VLOOKUP('Données projet'!$B$12,Paramètres!$A$1:$I$89,5,0)</f>
        <v>172.13040000000007</v>
      </c>
      <c r="CA173" s="14">
        <f t="shared" si="170"/>
        <v>43.56681592788015</v>
      </c>
      <c r="CB173" s="22">
        <f t="shared" si="171"/>
        <v>375.67265107439135</v>
      </c>
      <c r="CC173" s="62">
        <f t="shared" si="119"/>
        <v>669.00598440772467</v>
      </c>
      <c r="CD173" s="62">
        <f ca="1">AVERAGE(OFFSET($CC$3,0,0,'Données projet'!$E$12+1,1))-AVERAGE(OFFSET($H$3,0,0,'Données projet'!$E$12+1,1))</f>
        <v>122.57815304102127</v>
      </c>
      <c r="CE173" s="62">
        <f t="shared" si="148"/>
        <v>80.106609825870578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32.556805223359397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32.556805223359397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-3.7243808037601412E-14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199.99826357281154</v>
      </c>
      <c r="CZ173" s="62">
        <f t="shared" si="150"/>
        <v>214.67424457475136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10.56089203525945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10.56089203525945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-5.6843418860808015E-14</v>
      </c>
      <c r="DP173" s="18">
        <f>DO173*VLOOKUP('Données projet'!$B$14,Paramètres!$A$1:$I$89,3,0)*VLOOKUP('Données projet'!$B$14,Paramètres!$A$1:$I$89,5,0)</f>
        <v>-4.5224624045658861E-14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248.15263300983543</v>
      </c>
      <c r="DU173" s="62">
        <f t="shared" si="152"/>
        <v>266.46511459244618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15.806252032838472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15.806252032838472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-5.6843418860808015E-14</v>
      </c>
      <c r="EK173" s="18">
        <f>EJ173*VLOOKUP('Données projet'!$B$15,Paramètres!$A$1:$I$89,3,0)*VLOOKUP('Données projet'!$B$15,Paramètres!$A$1:$I$89,5,0)</f>
        <v>-3.813056537183002E-14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205.35893113421139</v>
      </c>
      <c r="EP173" s="62">
        <f t="shared" si="154"/>
        <v>220.4399811285175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13.326839949255973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13.326839949255973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382.55387448074327</v>
      </c>
      <c r="T174" s="62">
        <f t="shared" si="142"/>
        <v>476.29465646955543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28.723773152191136</v>
      </c>
      <c r="AA174" s="23">
        <f>EXP(-LN(2)/25)*AA173+(1-EXP(-LN(2)/25))/(LN(2)/25)*Calculateur!V174*Calculateur!X174*VLOOKUP('Données projet'!$B$9,Paramètres!$A$1:$I$89,3,0)*0.475*44/12</f>
        <v>2.9680902932860334</v>
      </c>
      <c r="AB174" s="23">
        <f>EXP(-LN(2)/2)*AB173+(1-EXP(-LN(2)/2))/(LN(2)/2)*V174*Y174*VLOOKUP('Données projet'!$B$9,Paramètres!$A$1:$I$89,3,0)*0.475*44/12</f>
        <v>1.1053617809041529E-15</v>
      </c>
      <c r="AC174" s="24">
        <f t="shared" si="163"/>
        <v>31.691863445477168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projet'!$B$10,Paramètres!$A$1:$I$89,3,0)*VLOOKUP('Données projet'!$B$10,Paramètres!$A$1:$I$89,5,0)</f>
        <v>-2.1282176021486519E-13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420.68062999212015</v>
      </c>
      <c r="AO174" s="62">
        <f t="shared" si="144"/>
        <v>655.24090633185676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47.260728398592498</v>
      </c>
      <c r="AV174" s="23">
        <f>EXP(-LN(2)/25)*AV173+(1-EXP(-LN(2)/25))/(LN(2)/25)*Calculateur!AQ174*Calculateur!AS174*VLOOKUP('Données projet'!$B$10,Paramètres!$A$1:$I$89,3,0)*0.475*44/12</f>
        <v>4.8974594382242564</v>
      </c>
      <c r="AW174" s="23">
        <f>EXP(-LN(2)/2)*AW173+(1-EXP(-LN(2)/2))/(LN(2)/2)*AQ174*AT174*VLOOKUP('Données projet'!$B$10,Paramètres!$A$1:$I$89,3,0)*0.475*44/12</f>
        <v>3.6333473247179507E-13</v>
      </c>
      <c r="AX174" s="23">
        <f t="shared" si="166"/>
        <v>52.158187836817113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3.6666666666666665</v>
      </c>
      <c r="BD174" s="13">
        <f>IF('Données projet'!$A$88&gt;35,BD173+BC174-BL173,IF(A174&lt;'Données projet'!$A$88,$BA$205^A174,IF(A174='Données projet'!$A$88,'Données projet'!$B$88,BD173+BC174-BL173)))</f>
        <v>208.00000000000006</v>
      </c>
      <c r="BE174" s="14">
        <f>BD174*VLOOKUP('Données projet'!$B$11,Paramètres!$A$1:$I$89,3,0)*VLOOKUP('Données projet'!$B$11,Paramètres!$A$1:$I$89,5,0)</f>
        <v>188.19840000000005</v>
      </c>
      <c r="BF174" s="14">
        <f t="shared" si="167"/>
        <v>47.141424081428056</v>
      </c>
      <c r="BG174" s="22">
        <f t="shared" si="168"/>
        <v>409.88352694182055</v>
      </c>
      <c r="BH174" s="62">
        <f t="shared" si="116"/>
        <v>703.21686027515386</v>
      </c>
      <c r="BI174" s="62">
        <f ca="1">AVERAGE(OFFSET($BH$3,0,0,'Données projet'!$E$11+1,1))-AVERAGE(OFFSET($H$3,0,0,'Données projet'!$E$11+1,1))</f>
        <v>138.3429338270858</v>
      </c>
      <c r="BJ174" s="62">
        <f t="shared" si="146"/>
        <v>88.30225651635925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34.282711029184142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34.282711029184142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3.6666666666666665</v>
      </c>
      <c r="BY174" s="13">
        <f>IF('Données projet'!$A$114&gt;35,BY173+BX174-CG173,IF(A174&lt;'Données projet'!$A$114,$BV$205^A174,IF(A174='Données projet'!$A$114,'Données projet'!$B$114,BY173+BX174-CG173)))</f>
        <v>208.00000000000006</v>
      </c>
      <c r="BZ174" s="14">
        <f>BY174*VLOOKUP('Données projet'!$B$12,Paramètres!$A$1:$I$89,3,0)*VLOOKUP('Données projet'!$B$12,Paramètres!$A$1:$I$89,5,0)</f>
        <v>175.21920000000006</v>
      </c>
      <c r="CA174" s="14">
        <f t="shared" si="170"/>
        <v>44.256885598570207</v>
      </c>
      <c r="CB174" s="22">
        <f t="shared" si="171"/>
        <v>382.25418241750987</v>
      </c>
      <c r="CC174" s="62">
        <f t="shared" si="119"/>
        <v>675.58751575084318</v>
      </c>
      <c r="CD174" s="62">
        <f ca="1">AVERAGE(OFFSET($CC$3,0,0,'Données projet'!$E$12+1,1))-AVERAGE(OFFSET($H$3,0,0,'Données projet'!$E$12+1,1))</f>
        <v>122.57815304102127</v>
      </c>
      <c r="CE174" s="62">
        <f t="shared" si="148"/>
        <v>80.106609825870578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31.918386130619723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31.918386130619723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-3.7243808037601412E-14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199.99826357281154</v>
      </c>
      <c r="CZ174" s="62">
        <f t="shared" si="150"/>
        <v>214.67424457475136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10.353799383956106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10.353799383956106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-5.6843418860808015E-14</v>
      </c>
      <c r="DP174" s="18">
        <f>DO174*VLOOKUP('Données projet'!$B$14,Paramètres!$A$1:$I$89,3,0)*VLOOKUP('Données projet'!$B$14,Paramètres!$A$1:$I$89,5,0)</f>
        <v>-4.5224624045658861E-14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248.15263300983543</v>
      </c>
      <c r="DU174" s="62">
        <f t="shared" si="152"/>
        <v>266.46511459244618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15.496301071336294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15.496301071336294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-5.6843418860808015E-14</v>
      </c>
      <c r="EK174" s="18">
        <f>EJ174*VLOOKUP('Données projet'!$B$15,Paramètres!$A$1:$I$89,3,0)*VLOOKUP('Données projet'!$B$15,Paramètres!$A$1:$I$89,5,0)</f>
        <v>-3.813056537183002E-14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205.35893113421139</v>
      </c>
      <c r="EP174" s="62">
        <f t="shared" si="154"/>
        <v>220.4399811285175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13.065508746420804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13.065508746420804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382.55387448074327</v>
      </c>
      <c r="T175" s="62">
        <f t="shared" si="142"/>
        <v>476.29465646955543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28.160517480448355</v>
      </c>
      <c r="AA175" s="23">
        <f>EXP(-LN(2)/25)*AA174+(1-EXP(-LN(2)/25))/(LN(2)/25)*Calculateur!V175*Calculateur!X175*VLOOKUP('Données projet'!$B$9,Paramètres!$A$1:$I$89,3,0)*0.475*44/12</f>
        <v>2.8869277081310418</v>
      </c>
      <c r="AB175" s="23">
        <f>EXP(-LN(2)/2)*AB174+(1-EXP(-LN(2)/2))/(LN(2)/2)*V175*Y175*VLOOKUP('Données projet'!$B$9,Paramètres!$A$1:$I$89,3,0)*0.475*44/12</f>
        <v>7.8160881094176533E-16</v>
      </c>
      <c r="AC175" s="24">
        <f t="shared" si="163"/>
        <v>31.047445188579395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projet'!$B$10,Paramètres!$A$1:$I$89,3,0)*VLOOKUP('Données projet'!$B$10,Paramètres!$A$1:$I$89,5,0)</f>
        <v>-2.1282176021486519E-13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420.68062999212015</v>
      </c>
      <c r="AO175" s="62">
        <f t="shared" si="144"/>
        <v>655.24090633185676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46.333974340894073</v>
      </c>
      <c r="AV175" s="23">
        <f>EXP(-LN(2)/25)*AV174+(1-EXP(-LN(2)/25))/(LN(2)/25)*Calculateur!AQ175*Calculateur!AS175*VLOOKUP('Données projet'!$B$10,Paramètres!$A$1:$I$89,3,0)*0.475*44/12</f>
        <v>4.7635381523398159</v>
      </c>
      <c r="AW175" s="23">
        <f>EXP(-LN(2)/2)*AW174+(1-EXP(-LN(2)/2))/(LN(2)/2)*AQ175*AT175*VLOOKUP('Données projet'!$B$10,Paramètres!$A$1:$I$89,3,0)*0.475*44/12</f>
        <v>2.5691645317140638E-13</v>
      </c>
      <c r="AX175" s="23">
        <f t="shared" si="166"/>
        <v>51.097512493234149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3.6666666666666665</v>
      </c>
      <c r="BD175" s="13">
        <f>IF('Données projet'!$A$88&gt;35,BD174+BC175-BL174,IF(A175&lt;'Données projet'!$A$88,$BA$205^A175,IF(A175='Données projet'!$A$88,'Données projet'!$B$88,BD174+BC175-BL174)))</f>
        <v>211.66666666666671</v>
      </c>
      <c r="BE175" s="14">
        <f>BD175*VLOOKUP('Données projet'!$B$11,Paramètres!$A$1:$I$89,3,0)*VLOOKUP('Données projet'!$B$11,Paramètres!$A$1:$I$89,5,0)</f>
        <v>191.51600000000002</v>
      </c>
      <c r="BF175" s="14">
        <f t="shared" si="167"/>
        <v>47.874963744275412</v>
      </c>
      <c r="BG175" s="22">
        <f t="shared" si="168"/>
        <v>416.93926185461305</v>
      </c>
      <c r="BH175" s="62">
        <f t="shared" si="116"/>
        <v>710.27259518794631</v>
      </c>
      <c r="BI175" s="62">
        <f ca="1">AVERAGE(OFFSET($BH$3,0,0,'Données projet'!$E$11+1,1))-AVERAGE(OFFSET($H$3,0,0,'Données projet'!$E$11+1,1))</f>
        <v>138.3429338270858</v>
      </c>
      <c r="BJ175" s="62">
        <f t="shared" si="146"/>
        <v>88.30225651635925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33.610447976290843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33.610447976290843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3.6666666666666665</v>
      </c>
      <c r="BY175" s="13">
        <f>IF('Données projet'!$A$114&gt;35,BY174+BX175-CG174,IF(A175&lt;'Données projet'!$A$114,$BV$205^A175,IF(A175='Données projet'!$A$114,'Données projet'!$B$114,BY174+BX175-CG174)))</f>
        <v>211.66666666666671</v>
      </c>
      <c r="BZ175" s="14">
        <f>BY175*VLOOKUP('Données projet'!$B$12,Paramètres!$A$1:$I$89,3,0)*VLOOKUP('Données projet'!$B$12,Paramètres!$A$1:$I$89,5,0)</f>
        <v>178.30800000000008</v>
      </c>
      <c r="CA175" s="14">
        <f t="shared" si="170"/>
        <v>44.945540673660325</v>
      </c>
      <c r="CB175" s="22">
        <f t="shared" si="171"/>
        <v>388.83325000662518</v>
      </c>
      <c r="CC175" s="62">
        <f t="shared" si="119"/>
        <v>682.16658333995849</v>
      </c>
      <c r="CD175" s="62">
        <f ca="1">AVERAGE(OFFSET($CC$3,0,0,'Données projet'!$E$12+1,1))-AVERAGE(OFFSET($H$3,0,0,'Données projet'!$E$12+1,1))</f>
        <v>122.57815304102127</v>
      </c>
      <c r="CE175" s="62">
        <f t="shared" si="148"/>
        <v>80.106609825870578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31.292486046891476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31.292486046891476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-3.7243808037601412E-14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199.99826357281154</v>
      </c>
      <c r="CZ175" s="62">
        <f t="shared" si="150"/>
        <v>214.67424457475136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10.150767693230778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10.150767693230778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-5.6843418860808015E-14</v>
      </c>
      <c r="DP175" s="18">
        <f>DO175*VLOOKUP('Données projet'!$B$14,Paramètres!$A$1:$I$89,3,0)*VLOOKUP('Données projet'!$B$14,Paramètres!$A$1:$I$89,5,0)</f>
        <v>-4.5224624045658861E-14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248.15263300983543</v>
      </c>
      <c r="DU175" s="62">
        <f t="shared" si="152"/>
        <v>266.46511459244618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15.192428059137754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15.192428059137754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-5.6843418860808015E-14</v>
      </c>
      <c r="EK175" s="18">
        <f>EJ175*VLOOKUP('Données projet'!$B$15,Paramètres!$A$1:$I$89,3,0)*VLOOKUP('Données projet'!$B$15,Paramètres!$A$1:$I$89,5,0)</f>
        <v>-3.813056537183002E-14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205.35893113421139</v>
      </c>
      <c r="EP175" s="62">
        <f t="shared" si="154"/>
        <v>220.4399811285175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12.809302089076937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12.809302089076937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382.55387448074327</v>
      </c>
      <c r="T176" s="62">
        <f t="shared" si="142"/>
        <v>476.29465646955543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27.608306908876415</v>
      </c>
      <c r="AA176" s="23">
        <f>EXP(-LN(2)/25)*AA175+(1-EXP(-LN(2)/25))/(LN(2)/25)*Calculateur!V176*Calculateur!X176*VLOOKUP('Données projet'!$B$9,Paramètres!$A$1:$I$89,3,0)*0.475*44/12</f>
        <v>2.8079845181352683</v>
      </c>
      <c r="AB176" s="23">
        <f>EXP(-LN(2)/2)*AB175+(1-EXP(-LN(2)/2))/(LN(2)/2)*V176*Y176*VLOOKUP('Données projet'!$B$9,Paramètres!$A$1:$I$89,3,0)*0.475*44/12</f>
        <v>5.5268089045207644E-16</v>
      </c>
      <c r="AC176" s="24">
        <f t="shared" si="163"/>
        <v>30.416291427011682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projet'!$B$10,Paramètres!$A$1:$I$89,3,0)*VLOOKUP('Données projet'!$B$10,Paramètres!$A$1:$I$89,5,0)</f>
        <v>-2.1282176021486519E-13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420.68062999212015</v>
      </c>
      <c r="AO176" s="62">
        <f t="shared" si="144"/>
        <v>655.24090633185676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45.425393365002954</v>
      </c>
      <c r="AV176" s="23">
        <f>EXP(-LN(2)/25)*AV175+(1-EXP(-LN(2)/25))/(LN(2)/25)*Calculateur!AQ176*Calculateur!AS176*VLOOKUP('Données projet'!$B$10,Paramètres!$A$1:$I$89,3,0)*0.475*44/12</f>
        <v>4.6332789510604995</v>
      </c>
      <c r="AW176" s="23">
        <f>EXP(-LN(2)/2)*AW175+(1-EXP(-LN(2)/2))/(LN(2)/2)*AQ176*AT176*VLOOKUP('Données projet'!$B$10,Paramètres!$A$1:$I$89,3,0)*0.475*44/12</f>
        <v>1.8166736623589754E-13</v>
      </c>
      <c r="AX176" s="23">
        <f t="shared" si="166"/>
        <v>50.058672316063635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3.6666666666666665</v>
      </c>
      <c r="BD176" s="13">
        <f>IF('Données projet'!$A$88&gt;35,BD175+BC176-BL175,IF(A176&lt;'Données projet'!$A$88,$BA$205^A176,IF(A176='Données projet'!$A$88,'Données projet'!$B$88,BD175+BC176-BL175)))</f>
        <v>215.33333333333337</v>
      </c>
      <c r="BE176" s="14">
        <f>BD176*VLOOKUP('Données projet'!$B$11,Paramètres!$A$1:$I$89,3,0)*VLOOKUP('Données projet'!$B$11,Paramètres!$A$1:$I$89,5,0)</f>
        <v>194.83360000000002</v>
      </c>
      <c r="BF176" s="14">
        <f t="shared" si="167"/>
        <v>48.607025725990866</v>
      </c>
      <c r="BG176" s="22">
        <f t="shared" si="168"/>
        <v>423.99242313943409</v>
      </c>
      <c r="BH176" s="62">
        <f t="shared" si="116"/>
        <v>717.32575647276735</v>
      </c>
      <c r="BI176" s="62">
        <f ca="1">AVERAGE(OFFSET($BH$3,0,0,'Données projet'!$E$11+1,1))-AVERAGE(OFFSET($H$3,0,0,'Données projet'!$E$11+1,1))</f>
        <v>138.3429338270858</v>
      </c>
      <c r="BJ176" s="62">
        <f t="shared" si="146"/>
        <v>88.30225651635925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32.951367591824805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32.951367591824805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3.6666666666666665</v>
      </c>
      <c r="BY176" s="13">
        <f>IF('Données projet'!$A$114&gt;35,BY175+BX176-CG175,IF(A176&lt;'Données projet'!$A$114,$BV$205^A176,IF(A176='Données projet'!$A$114,'Données projet'!$B$114,BY175+BX176-CG175)))</f>
        <v>215.33333333333337</v>
      </c>
      <c r="BZ176" s="14">
        <f>BY176*VLOOKUP('Données projet'!$B$12,Paramètres!$A$1:$I$89,3,0)*VLOOKUP('Données projet'!$B$12,Paramètres!$A$1:$I$89,5,0)</f>
        <v>181.39680000000004</v>
      </c>
      <c r="CA176" s="14">
        <f t="shared" si="170"/>
        <v>45.63280848550832</v>
      </c>
      <c r="CB176" s="22">
        <f t="shared" si="171"/>
        <v>395.40990144559373</v>
      </c>
      <c r="CC176" s="62">
        <f t="shared" si="119"/>
        <v>688.74323477892699</v>
      </c>
      <c r="CD176" s="62">
        <f ca="1">AVERAGE(OFFSET($CC$3,0,0,'Données projet'!$E$12+1,1))-AVERAGE(OFFSET($H$3,0,0,'Données projet'!$E$12+1,1))</f>
        <v>122.57815304102127</v>
      </c>
      <c r="CE176" s="62">
        <f t="shared" si="148"/>
        <v>80.106609825870578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30.678859482043784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30.678859482043784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-3.7243808037601412E-14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199.99826357281154</v>
      </c>
      <c r="CZ176" s="62">
        <f t="shared" si="150"/>
        <v>214.67424457475136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9.9517173301234685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9.9517173301234685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-5.6843418860808015E-14</v>
      </c>
      <c r="DP176" s="18">
        <f>DO176*VLOOKUP('Données projet'!$B$14,Paramètres!$A$1:$I$89,3,0)*VLOOKUP('Données projet'!$B$14,Paramètres!$A$1:$I$89,5,0)</f>
        <v>-4.5224624045658861E-14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248.15263300983543</v>
      </c>
      <c r="DU176" s="62">
        <f t="shared" si="152"/>
        <v>266.46511459244618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14.894513811364192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14.894513811364192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-5.6843418860808015E-14</v>
      </c>
      <c r="EK176" s="18">
        <f>EJ176*VLOOKUP('Données projet'!$B$15,Paramètres!$A$1:$I$89,3,0)*VLOOKUP('Données projet'!$B$15,Paramètres!$A$1:$I$89,5,0)</f>
        <v>-3.813056537183002E-14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205.35893113421139</v>
      </c>
      <c r="EP176" s="62">
        <f t="shared" si="154"/>
        <v>220.4399811285175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12.558119488012952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12.558119488012952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382.55387448074327</v>
      </c>
      <c r="T177" s="62">
        <f t="shared" si="142"/>
        <v>476.29465646955543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27.066924849797811</v>
      </c>
      <c r="AA177" s="23">
        <f>EXP(-LN(2)/25)*AA176+(1-EXP(-LN(2)/25))/(LN(2)/25)*Calculateur!V177*Calculateur!X177*VLOOKUP('Données projet'!$B$9,Paramètres!$A$1:$I$89,3,0)*0.475*44/12</f>
        <v>2.7312000338213713</v>
      </c>
      <c r="AB177" s="23">
        <f>EXP(-LN(2)/2)*AB176+(1-EXP(-LN(2)/2))/(LN(2)/2)*V177*Y177*VLOOKUP('Données projet'!$B$9,Paramètres!$A$1:$I$89,3,0)*0.475*44/12</f>
        <v>3.9080440547088267E-16</v>
      </c>
      <c r="AC177" s="24">
        <f t="shared" si="163"/>
        <v>29.798124883619181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projet'!$B$10,Paramètres!$A$1:$I$89,3,0)*VLOOKUP('Données projet'!$B$10,Paramètres!$A$1:$I$89,5,0)</f>
        <v>-2.1282176021486519E-13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420.68062999212015</v>
      </c>
      <c r="AO177" s="62">
        <f t="shared" si="144"/>
        <v>655.24090633185676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44.534629107869385</v>
      </c>
      <c r="AV177" s="23">
        <f>EXP(-LN(2)/25)*AV176+(1-EXP(-LN(2)/25))/(LN(2)/25)*Calculateur!AQ177*Calculateur!AS177*VLOOKUP('Données projet'!$B$10,Paramètres!$A$1:$I$89,3,0)*0.475*44/12</f>
        <v>4.5065816944901993</v>
      </c>
      <c r="AW177" s="23">
        <f>EXP(-LN(2)/2)*AW176+(1-EXP(-LN(2)/2))/(LN(2)/2)*AQ177*AT177*VLOOKUP('Données projet'!$B$10,Paramètres!$A$1:$I$89,3,0)*0.475*44/12</f>
        <v>1.2845822658570319E-13</v>
      </c>
      <c r="AX177" s="23">
        <f t="shared" si="166"/>
        <v>49.041210802359714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3.6666666666666665</v>
      </c>
      <c r="BD177" s="13">
        <f>IF('Données projet'!$A$88&gt;35,BD176+BC177-BL176,IF(A177&lt;'Données projet'!$A$88,$BA$205^A177,IF(A177='Données projet'!$A$88,'Données projet'!$B$88,BD176+BC177-BL176)))</f>
        <v>219.00000000000003</v>
      </c>
      <c r="BE177" s="14">
        <f>BD177*VLOOKUP('Données projet'!$B$11,Paramètres!$A$1:$I$89,3,0)*VLOOKUP('Données projet'!$B$11,Paramètres!$A$1:$I$89,5,0)</f>
        <v>198.15120000000002</v>
      </c>
      <c r="BF177" s="14">
        <f t="shared" si="167"/>
        <v>49.337638092068957</v>
      </c>
      <c r="BG177" s="22">
        <f t="shared" si="168"/>
        <v>431.04305967702015</v>
      </c>
      <c r="BH177" s="62">
        <f t="shared" si="116"/>
        <v>724.37639301035347</v>
      </c>
      <c r="BI177" s="62">
        <f ca="1">AVERAGE(OFFSET($BH$3,0,0,'Données projet'!$E$11+1,1))-AVERAGE(OFFSET($H$3,0,0,'Données projet'!$E$11+1,1))</f>
        <v>138.3429338270858</v>
      </c>
      <c r="BJ177" s="62">
        <f t="shared" si="146"/>
        <v>88.30225651635925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32.305211371698803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32.305211371698803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3.6666666666666665</v>
      </c>
      <c r="BY177" s="13">
        <f>IF('Données projet'!$A$114&gt;35,BY176+BX177-CG176,IF(A177&lt;'Données projet'!$A$114,$BV$205^A177,IF(A177='Données projet'!$A$114,'Données projet'!$B$114,BY176+BX177-CG176)))</f>
        <v>219.00000000000003</v>
      </c>
      <c r="BZ177" s="14">
        <f>BY177*VLOOKUP('Données projet'!$B$12,Paramètres!$A$1:$I$89,3,0)*VLOOKUP('Données projet'!$B$12,Paramètres!$A$1:$I$89,5,0)</f>
        <v>184.48560000000003</v>
      </c>
      <c r="CA177" s="14">
        <f t="shared" si="170"/>
        <v>46.318715382308234</v>
      </c>
      <c r="CB177" s="22">
        <f t="shared" si="171"/>
        <v>401.98418262418681</v>
      </c>
      <c r="CC177" s="62">
        <f t="shared" si="119"/>
        <v>695.31751595752007</v>
      </c>
      <c r="CD177" s="62">
        <f ca="1">AVERAGE(OFFSET($CC$3,0,0,'Données projet'!$E$12+1,1))-AVERAGE(OFFSET($H$3,0,0,'Données projet'!$E$12+1,1))</f>
        <v>122.57815304102127</v>
      </c>
      <c r="CE177" s="62">
        <f t="shared" si="148"/>
        <v>80.106609825870578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30.077265759857507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30.077265759857507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-3.7243808037601412E-14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199.99826357281154</v>
      </c>
      <c r="CZ177" s="62">
        <f t="shared" si="150"/>
        <v>214.67424457475136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9.7565702232279605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9.7565702232279605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-5.6843418860808015E-14</v>
      </c>
      <c r="DP177" s="18">
        <f>DO177*VLOOKUP('Données projet'!$B$14,Paramètres!$A$1:$I$89,3,0)*VLOOKUP('Données projet'!$B$14,Paramètres!$A$1:$I$89,5,0)</f>
        <v>-4.5224624045658861E-14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248.15263300983543</v>
      </c>
      <c r="DU177" s="62">
        <f t="shared" si="152"/>
        <v>266.46511459244618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14.602441480279719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14.602441480279719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-5.6843418860808015E-14</v>
      </c>
      <c r="EK177" s="18">
        <f>EJ177*VLOOKUP('Données projet'!$B$15,Paramètres!$A$1:$I$89,3,0)*VLOOKUP('Données projet'!$B$15,Paramètres!$A$1:$I$89,5,0)</f>
        <v>-3.813056537183002E-14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205.35893113421139</v>
      </c>
      <c r="EP177" s="62">
        <f t="shared" si="154"/>
        <v>220.4399811285175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12.311862424549574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12.311862424549574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382.55387448074327</v>
      </c>
      <c r="T178" s="62">
        <f t="shared" si="142"/>
        <v>476.29465646955543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26.536158962687288</v>
      </c>
      <c r="AA178" s="23">
        <f>EXP(-LN(2)/25)*AA177+(1-EXP(-LN(2)/25))/(LN(2)/25)*Calculateur!V178*Calculateur!X178*VLOOKUP('Données projet'!$B$9,Paramètres!$A$1:$I$89,3,0)*0.475*44/12</f>
        <v>2.6565152252689583</v>
      </c>
      <c r="AB178" s="23">
        <f>EXP(-LN(2)/2)*AB177+(1-EXP(-LN(2)/2))/(LN(2)/2)*V178*Y178*VLOOKUP('Données projet'!$B$9,Paramètres!$A$1:$I$89,3,0)*0.475*44/12</f>
        <v>2.7634044522603822E-16</v>
      </c>
      <c r="AC178" s="24">
        <f t="shared" si="163"/>
        <v>29.192674187956246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projet'!$B$10,Paramètres!$A$1:$I$89,3,0)*VLOOKUP('Données projet'!$B$10,Paramètres!$A$1:$I$89,5,0)</f>
        <v>-2.1282176021486519E-13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420.68062999212015</v>
      </c>
      <c r="AO178" s="62">
        <f t="shared" si="144"/>
        <v>655.24090633185676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43.661332194505654</v>
      </c>
      <c r="AV178" s="23">
        <f>EXP(-LN(2)/25)*AV177+(1-EXP(-LN(2)/25))/(LN(2)/25)*Calculateur!AQ178*Calculateur!AS178*VLOOKUP('Données projet'!$B$10,Paramètres!$A$1:$I$89,3,0)*0.475*44/12</f>
        <v>4.3833489810635333</v>
      </c>
      <c r="AW178" s="23">
        <f>EXP(-LN(2)/2)*AW177+(1-EXP(-LN(2)/2))/(LN(2)/2)*AQ178*AT178*VLOOKUP('Données projet'!$B$10,Paramètres!$A$1:$I$89,3,0)*0.475*44/12</f>
        <v>9.0833683117948768E-14</v>
      </c>
      <c r="AX178" s="23">
        <f t="shared" si="166"/>
        <v>48.044681175569281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3.6666666666666665</v>
      </c>
      <c r="BD178" s="13">
        <f>IF('Données projet'!$A$88&gt;35,BD177+BC178-BL177,IF(A178&lt;'Données projet'!$A$88,$BA$205^A178,IF(A178='Données projet'!$A$88,'Données projet'!$B$88,BD177+BC178-BL177)))</f>
        <v>222.66666666666669</v>
      </c>
      <c r="BE178" s="14">
        <f>BD178*VLOOKUP('Données projet'!$B$11,Paramètres!$A$1:$I$89,3,0)*VLOOKUP('Données projet'!$B$11,Paramètres!$A$1:$I$89,5,0)</f>
        <v>201.46880000000002</v>
      </c>
      <c r="BF178" s="14">
        <f t="shared" si="167"/>
        <v>50.066827914349915</v>
      </c>
      <c r="BG178" s="22">
        <f t="shared" si="168"/>
        <v>438.09121861749276</v>
      </c>
      <c r="BH178" s="62">
        <f t="shared" si="116"/>
        <v>731.42455195082607</v>
      </c>
      <c r="BI178" s="62">
        <f ca="1">AVERAGE(OFFSET($BH$3,0,0,'Données projet'!$E$11+1,1))-AVERAGE(OFFSET($H$3,0,0,'Données projet'!$E$11+1,1))</f>
        <v>138.3429338270858</v>
      </c>
      <c r="BJ178" s="62">
        <f t="shared" si="146"/>
        <v>88.30225651635925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31.671725880933096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31.671725880933096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3.6666666666666665</v>
      </c>
      <c r="BY178" s="13">
        <f>IF('Données projet'!$A$114&gt;35,BY177+BX178-CG177,IF(A178&lt;'Données projet'!$A$114,$BV$205^A178,IF(A178='Données projet'!$A$114,'Données projet'!$B$114,BY177+BX178-CG177)))</f>
        <v>222.66666666666669</v>
      </c>
      <c r="BZ178" s="14">
        <f>BY178*VLOOKUP('Données projet'!$B$12,Paramètres!$A$1:$I$89,3,0)*VLOOKUP('Données projet'!$B$12,Paramètres!$A$1:$I$89,5,0)</f>
        <v>187.57440000000005</v>
      </c>
      <c r="CA178" s="14">
        <f t="shared" si="170"/>
        <v>47.003286779400241</v>
      </c>
      <c r="CB178" s="22">
        <f t="shared" si="171"/>
        <v>408.55613780745551</v>
      </c>
      <c r="CC178" s="62">
        <f t="shared" si="119"/>
        <v>701.88947114078883</v>
      </c>
      <c r="CD178" s="62">
        <f ca="1">AVERAGE(OFFSET($CC$3,0,0,'Données projet'!$E$12+1,1))-AVERAGE(OFFSET($H$3,0,0,'Données projet'!$E$12+1,1))</f>
        <v>122.57815304102127</v>
      </c>
      <c r="CE178" s="62">
        <f t="shared" si="148"/>
        <v>80.106609825870578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29.487468923627365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29.487468923627365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-3.7243808037601412E-14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199.99826357281154</v>
      </c>
      <c r="CZ178" s="62">
        <f t="shared" si="150"/>
        <v>214.67424457475136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9.5652498320706911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9.5652498320706911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-5.6843418860808015E-14</v>
      </c>
      <c r="DP178" s="18">
        <f>DO178*VLOOKUP('Données projet'!$B$14,Paramètres!$A$1:$I$89,3,0)*VLOOKUP('Données projet'!$B$14,Paramètres!$A$1:$I$89,5,0)</f>
        <v>-4.5224624045658861E-14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248.15263300983543</v>
      </c>
      <c r="DU178" s="62">
        <f t="shared" si="152"/>
        <v>266.46511459244618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14.316096509461282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14.316096509461282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-5.6843418860808015E-14</v>
      </c>
      <c r="EK178" s="18">
        <f>EJ178*VLOOKUP('Données projet'!$B$15,Paramètres!$A$1:$I$89,3,0)*VLOOKUP('Données projet'!$B$15,Paramètres!$A$1:$I$89,5,0)</f>
        <v>-3.813056537183002E-14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205.35893113421139</v>
      </c>
      <c r="EP178" s="62">
        <f t="shared" si="154"/>
        <v>220.4399811285175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12.070434311898735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12.070434311898735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382.55387448074327</v>
      </c>
      <c r="T179" s="62">
        <f t="shared" si="142"/>
        <v>476.29465646955543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26.015801070887775</v>
      </c>
      <c r="AA179" s="23">
        <f>EXP(-LN(2)/25)*AA178+(1-EXP(-LN(2)/25))/(LN(2)/25)*Calculateur!V179*Calculateur!X179*VLOOKUP('Données projet'!$B$9,Paramètres!$A$1:$I$89,3,0)*0.475*44/12</f>
        <v>2.5838726767339146</v>
      </c>
      <c r="AB179" s="23">
        <f>EXP(-LN(2)/2)*AB178+(1-EXP(-LN(2)/2))/(LN(2)/2)*V179*Y179*VLOOKUP('Données projet'!$B$9,Paramètres!$A$1:$I$89,3,0)*0.475*44/12</f>
        <v>1.9540220273544133E-16</v>
      </c>
      <c r="AC179" s="24">
        <f t="shared" si="163"/>
        <v>28.59967374762169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projet'!$B$10,Paramètres!$A$1:$I$89,3,0)*VLOOKUP('Données projet'!$B$10,Paramètres!$A$1:$I$89,5,0)</f>
        <v>-2.1282176021486519E-13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420.68062999212015</v>
      </c>
      <c r="AO179" s="62">
        <f t="shared" si="144"/>
        <v>655.24090633185676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42.805160100954467</v>
      </c>
      <c r="AV179" s="23">
        <f>EXP(-LN(2)/25)*AV178+(1-EXP(-LN(2)/25))/(LN(2)/25)*Calculateur!AQ179*Calculateur!AS179*VLOOKUP('Données projet'!$B$10,Paramètres!$A$1:$I$89,3,0)*0.475*44/12</f>
        <v>4.263486072666046</v>
      </c>
      <c r="AW179" s="23">
        <f>EXP(-LN(2)/2)*AW178+(1-EXP(-LN(2)/2))/(LN(2)/2)*AQ179*AT179*VLOOKUP('Données projet'!$B$10,Paramètres!$A$1:$I$89,3,0)*0.475*44/12</f>
        <v>6.4229113292851595E-14</v>
      </c>
      <c r="AX179" s="23">
        <f t="shared" si="166"/>
        <v>47.068646173620579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3.6666666666666665</v>
      </c>
      <c r="BD179" s="13">
        <f>IF('Données projet'!$A$88&gt;35,BD178+BC179-BL178,IF(A179&lt;'Données projet'!$A$88,$BA$205^A179,IF(A179='Données projet'!$A$88,'Données projet'!$B$88,BD178+BC179-BL178)))</f>
        <v>226.33333333333334</v>
      </c>
      <c r="BE179" s="14">
        <f>BD179*VLOOKUP('Données projet'!$B$11,Paramètres!$A$1:$I$89,3,0)*VLOOKUP('Données projet'!$B$11,Paramètres!$A$1:$I$89,5,0)</f>
        <v>204.78640000000001</v>
      </c>
      <c r="BF179" s="14">
        <f t="shared" si="167"/>
        <v>50.79462132197235</v>
      </c>
      <c r="BG179" s="22">
        <f t="shared" si="168"/>
        <v>445.13694546910187</v>
      </c>
      <c r="BH179" s="62">
        <f t="shared" si="116"/>
        <v>738.47027880243513</v>
      </c>
      <c r="BI179" s="62">
        <f ca="1">AVERAGE(OFFSET($BH$3,0,0,'Données projet'!$E$11+1,1))-AVERAGE(OFFSET($H$3,0,0,'Données projet'!$E$11+1,1))</f>
        <v>138.3429338270858</v>
      </c>
      <c r="BJ179" s="62">
        <f t="shared" si="146"/>
        <v>88.30225651635925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31.050662654253305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31.050662654253305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3.6666666666666665</v>
      </c>
      <c r="BY179" s="13">
        <f>IF('Données projet'!$A$114&gt;35,BY178+BX179-CG178,IF(A179&lt;'Données projet'!$A$114,$BV$205^A179,IF(A179='Données projet'!$A$114,'Données projet'!$B$114,BY178+BX179-CG178)))</f>
        <v>226.33333333333334</v>
      </c>
      <c r="BZ179" s="14">
        <f>BY179*VLOOKUP('Données projet'!$B$12,Paramètres!$A$1:$I$89,3,0)*VLOOKUP('Données projet'!$B$12,Paramètres!$A$1:$I$89,5,0)</f>
        <v>190.66320000000002</v>
      </c>
      <c r="CA179" s="14">
        <f t="shared" si="170"/>
        <v>47.686547207106102</v>
      </c>
      <c r="CB179" s="22">
        <f t="shared" si="171"/>
        <v>415.12580971904316</v>
      </c>
      <c r="CC179" s="62">
        <f t="shared" si="119"/>
        <v>708.45914305237648</v>
      </c>
      <c r="CD179" s="62">
        <f ca="1">AVERAGE(OFFSET($CC$3,0,0,'Données projet'!$E$12+1,1))-AVERAGE(OFFSET($H$3,0,0,'Données projet'!$E$12+1,1))</f>
        <v>122.57815304102127</v>
      </c>
      <c r="CE179" s="62">
        <f t="shared" si="148"/>
        <v>80.106609825870578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28.909237643615146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28.909237643615146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-3.7243808037601412E-14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199.99826357281154</v>
      </c>
      <c r="CZ179" s="62">
        <f t="shared" si="150"/>
        <v>214.67424457475136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9.3776811170901002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9.3776811170901002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-5.6843418860808015E-14</v>
      </c>
      <c r="DP179" s="18">
        <f>DO179*VLOOKUP('Données projet'!$B$14,Paramètres!$A$1:$I$89,3,0)*VLOOKUP('Données projet'!$B$14,Paramètres!$A$1:$I$89,5,0)</f>
        <v>-4.5224624045658861E-14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248.15263300983543</v>
      </c>
      <c r="DU179" s="62">
        <f t="shared" si="152"/>
        <v>266.46511459244618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14.035366588867408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14.035366588867408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-5.6843418860808015E-14</v>
      </c>
      <c r="EK179" s="18">
        <f>EJ179*VLOOKUP('Données projet'!$B$15,Paramètres!$A$1:$I$89,3,0)*VLOOKUP('Données projet'!$B$15,Paramètres!$A$1:$I$89,5,0)</f>
        <v>-3.813056537183002E-14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205.35893113421139</v>
      </c>
      <c r="EP179" s="62">
        <f t="shared" si="154"/>
        <v>220.4399811285175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11.833740457280371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11.833740457280371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382.55387448074327</v>
      </c>
      <c r="T180" s="62">
        <f t="shared" si="142"/>
        <v>476.29465646955543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25.505647079959477</v>
      </c>
      <c r="AA180" s="23">
        <f>EXP(-LN(2)/25)*AA179+(1-EXP(-LN(2)/25))/(LN(2)/25)*Calculateur!V180*Calculateur!X180*VLOOKUP('Données projet'!$B$9,Paramètres!$A$1:$I$89,3,0)*0.475*44/12</f>
        <v>2.5132165425086672</v>
      </c>
      <c r="AB180" s="23">
        <f>EXP(-LN(2)/2)*AB179+(1-EXP(-LN(2)/2))/(LN(2)/2)*V180*Y180*VLOOKUP('Données projet'!$B$9,Paramètres!$A$1:$I$89,3,0)*0.475*44/12</f>
        <v>1.3817022261301911E-16</v>
      </c>
      <c r="AC180" s="24">
        <f t="shared" si="163"/>
        <v>28.018863622468146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projet'!$B$10,Paramètres!$A$1:$I$89,3,0)*VLOOKUP('Données projet'!$B$10,Paramètres!$A$1:$I$89,5,0)</f>
        <v>-2.1282176021486519E-13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420.68062999212015</v>
      </c>
      <c r="AO180" s="62">
        <f t="shared" si="144"/>
        <v>655.24090633185676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41.965777019944404</v>
      </c>
      <c r="AV180" s="23">
        <f>EXP(-LN(2)/25)*AV179+(1-EXP(-LN(2)/25))/(LN(2)/25)*Calculateur!AQ180*Calculateur!AS180*VLOOKUP('Données projet'!$B$10,Paramètres!$A$1:$I$89,3,0)*0.475*44/12</f>
        <v>4.1469008218020047</v>
      </c>
      <c r="AW180" s="23">
        <f>EXP(-LN(2)/2)*AW179+(1-EXP(-LN(2)/2))/(LN(2)/2)*AQ180*AT180*VLOOKUP('Données projet'!$B$10,Paramètres!$A$1:$I$89,3,0)*0.475*44/12</f>
        <v>4.5416841558974384E-14</v>
      </c>
      <c r="AX180" s="23">
        <f t="shared" si="166"/>
        <v>46.112677841746454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>
        <f>VLOOKUP(A180,'Données projet'!$A$87:$I$107,2,0)</f>
        <v>230</v>
      </c>
      <c r="BB180" s="13">
        <f>VLOOKUP(A180,'Données projet'!$A$87:$I$107,9,0)</f>
        <v>3.6666666666666665</v>
      </c>
      <c r="BC180" s="13">
        <f t="array" ref="BC180">INDEX(BB:BB,MIN(IF(ISNUMBER(BB180:BB376),ROW(BB180:BB376),"")))</f>
        <v>3.6666666666666665</v>
      </c>
      <c r="BD180" s="13">
        <f>IF('Données projet'!$A$88&gt;35,BD179+BC180-BL179,IF(A180&lt;'Données projet'!$A$88,$BA$205^A180,IF(A180='Données projet'!$A$88,'Données projet'!$B$88,BD179+BC180-BL179)))</f>
        <v>230</v>
      </c>
      <c r="BE180" s="14">
        <f>BD180*VLOOKUP('Données projet'!$B$11,Paramètres!$A$1:$I$89,3,0)*VLOOKUP('Données projet'!$B$11,Paramètres!$A$1:$I$89,5,0)</f>
        <v>208.10399999999998</v>
      </c>
      <c r="BF180" s="14">
        <f t="shared" si="167"/>
        <v>51.52104354893045</v>
      </c>
      <c r="BG180" s="22">
        <f t="shared" si="168"/>
        <v>452.18028418105382</v>
      </c>
      <c r="BH180" s="62">
        <f t="shared" si="116"/>
        <v>745.51361751438708</v>
      </c>
      <c r="BI180" s="62">
        <f ca="1">AVERAGE(OFFSET($BH$3,0,0,'Données projet'!$E$11+1,1))-AVERAGE(OFFSET($H$3,0,0,'Données projet'!$E$11+1,1))</f>
        <v>138.3429338270858</v>
      </c>
      <c r="BJ180" s="62">
        <f t="shared" si="146"/>
        <v>88.30225651635925</v>
      </c>
      <c r="BK180" s="16" t="str">
        <f>IF(ISNA(VLOOKUP(A180,'Données projet'!$A$87:$I$107,3,0)),0,VLOOKUP(A180,'Données projet'!$A$87:$I$107,3,0))</f>
        <v>CR</v>
      </c>
      <c r="BL180" s="16">
        <f>IF(ISNA(VLOOKUP(A180,'Données projet'!$A$87:$I$107,4,0)),0,VLOOKUP(A180,'Données projet'!$A$87:$I$107,4,0))</f>
        <v>230</v>
      </c>
      <c r="BM180" s="17">
        <f>IF(ISNA(VLOOKUP(A180,'Données projet'!$A$87:$I$107,5,0)),0%,VLOOKUP(A180,'Données projet'!$A$87:$I$107,5,0)*VLOOKUP('Données projet'!$B$11,Paramètres!$A$1:$I$89,7,0))</f>
        <v>0.38700000000000001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119.47221474135733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119.47221474135733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>
        <f>VLOOKUP(A180,'Données projet'!$A$113:$I$133,2,0)</f>
        <v>230</v>
      </c>
      <c r="BW180" s="13">
        <f>VLOOKUP(A180,'Données projet'!$A$113:$I$133,9,0)</f>
        <v>3.6666666666666665</v>
      </c>
      <c r="BX180" s="13">
        <f t="array" ref="BX180">INDEX(BW:BW,MIN(IF(ISNUMBER(BW180:BW376),ROW(BW180:BW376),"")))</f>
        <v>3.6666666666666665</v>
      </c>
      <c r="BY180" s="13">
        <f>IF('Données projet'!$A$114&gt;35,BY179+BX180-CG179,IF(A180&lt;'Données projet'!$A$114,$BV$205^A180,IF(A180='Données projet'!$A$114,'Données projet'!$B$114,BY179+BX180-CG179)))</f>
        <v>230</v>
      </c>
      <c r="BZ180" s="14">
        <f>BY180*VLOOKUP('Données projet'!$B$12,Paramètres!$A$1:$I$89,3,0)*VLOOKUP('Données projet'!$B$12,Paramètres!$A$1:$I$89,5,0)</f>
        <v>193.75200000000001</v>
      </c>
      <c r="CA180" s="14">
        <f t="shared" si="170"/>
        <v>48.368520355376113</v>
      </c>
      <c r="CB180" s="22">
        <f t="shared" si="171"/>
        <v>421.69323961894673</v>
      </c>
      <c r="CC180" s="62">
        <f t="shared" si="119"/>
        <v>715.02657295228005</v>
      </c>
      <c r="CD180" s="62">
        <f ca="1">AVERAGE(OFFSET($CC$3,0,0,'Données projet'!$E$12+1,1))-AVERAGE(OFFSET($H$3,0,0,'Données projet'!$E$12+1,1))</f>
        <v>122.57815304102127</v>
      </c>
      <c r="CE180" s="62">
        <f t="shared" si="148"/>
        <v>80.106609825870578</v>
      </c>
      <c r="CF180" s="16" t="str">
        <f>IF(ISNA(VLOOKUP(A180,'Données projet'!$A$113:$I$133,3,0)),0,VLOOKUP(A180,'Données projet'!$A$113:$I$133,3,0))</f>
        <v>CR</v>
      </c>
      <c r="CG180" s="16">
        <f>IF(ISNA(VLOOKUP(A180,'Données projet'!$A$113:$I$133,4,0)),0,VLOOKUP(A180,'Données projet'!$A$113:$I$133,4,0))</f>
        <v>230</v>
      </c>
      <c r="CH180" s="17">
        <f>IF(ISNA(VLOOKUP(A180,'Données projet'!$A$113:$I$133,5,0)),0%,VLOOKUP(A180,'Données projet'!$A$113:$I$133,5,0)*VLOOKUP('Données projet'!$B$12,Paramètres!$A$1:$I$89,7,0))</f>
        <v>0.38700000000000001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111.2327516557465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111.2327516557465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-3.7243808037601412E-14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199.99826357281154</v>
      </c>
      <c r="CZ180" s="62">
        <f t="shared" si="150"/>
        <v>214.67424457475136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9.1937905102046589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9.1937905102046589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-5.6843418860808015E-14</v>
      </c>
      <c r="DP180" s="18">
        <f>DO180*VLOOKUP('Données projet'!$B$14,Paramètres!$A$1:$I$89,3,0)*VLOOKUP('Données projet'!$B$14,Paramètres!$A$1:$I$89,5,0)</f>
        <v>-4.5224624045658861E-14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248.15263300983543</v>
      </c>
      <c r="DU180" s="62">
        <f t="shared" si="152"/>
        <v>266.46511459244618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13.760141610788036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13.760141610788036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-5.6843418860808015E-14</v>
      </c>
      <c r="EK180" s="18">
        <f>EJ180*VLOOKUP('Données projet'!$B$15,Paramètres!$A$1:$I$89,3,0)*VLOOKUP('Données projet'!$B$15,Paramètres!$A$1:$I$89,5,0)</f>
        <v>-3.813056537183002E-14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205.35893113421139</v>
      </c>
      <c r="EP180" s="62">
        <f t="shared" si="154"/>
        <v>220.4399811285175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11.601688024782076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11.601688024782076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382.55387448074327</v>
      </c>
      <c r="T181" s="62">
        <f t="shared" si="142"/>
        <v>476.29465646955543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25.005496897630074</v>
      </c>
      <c r="AA181" s="23">
        <f>EXP(-LN(2)/25)*AA180+(1-EXP(-LN(2)/25))/(LN(2)/25)*Calculateur!V181*Calculateur!X181*VLOOKUP('Données projet'!$B$9,Paramètres!$A$1:$I$89,3,0)*0.475*44/12</f>
        <v>2.4444925039894536</v>
      </c>
      <c r="AB181" s="23">
        <f>EXP(-LN(2)/2)*AB180+(1-EXP(-LN(2)/2))/(LN(2)/2)*V181*Y181*VLOOKUP('Données projet'!$B$9,Paramètres!$A$1:$I$89,3,0)*0.475*44/12</f>
        <v>9.7701101367720667E-17</v>
      </c>
      <c r="AC181" s="24">
        <f t="shared" si="163"/>
        <v>27.449989401619529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projet'!$B$10,Paramètres!$A$1:$I$89,3,0)*VLOOKUP('Données projet'!$B$10,Paramètres!$A$1:$I$89,5,0)</f>
        <v>-2.1282176021486519E-13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420.68062999212015</v>
      </c>
      <c r="AO181" s="62">
        <f t="shared" si="144"/>
        <v>655.24090633185676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41.142853729179826</v>
      </c>
      <c r="AV181" s="23">
        <f>EXP(-LN(2)/25)*AV180+(1-EXP(-LN(2)/25))/(LN(2)/25)*Calculateur!AQ181*Calculateur!AS181*VLOOKUP('Données projet'!$B$10,Paramètres!$A$1:$I$89,3,0)*0.475*44/12</f>
        <v>4.0335036007537921</v>
      </c>
      <c r="AW181" s="23">
        <f>EXP(-LN(2)/2)*AW180+(1-EXP(-LN(2)/2))/(LN(2)/2)*AQ181*AT181*VLOOKUP('Données projet'!$B$10,Paramètres!$A$1:$I$89,3,0)*0.475*44/12</f>
        <v>3.2114556646425797E-14</v>
      </c>
      <c r="AX181" s="23">
        <f t="shared" si="166"/>
        <v>45.176357329933651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138.3429338270858</v>
      </c>
      <c r="BJ181" s="62">
        <f t="shared" si="146"/>
        <v>88.30225651635925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117.12943748113491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117.12943748113491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122.57815304102127</v>
      </c>
      <c r="CE181" s="62">
        <f t="shared" si="148"/>
        <v>80.106609825870578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109.05154524105666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109.05154524105666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-3.7243808037601412E-14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199.99826357281154</v>
      </c>
      <c r="CZ181" s="62">
        <f t="shared" si="150"/>
        <v>214.67424457475136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9.0135058859580468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9.0135058859580468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-5.6843418860808015E-14</v>
      </c>
      <c r="DP181" s="18">
        <f>DO181*VLOOKUP('Données projet'!$B$14,Paramètres!$A$1:$I$89,3,0)*VLOOKUP('Données projet'!$B$14,Paramètres!$A$1:$I$89,5,0)</f>
        <v>-4.5224624045658861E-14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248.15263300983543</v>
      </c>
      <c r="DU181" s="62">
        <f t="shared" si="152"/>
        <v>266.46511459244618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13.490313626658139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13.490313626658139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-5.6843418860808015E-14</v>
      </c>
      <c r="EK181" s="18">
        <f>EJ181*VLOOKUP('Données projet'!$B$15,Paramètres!$A$1:$I$89,3,0)*VLOOKUP('Données projet'!$B$15,Paramètres!$A$1:$I$89,5,0)</f>
        <v>-3.813056537183002E-14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205.35893113421139</v>
      </c>
      <c r="EP181" s="62">
        <f t="shared" si="154"/>
        <v>220.4399811285175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11.374185998947064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11.374185998947064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382.55387448074327</v>
      </c>
      <c r="T182" s="62">
        <f t="shared" si="142"/>
        <v>476.29465646955543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24.51515435531466</v>
      </c>
      <c r="AA182" s="23">
        <f>EXP(-LN(2)/25)*AA181+(1-EXP(-LN(2)/25))/(LN(2)/25)*Calculateur!V182*Calculateur!X182*VLOOKUP('Données projet'!$B$9,Paramètres!$A$1:$I$89,3,0)*0.475*44/12</f>
        <v>2.377647727917588</v>
      </c>
      <c r="AB182" s="23">
        <f>EXP(-LN(2)/2)*AB181+(1-EXP(-LN(2)/2))/(LN(2)/2)*V182*Y182*VLOOKUP('Données projet'!$B$9,Paramètres!$A$1:$I$89,3,0)*0.475*44/12</f>
        <v>6.9085111306509555E-17</v>
      </c>
      <c r="AC182" s="24">
        <f t="shared" si="163"/>
        <v>26.892802083232247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projet'!$B$10,Paramètres!$A$1:$I$89,3,0)*VLOOKUP('Données projet'!$B$10,Paramètres!$A$1:$I$89,5,0)</f>
        <v>-2.1282176021486519E-13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420.68062999212015</v>
      </c>
      <c r="AO182" s="62">
        <f t="shared" si="144"/>
        <v>655.24090633185676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40.336067462213492</v>
      </c>
      <c r="AV182" s="23">
        <f>EXP(-LN(2)/25)*AV181+(1-EXP(-LN(2)/25))/(LN(2)/25)*Calculateur!AQ182*Calculateur!AS182*VLOOKUP('Données projet'!$B$10,Paramètres!$A$1:$I$89,3,0)*0.475*44/12</f>
        <v>3.9232072326784442</v>
      </c>
      <c r="AW182" s="23">
        <f>EXP(-LN(2)/2)*AW181+(1-EXP(-LN(2)/2))/(LN(2)/2)*AQ182*AT182*VLOOKUP('Données projet'!$B$10,Paramètres!$A$1:$I$89,3,0)*0.475*44/12</f>
        <v>2.2708420779487192E-14</v>
      </c>
      <c r="AX182" s="23">
        <f t="shared" si="166"/>
        <v>44.259274694891957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138.3429338270858</v>
      </c>
      <c r="BJ182" s="62">
        <f t="shared" si="146"/>
        <v>88.30225651635925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114.83260065403242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114.83260065403242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122.57815304102127</v>
      </c>
      <c r="CE182" s="62">
        <f t="shared" si="148"/>
        <v>80.106609825870578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106.91311095375434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106.91311095375434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-3.7243808037601412E-14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199.99826357281154</v>
      </c>
      <c r="CZ182" s="62">
        <f t="shared" si="150"/>
        <v>214.67424457475136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8.8367565332301474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8.8367565332301474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-5.6843418860808015E-14</v>
      </c>
      <c r="DP182" s="18">
        <f>DO182*VLOOKUP('Données projet'!$B$14,Paramètres!$A$1:$I$89,3,0)*VLOOKUP('Données projet'!$B$14,Paramètres!$A$1:$I$89,5,0)</f>
        <v>-4.5224624045658861E-14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248.15263300983543</v>
      </c>
      <c r="DU182" s="62">
        <f t="shared" si="152"/>
        <v>266.46511459244618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13.22577680471821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13.22577680471821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-5.6843418860808015E-14</v>
      </c>
      <c r="EK182" s="18">
        <f>EJ182*VLOOKUP('Données projet'!$B$15,Paramètres!$A$1:$I$89,3,0)*VLOOKUP('Données projet'!$B$15,Paramètres!$A$1:$I$89,5,0)</f>
        <v>-3.813056537183002E-14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205.35893113421139</v>
      </c>
      <c r="EP182" s="62">
        <f t="shared" si="154"/>
        <v>220.4399811285175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11.151145149076143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11.151145149076143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382.55387448074327</v>
      </c>
      <c r="T183" s="62">
        <f t="shared" si="142"/>
        <v>476.29465646955543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24.034427131174635</v>
      </c>
      <c r="AA183" s="23">
        <f>EXP(-LN(2)/25)*AA182+(1-EXP(-LN(2)/25))/(LN(2)/25)*Calculateur!V183*Calculateur!X183*VLOOKUP('Données projet'!$B$9,Paramètres!$A$1:$I$89,3,0)*0.475*44/12</f>
        <v>2.3126308257626218</v>
      </c>
      <c r="AB183" s="23">
        <f>EXP(-LN(2)/2)*AB182+(1-EXP(-LN(2)/2))/(LN(2)/2)*V183*Y183*VLOOKUP('Données projet'!$B$9,Paramètres!$A$1:$I$89,3,0)*0.475*44/12</f>
        <v>4.8850550683860333E-17</v>
      </c>
      <c r="AC183" s="24">
        <f t="shared" si="163"/>
        <v>26.347057956937256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projet'!$B$10,Paramètres!$A$1:$I$89,3,0)*VLOOKUP('Données projet'!$B$10,Paramètres!$A$1:$I$89,5,0)</f>
        <v>-2.1282176021486519E-13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420.68062999212015</v>
      </c>
      <c r="AO183" s="62">
        <f t="shared" si="144"/>
        <v>655.24090633185676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39.545101781851336</v>
      </c>
      <c r="AV183" s="23">
        <f>EXP(-LN(2)/25)*AV182+(1-EXP(-LN(2)/25))/(LN(2)/25)*Calculateur!AQ183*Calculateur!AS183*VLOOKUP('Données projet'!$B$10,Paramètres!$A$1:$I$89,3,0)*0.475*44/12</f>
        <v>3.8159269245883505</v>
      </c>
      <c r="AW183" s="23">
        <f>EXP(-LN(2)/2)*AW182+(1-EXP(-LN(2)/2))/(LN(2)/2)*AQ183*AT183*VLOOKUP('Données projet'!$B$10,Paramètres!$A$1:$I$89,3,0)*0.475*44/12</f>
        <v>1.6057278323212899E-14</v>
      </c>
      <c r="AX183" s="23">
        <f t="shared" si="166"/>
        <v>43.361028706439704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138.3429338270858</v>
      </c>
      <c r="BJ183" s="62">
        <f t="shared" si="146"/>
        <v>88.30225651635925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112.58080339617727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112.58080339617727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122.57815304102127</v>
      </c>
      <c r="CE183" s="62">
        <f t="shared" si="148"/>
        <v>80.106609825870578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104.81661005850989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104.81661005850989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-3.7243808037601412E-14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199.99826357281154</v>
      </c>
      <c r="CZ183" s="62">
        <f t="shared" si="150"/>
        <v>214.67424457475136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8.6634731275027814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8.6634731275027814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-5.6843418860808015E-14</v>
      </c>
      <c r="DP183" s="18">
        <f>DO183*VLOOKUP('Données projet'!$B$14,Paramètres!$A$1:$I$89,3,0)*VLOOKUP('Données projet'!$B$14,Paramètres!$A$1:$I$89,5,0)</f>
        <v>-4.5224624045658861E-14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248.15263300983543</v>
      </c>
      <c r="DU183" s="62">
        <f t="shared" si="152"/>
        <v>266.46511459244618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12.966427388504995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12.966427388504995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-5.6843418860808015E-14</v>
      </c>
      <c r="EK183" s="18">
        <f>EJ183*VLOOKUP('Données projet'!$B$15,Paramètres!$A$1:$I$89,3,0)*VLOOKUP('Données projet'!$B$15,Paramètres!$A$1:$I$89,5,0)</f>
        <v>-3.813056537183002E-14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205.35893113421139</v>
      </c>
      <c r="EP183" s="62">
        <f t="shared" si="154"/>
        <v>220.4399811285175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10.932477994229705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10.932477994229705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382.55387448074327</v>
      </c>
      <c r="T184" s="62">
        <f t="shared" si="142"/>
        <v>476.29465646955543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23.563126674685339</v>
      </c>
      <c r="AA184" s="23">
        <f>EXP(-LN(2)/25)*AA183+(1-EXP(-LN(2)/25))/(LN(2)/25)*Calculateur!V184*Calculateur!X184*VLOOKUP('Données projet'!$B$9,Paramètres!$A$1:$I$89,3,0)*0.475*44/12</f>
        <v>2.2493918142161733</v>
      </c>
      <c r="AB184" s="23">
        <f>EXP(-LN(2)/2)*AB183+(1-EXP(-LN(2)/2))/(LN(2)/2)*V184*Y184*VLOOKUP('Données projet'!$B$9,Paramètres!$A$1:$I$89,3,0)*0.475*44/12</f>
        <v>3.4542555653254778E-17</v>
      </c>
      <c r="AC184" s="24">
        <f t="shared" si="163"/>
        <v>25.812518488901514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projet'!$B$10,Paramètres!$A$1:$I$89,3,0)*VLOOKUP('Données projet'!$B$10,Paramètres!$A$1:$I$89,5,0)</f>
        <v>-2.1282176021486519E-13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420.68062999212015</v>
      </c>
      <c r="AO184" s="62">
        <f t="shared" si="144"/>
        <v>655.24090633185676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38.769646456039652</v>
      </c>
      <c r="AV184" s="23">
        <f>EXP(-LN(2)/25)*AV183+(1-EXP(-LN(2)/25))/(LN(2)/25)*Calculateur!AQ184*Calculateur!AS184*VLOOKUP('Données projet'!$B$10,Paramètres!$A$1:$I$89,3,0)*0.475*44/12</f>
        <v>3.7115802021646065</v>
      </c>
      <c r="AW184" s="23">
        <f>EXP(-LN(2)/2)*AW183+(1-EXP(-LN(2)/2))/(LN(2)/2)*AQ184*AT184*VLOOKUP('Données projet'!$B$10,Paramètres!$A$1:$I$89,3,0)*0.475*44/12</f>
        <v>1.1354210389743596E-14</v>
      </c>
      <c r="AX184" s="23">
        <f t="shared" si="166"/>
        <v>42.481226658204271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138.3429338270858</v>
      </c>
      <c r="BJ184" s="62">
        <f t="shared" si="146"/>
        <v>88.30225651635925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110.37316250908796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110.37316250908796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122.57815304102127</v>
      </c>
      <c r="CE184" s="62">
        <f t="shared" si="148"/>
        <v>80.106609825870578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102.76122026708191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102.76122026708191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-3.7243808037601412E-14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199.99826357281154</v>
      </c>
      <c r="CZ184" s="62">
        <f t="shared" si="150"/>
        <v>214.67424457475136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8.4935877036692879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8.4935877036692879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-5.6843418860808015E-14</v>
      </c>
      <c r="DP184" s="18">
        <f>DO184*VLOOKUP('Données projet'!$B$14,Paramètres!$A$1:$I$89,3,0)*VLOOKUP('Données projet'!$B$14,Paramètres!$A$1:$I$89,5,0)</f>
        <v>-4.5224624045658861E-14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248.15263300983543</v>
      </c>
      <c r="DU184" s="62">
        <f t="shared" si="152"/>
        <v>266.46511459244618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12.712163656156196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12.712163656156196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-5.6843418860808015E-14</v>
      </c>
      <c r="EK184" s="18">
        <f>EJ184*VLOOKUP('Données projet'!$B$15,Paramètres!$A$1:$I$89,3,0)*VLOOKUP('Données projet'!$B$15,Paramètres!$A$1:$I$89,5,0)</f>
        <v>-3.813056537183002E-14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205.35893113421139</v>
      </c>
      <c r="EP184" s="62">
        <f t="shared" si="154"/>
        <v>220.4399811285175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10.718098768916011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10.718098768916011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382.55387448074327</v>
      </c>
      <c r="T185" s="62">
        <f t="shared" si="142"/>
        <v>476.29465646955543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23.101068132682904</v>
      </c>
      <c r="AA185" s="23">
        <f>EXP(-LN(2)/25)*AA184+(1-EXP(-LN(2)/25))/(LN(2)/25)*Calculateur!V185*Calculateur!X185*VLOOKUP('Données projet'!$B$9,Paramètres!$A$1:$I$89,3,0)*0.475*44/12</f>
        <v>2.1878820767660576</v>
      </c>
      <c r="AB185" s="23">
        <f>EXP(-LN(2)/2)*AB184+(1-EXP(-LN(2)/2))/(LN(2)/2)*V185*Y185*VLOOKUP('Données projet'!$B$9,Paramètres!$A$1:$I$89,3,0)*0.475*44/12</f>
        <v>2.4425275341930167E-17</v>
      </c>
      <c r="AC185" s="24">
        <f t="shared" si="163"/>
        <v>25.288950209448963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projet'!$B$10,Paramètres!$A$1:$I$89,3,0)*VLOOKUP('Données projet'!$B$10,Paramètres!$A$1:$I$89,5,0)</f>
        <v>-2.1282176021486519E-13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420.68062999212015</v>
      </c>
      <c r="AO185" s="62">
        <f t="shared" si="144"/>
        <v>655.24090633185676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38.00939733618609</v>
      </c>
      <c r="AV185" s="23">
        <f>EXP(-LN(2)/25)*AV184+(1-EXP(-LN(2)/25))/(LN(2)/25)*Calculateur!AQ185*Calculateur!AS185*VLOOKUP('Données projet'!$B$10,Paramètres!$A$1:$I$89,3,0)*0.475*44/12</f>
        <v>3.6100868463528952</v>
      </c>
      <c r="AW185" s="23">
        <f>EXP(-LN(2)/2)*AW184+(1-EXP(-LN(2)/2))/(LN(2)/2)*AQ185*AT185*VLOOKUP('Données projet'!$B$10,Paramètres!$A$1:$I$89,3,0)*0.475*44/12</f>
        <v>8.0286391616064494E-15</v>
      </c>
      <c r="AX185" s="23">
        <f t="shared" si="166"/>
        <v>41.61948418253899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138.3429338270858</v>
      </c>
      <c r="BJ185" s="62">
        <f t="shared" si="146"/>
        <v>88.30225651635925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108.20881211326649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108.20881211326649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122.57815304102127</v>
      </c>
      <c r="CE185" s="62">
        <f t="shared" si="148"/>
        <v>80.106609825870578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100.74613541579984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100.74613541579984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-3.7243808037601412E-14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199.99826357281154</v>
      </c>
      <c r="CZ185" s="62">
        <f t="shared" si="150"/>
        <v>214.67424457475136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8.3270336293772935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8.3270336293772935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-5.6843418860808015E-14</v>
      </c>
      <c r="DP185" s="18">
        <f>DO185*VLOOKUP('Données projet'!$B$14,Paramètres!$A$1:$I$89,3,0)*VLOOKUP('Données projet'!$B$14,Paramètres!$A$1:$I$89,5,0)</f>
        <v>-4.5224624045658861E-14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248.15263300983543</v>
      </c>
      <c r="DU185" s="62">
        <f t="shared" si="152"/>
        <v>266.46511459244618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12.462885880513193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12.462885880513193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-5.6843418860808015E-14</v>
      </c>
      <c r="EK185" s="18">
        <f>EJ185*VLOOKUP('Données projet'!$B$15,Paramètres!$A$1:$I$89,3,0)*VLOOKUP('Données projet'!$B$15,Paramètres!$A$1:$I$89,5,0)</f>
        <v>-3.813056537183002E-14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205.35893113421139</v>
      </c>
      <c r="EP185" s="62">
        <f t="shared" si="154"/>
        <v>220.4399811285175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10.507923389452303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10.507923389452303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382.55387448074327</v>
      </c>
      <c r="T186" s="62">
        <f t="shared" si="142"/>
        <v>476.29465646955543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22.648070276861255</v>
      </c>
      <c r="AA186" s="23">
        <f>EXP(-LN(2)/25)*AA185+(1-EXP(-LN(2)/25))/(LN(2)/25)*Calculateur!V186*Calculateur!X186*VLOOKUP('Données projet'!$B$9,Paramètres!$A$1:$I$89,3,0)*0.475*44/12</f>
        <v>2.128054326321172</v>
      </c>
      <c r="AB186" s="23">
        <f>EXP(-LN(2)/2)*AB185+(1-EXP(-LN(2)/2))/(LN(2)/2)*V186*Y186*VLOOKUP('Données projet'!$B$9,Paramètres!$A$1:$I$89,3,0)*0.475*44/12</f>
        <v>1.7271277826627389E-17</v>
      </c>
      <c r="AC186" s="24">
        <f t="shared" si="163"/>
        <v>24.776124603182428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projet'!$B$10,Paramètres!$A$1:$I$89,3,0)*VLOOKUP('Données projet'!$B$10,Paramètres!$A$1:$I$89,5,0)</f>
        <v>-2.1282176021486519E-13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420.68062999212015</v>
      </c>
      <c r="AO186" s="62">
        <f t="shared" si="144"/>
        <v>655.24090633185676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37.264056237866683</v>
      </c>
      <c r="AV186" s="23">
        <f>EXP(-LN(2)/25)*AV185+(1-EXP(-LN(2)/25))/(LN(2)/25)*Calculateur!AQ186*Calculateur!AS186*VLOOKUP('Données projet'!$B$10,Paramètres!$A$1:$I$89,3,0)*0.475*44/12</f>
        <v>3.5113688316931588</v>
      </c>
      <c r="AW186" s="23">
        <f>EXP(-LN(2)/2)*AW185+(1-EXP(-LN(2)/2))/(LN(2)/2)*AQ186*AT186*VLOOKUP('Données projet'!$B$10,Paramètres!$A$1:$I$89,3,0)*0.475*44/12</f>
        <v>5.677105194871798E-15</v>
      </c>
      <c r="AX186" s="23">
        <f t="shared" si="166"/>
        <v>40.775425069559851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138.3429338270858</v>
      </c>
      <c r="BJ186" s="62">
        <f t="shared" si="146"/>
        <v>88.30225651635925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106.08690330858369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106.08690330858369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122.57815304102127</v>
      </c>
      <c r="CE186" s="62">
        <f t="shared" si="148"/>
        <v>80.106609825870578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98.770565149371023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98.770565149371023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-3.7243808037601412E-14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199.99826357281154</v>
      </c>
      <c r="CZ186" s="62">
        <f t="shared" si="150"/>
        <v>214.67424457475136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8.1637455788942095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8.1637455788942095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-5.6843418860808015E-14</v>
      </c>
      <c r="DP186" s="18">
        <f>DO186*VLOOKUP('Données projet'!$B$14,Paramètres!$A$1:$I$89,3,0)*VLOOKUP('Données projet'!$B$14,Paramètres!$A$1:$I$89,5,0)</f>
        <v>-4.5224624045658861E-14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248.15263300983543</v>
      </c>
      <c r="DU186" s="62">
        <f t="shared" si="152"/>
        <v>266.46511459244618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12.21849629000612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12.21849629000612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-5.6843418860808015E-14</v>
      </c>
      <c r="EK186" s="18">
        <f>EJ186*VLOOKUP('Données projet'!$B$15,Paramètres!$A$1:$I$89,3,0)*VLOOKUP('Données projet'!$B$15,Paramètres!$A$1:$I$89,5,0)</f>
        <v>-3.813056537183002E-14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205.35893113421139</v>
      </c>
      <c r="EP186" s="62">
        <f t="shared" si="154"/>
        <v>220.4399811285175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10.301869420985556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10.301869420985556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382.55387448074327</v>
      </c>
      <c r="T187" s="62">
        <f t="shared" si="142"/>
        <v>476.29465646955543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22.203955432690858</v>
      </c>
      <c r="AA187" s="23">
        <f>EXP(-LN(2)/25)*AA186+(1-EXP(-LN(2)/25))/(LN(2)/25)*Calculateur!V187*Calculateur!X187*VLOOKUP('Données projet'!$B$9,Paramètres!$A$1:$I$89,3,0)*0.475*44/12</f>
        <v>2.0698625688584062</v>
      </c>
      <c r="AB187" s="23">
        <f>EXP(-LN(2)/2)*AB186+(1-EXP(-LN(2)/2))/(LN(2)/2)*V187*Y187*VLOOKUP('Données projet'!$B$9,Paramètres!$A$1:$I$89,3,0)*0.475*44/12</f>
        <v>1.2212637670965083E-17</v>
      </c>
      <c r="AC187" s="24">
        <f t="shared" si="163"/>
        <v>24.273818001549266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projet'!$B$10,Paramètres!$A$1:$I$89,3,0)*VLOOKUP('Données projet'!$B$10,Paramètres!$A$1:$I$89,5,0)</f>
        <v>-2.1282176021486519E-13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420.68062999212015</v>
      </c>
      <c r="AO187" s="62">
        <f t="shared" si="144"/>
        <v>655.24090633185676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36.533330823872134</v>
      </c>
      <c r="AV187" s="23">
        <f>EXP(-LN(2)/25)*AV186+(1-EXP(-LN(2)/25))/(LN(2)/25)*Calculateur!AQ187*Calculateur!AS187*VLOOKUP('Données projet'!$B$10,Paramètres!$A$1:$I$89,3,0)*0.475*44/12</f>
        <v>3.4153502663356479</v>
      </c>
      <c r="AW187" s="23">
        <f>EXP(-LN(2)/2)*AW186+(1-EXP(-LN(2)/2))/(LN(2)/2)*AQ187*AT187*VLOOKUP('Données projet'!$B$10,Paramètres!$A$1:$I$89,3,0)*0.475*44/12</f>
        <v>4.0143195808032247E-15</v>
      </c>
      <c r="AX187" s="23">
        <f t="shared" si="166"/>
        <v>39.948681090207792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138.3429338270858</v>
      </c>
      <c r="BJ187" s="62">
        <f t="shared" si="146"/>
        <v>88.30225651635925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104.00660384132414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104.00660384132414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122.57815304102127</v>
      </c>
      <c r="CE187" s="62">
        <f t="shared" si="148"/>
        <v>80.106609825870578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96.833734610887987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96.833734610887987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-3.7243808037601412E-14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199.99826357281154</v>
      </c>
      <c r="CZ187" s="62">
        <f t="shared" si="150"/>
        <v>214.67424457475136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8.0036595074852226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8.0036595074852226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-5.6843418860808015E-14</v>
      </c>
      <c r="DP187" s="18">
        <f>DO187*VLOOKUP('Données projet'!$B$14,Paramètres!$A$1:$I$89,3,0)*VLOOKUP('Données projet'!$B$14,Paramètres!$A$1:$I$89,5,0)</f>
        <v>-4.5224624045658861E-14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248.15263300983543</v>
      </c>
      <c r="DU187" s="62">
        <f t="shared" si="152"/>
        <v>266.46511459244618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11.978899030305959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11.978899030305959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-5.6843418860808015E-14</v>
      </c>
      <c r="EK187" s="18">
        <f>EJ187*VLOOKUP('Données projet'!$B$15,Paramètres!$A$1:$I$89,3,0)*VLOOKUP('Données projet'!$B$15,Paramètres!$A$1:$I$89,5,0)</f>
        <v>-3.813056537183002E-14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205.35893113421139</v>
      </c>
      <c r="EP187" s="62">
        <f t="shared" si="154"/>
        <v>220.4399811285175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10.09985604515993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10.09985604515993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382.55387448074327</v>
      </c>
      <c r="T188" s="62">
        <f t="shared" si="142"/>
        <v>476.29465646955543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21.768549409731335</v>
      </c>
      <c r="AA188" s="23">
        <f>EXP(-LN(2)/25)*AA187+(1-EXP(-LN(2)/25))/(LN(2)/25)*Calculateur!V188*Calculateur!X188*VLOOKUP('Données projet'!$B$9,Paramètres!$A$1:$I$89,3,0)*0.475*44/12</f>
        <v>2.0132620680636313</v>
      </c>
      <c r="AB188" s="23">
        <f>EXP(-LN(2)/2)*AB187+(1-EXP(-LN(2)/2))/(LN(2)/2)*V188*Y188*VLOOKUP('Données projet'!$B$9,Paramètres!$A$1:$I$89,3,0)*0.475*44/12</f>
        <v>8.6356389133136944E-18</v>
      </c>
      <c r="AC188" s="24">
        <f t="shared" si="163"/>
        <v>23.781811477794967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projet'!$B$10,Paramètres!$A$1:$I$89,3,0)*VLOOKUP('Données projet'!$B$10,Paramètres!$A$1:$I$89,5,0)</f>
        <v>-2.1282176021486519E-13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420.68062999212015</v>
      </c>
      <c r="AO188" s="62">
        <f t="shared" si="144"/>
        <v>655.24090633185676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35.816934489547528</v>
      </c>
      <c r="AV188" s="23">
        <f>EXP(-LN(2)/25)*AV187+(1-EXP(-LN(2)/25))/(LN(2)/25)*Calculateur!AQ188*Calculateur!AS188*VLOOKUP('Données projet'!$B$10,Paramètres!$A$1:$I$89,3,0)*0.475*44/12</f>
        <v>3.321957333697235</v>
      </c>
      <c r="AW188" s="23">
        <f>EXP(-LN(2)/2)*AW187+(1-EXP(-LN(2)/2))/(LN(2)/2)*AQ188*AT188*VLOOKUP('Données projet'!$B$10,Paramètres!$A$1:$I$89,3,0)*0.475*44/12</f>
        <v>2.838552597435899E-15</v>
      </c>
      <c r="AX188" s="23">
        <f t="shared" si="166"/>
        <v>39.138891823244762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138.3429338270858</v>
      </c>
      <c r="BJ188" s="62">
        <f t="shared" si="146"/>
        <v>88.30225651635925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101.96709777776016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101.96709777776016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122.57815304102127</v>
      </c>
      <c r="CE188" s="62">
        <f t="shared" si="148"/>
        <v>80.106609825870578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94.934884137914622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94.934884137914622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-3.7243808037601412E-14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199.99826357281154</v>
      </c>
      <c r="CZ188" s="62">
        <f t="shared" si="150"/>
        <v>214.67424457475136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7.8467126262937041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7.8467126262937041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-5.6843418860808015E-14</v>
      </c>
      <c r="DP188" s="18">
        <f>DO188*VLOOKUP('Données projet'!$B$14,Paramètres!$A$1:$I$89,3,0)*VLOOKUP('Données projet'!$B$14,Paramètres!$A$1:$I$89,5,0)</f>
        <v>-4.5224624045658861E-14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248.15263300983543</v>
      </c>
      <c r="DU188" s="62">
        <f t="shared" si="152"/>
        <v>266.46511459244618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11.74400012672862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11.74400012672862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-5.6843418860808015E-14</v>
      </c>
      <c r="EK188" s="18">
        <f>EJ188*VLOOKUP('Données projet'!$B$15,Paramètres!$A$1:$I$89,3,0)*VLOOKUP('Données projet'!$B$15,Paramètres!$A$1:$I$89,5,0)</f>
        <v>-3.813056537183002E-14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205.35893113421139</v>
      </c>
      <c r="EP188" s="62">
        <f t="shared" si="154"/>
        <v>220.4399811285175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9.9018040284182511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9.9018040284182511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382.55387448074327</v>
      </c>
      <c r="T189" s="62">
        <f t="shared" si="142"/>
        <v>476.29465646955543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21.341681433310598</v>
      </c>
      <c r="AA189" s="23">
        <f>EXP(-LN(2)/25)*AA188+(1-EXP(-LN(2)/25))/(LN(2)/25)*Calculateur!V189*Calculateur!X189*VLOOKUP('Données projet'!$B$9,Paramètres!$A$1:$I$89,3,0)*0.475*44/12</f>
        <v>1.9582093109395804</v>
      </c>
      <c r="AB189" s="23">
        <f>EXP(-LN(2)/2)*AB188+(1-EXP(-LN(2)/2))/(LN(2)/2)*V189*Y189*VLOOKUP('Données projet'!$B$9,Paramètres!$A$1:$I$89,3,0)*0.475*44/12</f>
        <v>6.1063188354825417E-18</v>
      </c>
      <c r="AC189" s="24">
        <f t="shared" si="163"/>
        <v>23.299890744250177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projet'!$B$10,Paramètres!$A$1:$I$89,3,0)*VLOOKUP('Données projet'!$B$10,Paramètres!$A$1:$I$89,5,0)</f>
        <v>-2.1282176021486519E-13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420.68062999212015</v>
      </c>
      <c r="AO189" s="62">
        <f t="shared" si="144"/>
        <v>655.24090633185676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35.114586250380405</v>
      </c>
      <c r="AV189" s="23">
        <f>EXP(-LN(2)/25)*AV188+(1-EXP(-LN(2)/25))/(LN(2)/25)*Calculateur!AQ189*Calculateur!AS189*VLOOKUP('Données projet'!$B$10,Paramètres!$A$1:$I$89,3,0)*0.475*44/12</f>
        <v>3.2311182357131405</v>
      </c>
      <c r="AW189" s="23">
        <f>EXP(-LN(2)/2)*AW188+(1-EXP(-LN(2)/2))/(LN(2)/2)*AQ189*AT189*VLOOKUP('Données projet'!$B$10,Paramètres!$A$1:$I$89,3,0)*0.475*44/12</f>
        <v>2.0071597904016123E-15</v>
      </c>
      <c r="AX189" s="23">
        <f t="shared" si="166"/>
        <v>38.345704486093545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138.3429338270858</v>
      </c>
      <c r="BJ189" s="62">
        <f t="shared" si="146"/>
        <v>88.30225651635925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99.967585184126804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99.967585184126804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122.57815304102127</v>
      </c>
      <c r="CE189" s="62">
        <f t="shared" si="148"/>
        <v>80.106609825870578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93.073268964531835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93.073268964531835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-3.7243808037601412E-14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199.99826357281154</v>
      </c>
      <c r="CZ189" s="62">
        <f t="shared" si="150"/>
        <v>214.67424457475136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7.6928433777142065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7.6928433777142065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-5.6843418860808015E-14</v>
      </c>
      <c r="DP189" s="18">
        <f>DO189*VLOOKUP('Données projet'!$B$14,Paramètres!$A$1:$I$89,3,0)*VLOOKUP('Données projet'!$B$14,Paramètres!$A$1:$I$89,5,0)</f>
        <v>-4.5224624045658861E-14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248.15263300983543</v>
      </c>
      <c r="DU189" s="62">
        <f t="shared" si="152"/>
        <v>266.46511459244618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11.513707447376248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11.513707447376248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-5.6843418860808015E-14</v>
      </c>
      <c r="EK189" s="18">
        <f>EJ189*VLOOKUP('Données projet'!$B$15,Paramètres!$A$1:$I$89,3,0)*VLOOKUP('Données projet'!$B$15,Paramètres!$A$1:$I$89,5,0)</f>
        <v>-3.813056537183002E-14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205.35893113421139</v>
      </c>
      <c r="EP189" s="62">
        <f t="shared" si="154"/>
        <v>220.4399811285175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9.7076356909250752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9.7076356909250752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382.55387448074327</v>
      </c>
      <c r="T190" s="62">
        <f t="shared" si="142"/>
        <v>476.29465646955543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20.923184077543716</v>
      </c>
      <c r="AA190" s="23">
        <f>EXP(-LN(2)/25)*AA189+(1-EXP(-LN(2)/25))/(LN(2)/25)*Calculateur!V190*Calculateur!X190*VLOOKUP('Données projet'!$B$9,Paramètres!$A$1:$I$89,3,0)*0.475*44/12</f>
        <v>1.9046619743541855</v>
      </c>
      <c r="AB190" s="23">
        <f>EXP(-LN(2)/2)*AB189+(1-EXP(-LN(2)/2))/(LN(2)/2)*V190*Y190*VLOOKUP('Données projet'!$B$9,Paramètres!$A$1:$I$89,3,0)*0.475*44/12</f>
        <v>4.3178194566568472E-18</v>
      </c>
      <c r="AC190" s="24">
        <f t="shared" si="163"/>
        <v>22.8278460518979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projet'!$B$10,Paramètres!$A$1:$I$89,3,0)*VLOOKUP('Données projet'!$B$10,Paramètres!$A$1:$I$89,5,0)</f>
        <v>-2.1282176021486519E-13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420.68062999212015</v>
      </c>
      <c r="AO190" s="62">
        <f t="shared" si="144"/>
        <v>655.24090633185676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34.426010631793226</v>
      </c>
      <c r="AV190" s="23">
        <f>EXP(-LN(2)/25)*AV189+(1-EXP(-LN(2)/25))/(LN(2)/25)*Calculateur!AQ190*Calculateur!AS190*VLOOKUP('Données projet'!$B$10,Paramètres!$A$1:$I$89,3,0)*0.475*44/12</f>
        <v>3.1427631376404417</v>
      </c>
      <c r="AW190" s="23">
        <f>EXP(-LN(2)/2)*AW189+(1-EXP(-LN(2)/2))/(LN(2)/2)*AQ190*AT190*VLOOKUP('Données projet'!$B$10,Paramètres!$A$1:$I$89,3,0)*0.475*44/12</f>
        <v>1.4192762987179495E-15</v>
      </c>
      <c r="AX190" s="23">
        <f t="shared" si="166"/>
        <v>37.568773769433669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138.3429338270858</v>
      </c>
      <c r="BJ190" s="62">
        <f t="shared" si="146"/>
        <v>88.30225651635925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98.007281812872336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98.007281812872336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122.57815304102127</v>
      </c>
      <c r="CE190" s="62">
        <f t="shared" si="148"/>
        <v>80.106609825870578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91.248158929225951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91.248158929225951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-3.7243808037601412E-14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199.99826357281154</v>
      </c>
      <c r="CZ190" s="62">
        <f t="shared" si="150"/>
        <v>214.67424457475136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7.5419914112483779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7.5419914112483779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-5.6843418860808015E-14</v>
      </c>
      <c r="DP190" s="18">
        <f>DO190*VLOOKUP('Données projet'!$B$14,Paramètres!$A$1:$I$89,3,0)*VLOOKUP('Données projet'!$B$14,Paramètres!$A$1:$I$89,5,0)</f>
        <v>-4.5224624045658861E-14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248.15263300983543</v>
      </c>
      <c r="DU190" s="62">
        <f t="shared" si="152"/>
        <v>266.46511459244618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11.287930667001312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11.287930667001312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-5.6843418860808015E-14</v>
      </c>
      <c r="EK190" s="18">
        <f>EJ190*VLOOKUP('Données projet'!$B$15,Paramètres!$A$1:$I$89,3,0)*VLOOKUP('Données projet'!$B$15,Paramètres!$A$1:$I$89,5,0)</f>
        <v>-3.813056537183002E-14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205.35893113421139</v>
      </c>
      <c r="EP190" s="62">
        <f t="shared" si="154"/>
        <v>220.4399811285175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9.5172748760991492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9.5172748760991492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382.55387448074327</v>
      </c>
      <c r="T191" s="62">
        <f t="shared" si="142"/>
        <v>476.29465646955543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20.512893199665239</v>
      </c>
      <c r="AA191" s="23">
        <f>EXP(-LN(2)/25)*AA190+(1-EXP(-LN(2)/25))/(LN(2)/25)*Calculateur!V191*Calculateur!X191*VLOOKUP('Données projet'!$B$9,Paramètres!$A$1:$I$89,3,0)*0.475*44/12</f>
        <v>1.8525788925036502</v>
      </c>
      <c r="AB191" s="23">
        <f>EXP(-LN(2)/2)*AB190+(1-EXP(-LN(2)/2))/(LN(2)/2)*V191*Y191*VLOOKUP('Données projet'!$B$9,Paramètres!$A$1:$I$89,3,0)*0.475*44/12</f>
        <v>3.0531594177412708E-18</v>
      </c>
      <c r="AC191" s="24">
        <f t="shared" si="163"/>
        <v>22.36547209216889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projet'!$B$10,Paramètres!$A$1:$I$89,3,0)*VLOOKUP('Données projet'!$B$10,Paramètres!$A$1:$I$89,5,0)</f>
        <v>-2.1282176021486519E-13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420.68062999212015</v>
      </c>
      <c r="AO191" s="62">
        <f t="shared" si="144"/>
        <v>655.24090633185676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33.750937561096883</v>
      </c>
      <c r="AV191" s="23">
        <f>EXP(-LN(2)/25)*AV190+(1-EXP(-LN(2)/25))/(LN(2)/25)*Calculateur!AQ191*Calculateur!AS191*VLOOKUP('Données projet'!$B$10,Paramètres!$A$1:$I$89,3,0)*0.475*44/12</f>
        <v>3.0568241143709334</v>
      </c>
      <c r="AW191" s="23">
        <f>EXP(-LN(2)/2)*AW190+(1-EXP(-LN(2)/2))/(LN(2)/2)*AQ191*AT191*VLOOKUP('Données projet'!$B$10,Paramètres!$A$1:$I$89,3,0)*0.475*44/12</f>
        <v>1.0035798952008062E-15</v>
      </c>
      <c r="AX191" s="23">
        <f t="shared" si="166"/>
        <v>36.807761675467816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138.3429338270858</v>
      </c>
      <c r="BJ191" s="62">
        <f t="shared" si="146"/>
        <v>88.30225651635925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96.085418795061173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96.085418795061173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122.57815304102127</v>
      </c>
      <c r="CE191" s="62">
        <f t="shared" si="148"/>
        <v>80.106609825870578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89.458838188505212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89.458838188505212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-3.7243808037601412E-14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199.99826357281154</v>
      </c>
      <c r="CZ191" s="62">
        <f t="shared" si="150"/>
        <v>214.67424457475136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7.3940975598343304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7.3940975598343304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-5.6843418860808015E-14</v>
      </c>
      <c r="DP191" s="18">
        <f>DO191*VLOOKUP('Données projet'!$B$14,Paramètres!$A$1:$I$89,3,0)*VLOOKUP('Données projet'!$B$14,Paramètres!$A$1:$I$89,5,0)</f>
        <v>-4.5224624045658861E-14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248.15263300983543</v>
      </c>
      <c r="DU191" s="62">
        <f t="shared" si="152"/>
        <v>266.46511459244618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11.06658123157929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11.06658123157929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-5.6843418860808015E-14</v>
      </c>
      <c r="EK191" s="18">
        <f>EJ191*VLOOKUP('Données projet'!$B$15,Paramètres!$A$1:$I$89,3,0)*VLOOKUP('Données projet'!$B$15,Paramètres!$A$1:$I$89,5,0)</f>
        <v>-3.813056537183002E-14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205.35893113421139</v>
      </c>
      <c r="EP191" s="62">
        <f t="shared" si="154"/>
        <v>220.4399811285175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9.3306469207433267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9.3306469207433267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382.55387448074327</v>
      </c>
      <c r="T192" s="62">
        <f t="shared" si="142"/>
        <v>476.29465646955543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20.110647875649235</v>
      </c>
      <c r="AA192" s="23">
        <f>EXP(-LN(2)/25)*AA191+(1-EXP(-LN(2)/25))/(LN(2)/25)*Calculateur!V192*Calculateur!X192*VLOOKUP('Données projet'!$B$9,Paramètres!$A$1:$I$89,3,0)*0.475*44/12</f>
        <v>1.8019200252652481</v>
      </c>
      <c r="AB192" s="23">
        <f>EXP(-LN(2)/2)*AB191+(1-EXP(-LN(2)/2))/(LN(2)/2)*V192*Y192*VLOOKUP('Données projet'!$B$9,Paramètres!$A$1:$I$89,3,0)*0.475*44/12</f>
        <v>2.1589097283284236E-18</v>
      </c>
      <c r="AC192" s="24">
        <f t="shared" si="163"/>
        <v>21.912567900914482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projet'!$B$10,Paramètres!$A$1:$I$89,3,0)*VLOOKUP('Données projet'!$B$10,Paramètres!$A$1:$I$89,5,0)</f>
        <v>-2.1282176021486519E-13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420.68062999212015</v>
      </c>
      <c r="AO192" s="62">
        <f t="shared" si="144"/>
        <v>655.24090633185676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33.089102261562985</v>
      </c>
      <c r="AV192" s="23">
        <f>EXP(-LN(2)/25)*AV191+(1-EXP(-LN(2)/25))/(LN(2)/25)*Calculateur!AQ192*Calculateur!AS192*VLOOKUP('Données projet'!$B$10,Paramètres!$A$1:$I$89,3,0)*0.475*44/12</f>
        <v>2.9732350982120663</v>
      </c>
      <c r="AW192" s="23">
        <f>EXP(-LN(2)/2)*AW191+(1-EXP(-LN(2)/2))/(LN(2)/2)*AQ192*AT192*VLOOKUP('Données projet'!$B$10,Paramètres!$A$1:$I$89,3,0)*0.475*44/12</f>
        <v>7.0963814935897475E-16</v>
      </c>
      <c r="AX192" s="23">
        <f t="shared" si="166"/>
        <v>36.06233735977505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138.3429338270858</v>
      </c>
      <c r="BJ192" s="62">
        <f t="shared" si="146"/>
        <v>88.30225651635925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94.201242338808598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94.201242338808598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122.57815304102127</v>
      </c>
      <c r="CE192" s="62">
        <f t="shared" si="148"/>
        <v>80.106609825870578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87.704604936132128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87.704604936132128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-3.7243808037601412E-14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199.99826357281154</v>
      </c>
      <c r="CZ192" s="62">
        <f t="shared" si="150"/>
        <v>214.67424457475136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7.2491038166401696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7.2491038166401696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-5.6843418860808015E-14</v>
      </c>
      <c r="DP192" s="18">
        <f>DO192*VLOOKUP('Données projet'!$B$14,Paramètres!$A$1:$I$89,3,0)*VLOOKUP('Données projet'!$B$14,Paramètres!$A$1:$I$89,5,0)</f>
        <v>-4.5224624045658861E-14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248.15263300983543</v>
      </c>
      <c r="DU192" s="62">
        <f t="shared" si="152"/>
        <v>266.46511459244618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10.849572323576069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10.849572323576069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-5.6843418860808015E-14</v>
      </c>
      <c r="EK192" s="18">
        <f>EJ192*VLOOKUP('Données projet'!$B$15,Paramètres!$A$1:$I$89,3,0)*VLOOKUP('Données projet'!$B$15,Paramètres!$A$1:$I$89,5,0)</f>
        <v>-3.813056537183002E-14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205.35893113421139</v>
      </c>
      <c r="EP192" s="62">
        <f t="shared" si="154"/>
        <v>220.4399811285175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9.1476786257602196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9.1476786257602196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382.55387448074327</v>
      </c>
      <c r="T193" s="62">
        <f t="shared" si="142"/>
        <v>476.29465646955543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19.716290337091763</v>
      </c>
      <c r="AA193" s="23">
        <f>EXP(-LN(2)/25)*AA192+(1-EXP(-LN(2)/25))/(LN(2)/25)*Calculateur!V193*Calculateur!X193*VLOOKUP('Données projet'!$B$9,Paramètres!$A$1:$I$89,3,0)*0.475*44/12</f>
        <v>1.752646427415514</v>
      </c>
      <c r="AB193" s="23">
        <f>EXP(-LN(2)/2)*AB192+(1-EXP(-LN(2)/2))/(LN(2)/2)*V193*Y193*VLOOKUP('Données projet'!$B$9,Paramètres!$A$1:$I$89,3,0)*0.475*44/12</f>
        <v>1.5265797088706354E-18</v>
      </c>
      <c r="AC193" s="24">
        <f t="shared" si="163"/>
        <v>21.468936764507276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projet'!$B$10,Paramètres!$A$1:$I$89,3,0)*VLOOKUP('Données projet'!$B$10,Paramètres!$A$1:$I$89,5,0)</f>
        <v>-2.1282176021486519E-13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420.68062999212015</v>
      </c>
      <c r="AO193" s="62">
        <f t="shared" si="144"/>
        <v>655.24090633185676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32.440245148573275</v>
      </c>
      <c r="AV193" s="23">
        <f>EXP(-LN(2)/25)*AV192+(1-EXP(-LN(2)/25))/(LN(2)/25)*Calculateur!AQ193*Calculateur!AS193*VLOOKUP('Données projet'!$B$10,Paramètres!$A$1:$I$89,3,0)*0.475*44/12</f>
        <v>2.8919318280958191</v>
      </c>
      <c r="AW193" s="23">
        <f>EXP(-LN(2)/2)*AW192+(1-EXP(-LN(2)/2))/(LN(2)/2)*AQ193*AT193*VLOOKUP('Données projet'!$B$10,Paramètres!$A$1:$I$89,3,0)*0.475*44/12</f>
        <v>5.0178994760040308E-16</v>
      </c>
      <c r="AX193" s="23">
        <f t="shared" si="166"/>
        <v>35.332176976669096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138.3429338270858</v>
      </c>
      <c r="BJ193" s="62">
        <f t="shared" si="146"/>
        <v>88.30225651635925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92.354013433628978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92.354013433628978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122.57815304102127</v>
      </c>
      <c r="CE193" s="62">
        <f t="shared" si="148"/>
        <v>80.106609825870578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85.984771127861436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85.984771127861436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-3.7243808037601412E-14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199.99826357281154</v>
      </c>
      <c r="CZ193" s="62">
        <f t="shared" si="150"/>
        <v>214.67424457475136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7.1069533123125952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7.1069533123125952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-5.6843418860808015E-14</v>
      </c>
      <c r="DP193" s="18">
        <f>DO193*VLOOKUP('Données projet'!$B$14,Paramètres!$A$1:$I$89,3,0)*VLOOKUP('Données projet'!$B$14,Paramètres!$A$1:$I$89,5,0)</f>
        <v>-4.5224624045658861E-14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248.15263300983543</v>
      </c>
      <c r="DU193" s="62">
        <f t="shared" si="152"/>
        <v>266.46511459244618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10.636818827896427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10.636818827896427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-5.6843418860808015E-14</v>
      </c>
      <c r="EK193" s="18">
        <f>EJ193*VLOOKUP('Données projet'!$B$15,Paramètres!$A$1:$I$89,3,0)*VLOOKUP('Données projet'!$B$15,Paramètres!$A$1:$I$89,5,0)</f>
        <v>-3.813056537183002E-14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205.35893113421139</v>
      </c>
      <c r="EP193" s="62">
        <f t="shared" si="154"/>
        <v>220.4399811285175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8.9682982274420908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8.9682982274420908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382.55387448074327</v>
      </c>
      <c r="T194" s="62">
        <f t="shared" si="142"/>
        <v>476.29465646955543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19.329665909331055</v>
      </c>
      <c r="AA194" s="23">
        <f>EXP(-LN(2)/25)*AA193+(1-EXP(-LN(2)/25))/(LN(2)/25)*Calculateur!V194*Calculateur!X194*VLOOKUP('Données projet'!$B$9,Paramètres!$A$1:$I$89,3,0)*0.475*44/12</f>
        <v>1.7047202186901669</v>
      </c>
      <c r="AB194" s="23">
        <f>EXP(-LN(2)/2)*AB193+(1-EXP(-LN(2)/2))/(LN(2)/2)*V194*Y194*VLOOKUP('Données projet'!$B$9,Paramètres!$A$1:$I$89,3,0)*0.475*44/12</f>
        <v>1.0794548641642118E-18</v>
      </c>
      <c r="AC194" s="24">
        <f t="shared" si="163"/>
        <v>21.034386128021222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projet'!$B$10,Paramètres!$A$1:$I$89,3,0)*VLOOKUP('Données projet'!$B$10,Paramètres!$A$1:$I$89,5,0)</f>
        <v>-2.1282176021486519E-13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420.68062999212015</v>
      </c>
      <c r="AO194" s="62">
        <f t="shared" si="144"/>
        <v>655.24090633185676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31.80411172780553</v>
      </c>
      <c r="AV194" s="23">
        <f>EXP(-LN(2)/25)*AV193+(1-EXP(-LN(2)/25))/(LN(2)/25)*Calculateur!AQ194*Calculateur!AS194*VLOOKUP('Données projet'!$B$10,Paramètres!$A$1:$I$89,3,0)*0.475*44/12</f>
        <v>2.8128518001764538</v>
      </c>
      <c r="AW194" s="23">
        <f>EXP(-LN(2)/2)*AW193+(1-EXP(-LN(2)/2))/(LN(2)/2)*AQ194*AT194*VLOOKUP('Données projet'!$B$10,Paramètres!$A$1:$I$89,3,0)*0.475*44/12</f>
        <v>3.5481907467948738E-16</v>
      </c>
      <c r="AX194" s="23">
        <f t="shared" si="166"/>
        <v>34.616963527981987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138.3429338270858</v>
      </c>
      <c r="BJ194" s="62">
        <f t="shared" si="146"/>
        <v>88.30225651635925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90.543007560581543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90.543007560581543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122.57815304102127</v>
      </c>
      <c r="CE194" s="62">
        <f t="shared" si="148"/>
        <v>80.106609825870578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84.298662211575888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84.298662211575888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-3.7243808037601412E-14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199.99826357281154</v>
      </c>
      <c r="CZ194" s="62">
        <f t="shared" si="150"/>
        <v>214.67424457475136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6.9675902926716384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6.9675902926716384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-5.6843418860808015E-14</v>
      </c>
      <c r="DP194" s="18">
        <f>DO194*VLOOKUP('Données projet'!$B$14,Paramètres!$A$1:$I$89,3,0)*VLOOKUP('Données projet'!$B$14,Paramètres!$A$1:$I$89,5,0)</f>
        <v>-4.5224624045658861E-14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248.15263300983543</v>
      </c>
      <c r="DU194" s="62">
        <f t="shared" si="152"/>
        <v>266.46511459244618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10.428237298500244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10.428237298500244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-5.6843418860808015E-14</v>
      </c>
      <c r="EK194" s="18">
        <f>EJ194*VLOOKUP('Données projet'!$B$15,Paramètres!$A$1:$I$89,3,0)*VLOOKUP('Données projet'!$B$15,Paramètres!$A$1:$I$89,5,0)</f>
        <v>-3.813056537183002E-14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205.35893113421139</v>
      </c>
      <c r="EP194" s="62">
        <f t="shared" si="154"/>
        <v>220.4399811285175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8.7924353693237407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8.7924353693237407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382.55387448074327</v>
      </c>
      <c r="T195" s="62">
        <f t="shared" si="142"/>
        <v>476.29465646955543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18.950622950781121</v>
      </c>
      <c r="AA195" s="23">
        <f>EXP(-LN(2)/25)*AA194+(1-EXP(-LN(2)/25))/(LN(2)/25)*Calculateur!V195*Calculateur!X195*VLOOKUP('Données projet'!$B$9,Paramètres!$A$1:$I$89,3,0)*0.475*44/12</f>
        <v>1.6581045546627442</v>
      </c>
      <c r="AB195" s="23">
        <f>EXP(-LN(2)/2)*AB194+(1-EXP(-LN(2)/2))/(LN(2)/2)*V195*Y195*VLOOKUP('Données projet'!$B$9,Paramètres!$A$1:$I$89,3,0)*0.475*44/12</f>
        <v>7.6328985443531771E-19</v>
      </c>
      <c r="AC195" s="24">
        <f t="shared" si="163"/>
        <v>20.608727505443866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projet'!$B$10,Paramètres!$A$1:$I$89,3,0)*VLOOKUP('Données projet'!$B$10,Paramètres!$A$1:$I$89,5,0)</f>
        <v>-2.1282176021486519E-13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420.68062999212015</v>
      </c>
      <c r="AO195" s="62">
        <f t="shared" si="144"/>
        <v>655.24090633185676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31.180452495415967</v>
      </c>
      <c r="AV195" s="23">
        <f>EXP(-LN(2)/25)*AV194+(1-EXP(-LN(2)/25))/(LN(2)/25)*Calculateur!AQ195*Calculateur!AS195*VLOOKUP('Données projet'!$B$10,Paramètres!$A$1:$I$89,3,0)*0.475*44/12</f>
        <v>2.7359342197791814</v>
      </c>
      <c r="AW195" s="23">
        <f>EXP(-LN(2)/2)*AW194+(1-EXP(-LN(2)/2))/(LN(2)/2)*AQ195*AT195*VLOOKUP('Données projet'!$B$10,Paramètres!$A$1:$I$89,3,0)*0.475*44/12</f>
        <v>2.5089497380020154E-16</v>
      </c>
      <c r="AX195" s="23">
        <f t="shared" si="166"/>
        <v>33.916386715195145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138.3429338270858</v>
      </c>
      <c r="BJ195" s="62">
        <f t="shared" si="146"/>
        <v>88.30225651635925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88.767514408100055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88.767514408100055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122.57815304102127</v>
      </c>
      <c r="CE195" s="62">
        <f t="shared" si="148"/>
        <v>80.106609825870578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82.645616862713823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82.645616862713823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-3.7243808037601412E-14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199.99826357281154</v>
      </c>
      <c r="CZ195" s="62">
        <f t="shared" si="150"/>
        <v>214.67424457475136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6.8309600968427926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6.8309600968427926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-5.6843418860808015E-14</v>
      </c>
      <c r="DP195" s="18">
        <f>DO195*VLOOKUP('Données projet'!$B$14,Paramètres!$A$1:$I$89,3,0)*VLOOKUP('Données projet'!$B$14,Paramètres!$A$1:$I$89,5,0)</f>
        <v>-4.5224624045658861E-14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248.15263300983543</v>
      </c>
      <c r="DU195" s="62">
        <f t="shared" si="152"/>
        <v>266.46511459244618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10.22374592567335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10.22374592567335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-5.6843418860808015E-14</v>
      </c>
      <c r="EK195" s="18">
        <f>EJ195*VLOOKUP('Données projet'!$B$15,Paramètres!$A$1:$I$89,3,0)*VLOOKUP('Données projet'!$B$15,Paramètres!$A$1:$I$89,5,0)</f>
        <v>-3.813056537183002E-14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205.35893113421139</v>
      </c>
      <c r="EP195" s="62">
        <f t="shared" si="154"/>
        <v>220.4399811285175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8.6200210745873402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8.6200210745873402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382.55387448074327</v>
      </c>
      <c r="T196" s="62">
        <f t="shared" si="142"/>
        <v>476.29465646955543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18.579012793454972</v>
      </c>
      <c r="AA196" s="23">
        <f>EXP(-LN(2)/25)*AA195+(1-EXP(-LN(2)/25))/(LN(2)/25)*Calculateur!V196*Calculateur!X196*VLOOKUP('Données projet'!$B$9,Paramètres!$A$1:$I$89,3,0)*0.475*44/12</f>
        <v>1.6127635984195625</v>
      </c>
      <c r="AB196" s="23">
        <f>EXP(-LN(2)/2)*AB195+(1-EXP(-LN(2)/2))/(LN(2)/2)*V196*Y196*VLOOKUP('Données projet'!$B$9,Paramètres!$A$1:$I$89,3,0)*0.475*44/12</f>
        <v>5.397274320821059E-19</v>
      </c>
      <c r="AC196" s="24">
        <f t="shared" si="163"/>
        <v>20.191776391874534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projet'!$B$10,Paramètres!$A$1:$I$89,3,0)*VLOOKUP('Données projet'!$B$10,Paramètres!$A$1:$I$89,5,0)</f>
        <v>-2.1282176021486519E-13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420.68062999212015</v>
      </c>
      <c r="AO196" s="62">
        <f t="shared" si="144"/>
        <v>655.24090633185676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30.569022840178992</v>
      </c>
      <c r="AV196" s="23">
        <f>EXP(-LN(2)/25)*AV195+(1-EXP(-LN(2)/25))/(LN(2)/25)*Calculateur!AQ196*Calculateur!AS196*VLOOKUP('Données projet'!$B$10,Paramètres!$A$1:$I$89,3,0)*0.475*44/12</f>
        <v>2.6611199546627922</v>
      </c>
      <c r="AW196" s="23">
        <f>EXP(-LN(2)/2)*AW195+(1-EXP(-LN(2)/2))/(LN(2)/2)*AQ196*AT196*VLOOKUP('Données projet'!$B$10,Paramètres!$A$1:$I$89,3,0)*0.475*44/12</f>
        <v>1.7740953733974369E-16</v>
      </c>
      <c r="AX196" s="23">
        <f t="shared" si="166"/>
        <v>33.230142794841782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138.3429338270858</v>
      </c>
      <c r="BJ196" s="62">
        <f t="shared" si="146"/>
        <v>88.30225651635925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87.026837593394845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87.026837593394845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122.57815304102127</v>
      </c>
      <c r="CE196" s="62">
        <f t="shared" si="148"/>
        <v>80.106609825870578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81.024986724884826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81.024986724884826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-3.7243808037601412E-14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199.99826357281154</v>
      </c>
      <c r="CZ196" s="62">
        <f t="shared" si="150"/>
        <v>214.67424457475136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6.6970091358179591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6.6970091358179591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-5.6843418860808015E-14</v>
      </c>
      <c r="DP196" s="18">
        <f>DO196*VLOOKUP('Données projet'!$B$14,Paramètres!$A$1:$I$89,3,0)*VLOOKUP('Données projet'!$B$14,Paramètres!$A$1:$I$89,5,0)</f>
        <v>-4.5224624045658861E-14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248.15263300983543</v>
      </c>
      <c r="DU196" s="62">
        <f t="shared" si="152"/>
        <v>266.46511459244618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10.023264503940171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10.023264503940171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-5.6843418860808015E-14</v>
      </c>
      <c r="EK196" s="18">
        <f>EJ196*VLOOKUP('Données projet'!$B$15,Paramètres!$A$1:$I$89,3,0)*VLOOKUP('Données projet'!$B$15,Paramètres!$A$1:$I$89,5,0)</f>
        <v>-3.813056537183002E-14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205.35893113421139</v>
      </c>
      <c r="EP196" s="62">
        <f t="shared" si="154"/>
        <v>220.4399811285175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8.4509877190083831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8.4509877190083831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382.55387448074327</v>
      </c>
      <c r="T197" s="62">
        <f t="shared" ref="T197:T203" si="204">$T$3</f>
        <v>476.29465646955543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18.214689684654175</v>
      </c>
      <c r="AA197" s="23">
        <f>EXP(-LN(2)/25)*AA196+(1-EXP(-LN(2)/25))/(LN(2)/25)*Calculateur!V197*Calculateur!X197*VLOOKUP('Données projet'!$B$9,Paramètres!$A$1:$I$89,3,0)*0.475*44/12</f>
        <v>1.5686624930092279</v>
      </c>
      <c r="AB197" s="23">
        <f>EXP(-LN(2)/2)*AB196+(1-EXP(-LN(2)/2))/(LN(2)/2)*V197*Y197*VLOOKUP('Données projet'!$B$9,Paramètres!$A$1:$I$89,3,0)*0.475*44/12</f>
        <v>3.8164492721765885E-19</v>
      </c>
      <c r="AC197" s="24">
        <f t="shared" si="163"/>
        <v>19.783352177663403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projet'!$B$10,Paramètres!$A$1:$I$89,3,0)*VLOOKUP('Données projet'!$B$10,Paramètres!$A$1:$I$89,5,0)</f>
        <v>-2.1282176021486519E-13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420.68062999212015</v>
      </c>
      <c r="AO197" s="62">
        <f t="shared" ref="AO197:AO203" si="205">$AO$3</f>
        <v>655.24090633185676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29.969582947545948</v>
      </c>
      <c r="AV197" s="23">
        <f>EXP(-LN(2)/25)*AV196+(1-EXP(-LN(2)/25))/(LN(2)/25)*Calculateur!AQ197*Calculateur!AS197*VLOOKUP('Données projet'!$B$10,Paramètres!$A$1:$I$89,3,0)*0.475*44/12</f>
        <v>2.5883514895603219</v>
      </c>
      <c r="AW197" s="23">
        <f>EXP(-LN(2)/2)*AW196+(1-EXP(-LN(2)/2))/(LN(2)/2)*AQ197*AT197*VLOOKUP('Données projet'!$B$10,Paramètres!$A$1:$I$89,3,0)*0.475*44/12</f>
        <v>1.2544748690010077E-16</v>
      </c>
      <c r="AX197" s="23">
        <f t="shared" si="166"/>
        <v>32.557934437106269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138.3429338270858</v>
      </c>
      <c r="BJ197" s="62">
        <f t="shared" ref="BJ197:BJ203" si="206">$BJ$3</f>
        <v>88.30225651635925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85.320294389317979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85.320294389317979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122.57815304102127</v>
      </c>
      <c r="CE197" s="62">
        <f t="shared" ref="CE197:CE203" si="207">$CE$3</f>
        <v>80.106609825870578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79.436136155571887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79.436136155571887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-3.7243808037601412E-14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199.99826357281154</v>
      </c>
      <c r="CZ197" s="62">
        <f t="shared" ref="CZ197:CZ203" si="208">$CZ$3</f>
        <v>214.67424457475136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6.5656848714368037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6.5656848714368037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-5.6843418860808015E-14</v>
      </c>
      <c r="DP197" s="18">
        <f>DO197*VLOOKUP('Données projet'!$B$14,Paramètres!$A$1:$I$89,3,0)*VLOOKUP('Données projet'!$B$14,Paramètres!$A$1:$I$89,5,0)</f>
        <v>-4.5224624045658861E-14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248.15263300983543</v>
      </c>
      <c r="DU197" s="62">
        <f t="shared" ref="DU197:DU203" si="209">$DU$3</f>
        <v>266.46511459244618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9.8267144006055851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9.8267144006055851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-5.6843418860808015E-14</v>
      </c>
      <c r="EK197" s="18">
        <f>EJ197*VLOOKUP('Données projet'!$B$15,Paramètres!$A$1:$I$89,3,0)*VLOOKUP('Données projet'!$B$15,Paramètres!$A$1:$I$89,5,0)</f>
        <v>-3.813056537183002E-14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205.35893113421139</v>
      </c>
      <c r="EP197" s="62">
        <f t="shared" ref="EP197:EP203" si="210">$EP$3</f>
        <v>220.4399811285175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8.2852690044321626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8.2852690044321626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382.55387448074327</v>
      </c>
      <c r="T198" s="62">
        <f t="shared" si="204"/>
        <v>476.29465646955543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17.857510729801806</v>
      </c>
      <c r="AA198" s="23">
        <f>EXP(-LN(2)/25)*AA197+(1-EXP(-LN(2)/25))/(LN(2)/25)*Calculateur!V198*Calculateur!X198*VLOOKUP('Données projet'!$B$9,Paramètres!$A$1:$I$89,3,0)*0.475*44/12</f>
        <v>1.5257673346455152</v>
      </c>
      <c r="AB198" s="23">
        <f>EXP(-LN(2)/2)*AB197+(1-EXP(-LN(2)/2))/(LN(2)/2)*V198*Y198*VLOOKUP('Données projet'!$B$9,Paramètres!$A$1:$I$89,3,0)*0.475*44/12</f>
        <v>2.6986371604105295E-19</v>
      </c>
      <c r="AC198" s="24">
        <f t="shared" si="163"/>
        <v>19.383278064447321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projet'!$B$10,Paramètres!$A$1:$I$89,3,0)*VLOOKUP('Données projet'!$B$10,Paramètres!$A$1:$I$89,5,0)</f>
        <v>-2.1282176021486519E-13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420.68062999212015</v>
      </c>
      <c r="AO198" s="62">
        <f t="shared" si="205"/>
        <v>655.24090633185676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29.381897705585207</v>
      </c>
      <c r="AV198" s="23">
        <f>EXP(-LN(2)/25)*AV197+(1-EXP(-LN(2)/25))/(LN(2)/25)*Calculateur!AQ198*Calculateur!AS198*VLOOKUP('Données projet'!$B$10,Paramètres!$A$1:$I$89,3,0)*0.475*44/12</f>
        <v>2.5175728819628058</v>
      </c>
      <c r="AW198" s="23">
        <f>EXP(-LN(2)/2)*AW197+(1-EXP(-LN(2)/2))/(LN(2)/2)*AQ198*AT198*VLOOKUP('Données projet'!$B$10,Paramètres!$A$1:$I$89,3,0)*0.475*44/12</f>
        <v>8.8704768669871844E-17</v>
      </c>
      <c r="AX198" s="23">
        <f t="shared" si="166"/>
        <v>31.899470587548013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138.3429338270858</v>
      </c>
      <c r="BJ198" s="62">
        <f t="shared" si="206"/>
        <v>88.30225651635925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83.64721545658449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83.64721545658449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122.57815304102127</v>
      </c>
      <c r="CE198" s="62">
        <f t="shared" si="207"/>
        <v>80.106609825870578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77.878441976820014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77.878441976820014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-3.7243808037601412E-14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199.99826357281154</v>
      </c>
      <c r="CZ198" s="62">
        <f t="shared" si="208"/>
        <v>214.67424457475136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6.4369357957802711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6.4369357957802711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-5.6843418860808015E-14</v>
      </c>
      <c r="DP198" s="18">
        <f>DO198*VLOOKUP('Données projet'!$B$14,Paramètres!$A$1:$I$89,3,0)*VLOOKUP('Données projet'!$B$14,Paramètres!$A$1:$I$89,5,0)</f>
        <v>-4.5224624045658861E-14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248.15263300983543</v>
      </c>
      <c r="DU198" s="62">
        <f t="shared" si="209"/>
        <v>266.46511459244618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9.6340185249136656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9.6340185249136656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-5.6843418860808015E-14</v>
      </c>
      <c r="EK198" s="18">
        <f>EJ198*VLOOKUP('Données projet'!$B$15,Paramètres!$A$1:$I$89,3,0)*VLOOKUP('Données projet'!$B$15,Paramètres!$A$1:$I$89,5,0)</f>
        <v>-3.813056537183002E-14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205.35893113421139</v>
      </c>
      <c r="EP198" s="62">
        <f t="shared" si="210"/>
        <v>220.4399811285175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8.1227999327703468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8.1227999327703468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382.55387448074327</v>
      </c>
      <c r="T199" s="62">
        <f t="shared" si="204"/>
        <v>476.29465646955543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17.507335836396443</v>
      </c>
      <c r="AA199" s="23">
        <f>EXP(-LN(2)/25)*AA198+(1-EXP(-LN(2)/25))/(LN(2)/25)*Calculateur!V199*Calculateur!X199*VLOOKUP('Données projet'!$B$9,Paramètres!$A$1:$I$89,3,0)*0.475*44/12</f>
        <v>1.4840451466430167</v>
      </c>
      <c r="AB199" s="23">
        <f>EXP(-LN(2)/2)*AB198+(1-EXP(-LN(2)/2))/(LN(2)/2)*V199*Y199*VLOOKUP('Données projet'!$B$9,Paramètres!$A$1:$I$89,3,0)*0.475*44/12</f>
        <v>1.9082246360882943E-19</v>
      </c>
      <c r="AC199" s="24">
        <f t="shared" si="163"/>
        <v>18.991380983039459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projet'!$B$10,Paramètres!$A$1:$I$89,3,0)*VLOOKUP('Données projet'!$B$10,Paramètres!$A$1:$I$89,5,0)</f>
        <v>-2.1282176021486519E-13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420.68062999212015</v>
      </c>
      <c r="AO199" s="62">
        <f t="shared" si="205"/>
        <v>655.24090633185676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28.805736612766712</v>
      </c>
      <c r="AV199" s="23">
        <f>EXP(-LN(2)/25)*AV198+(1-EXP(-LN(2)/25))/(LN(2)/25)*Calculateur!AQ199*Calculateur!AS199*VLOOKUP('Données projet'!$B$10,Paramètres!$A$1:$I$89,3,0)*0.475*44/12</f>
        <v>2.4487297191121291</v>
      </c>
      <c r="AW199" s="23">
        <f>EXP(-LN(2)/2)*AW198+(1-EXP(-LN(2)/2))/(LN(2)/2)*AQ199*AT199*VLOOKUP('Données projet'!$B$10,Paramètres!$A$1:$I$89,3,0)*0.475*44/12</f>
        <v>6.2723743450050386E-17</v>
      </c>
      <c r="AX199" s="23">
        <f t="shared" si="166"/>
        <v>31.254466331878842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138.3429338270858</v>
      </c>
      <c r="BJ199" s="62">
        <f t="shared" si="206"/>
        <v>88.30225651635925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82.006944581244511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82.006944581244511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122.57815304102127</v>
      </c>
      <c r="CE199" s="62">
        <f t="shared" si="207"/>
        <v>80.106609825870578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76.351293230813823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76.351293230813823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-3.7243808037601412E-14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199.99826357281154</v>
      </c>
      <c r="CZ199" s="62">
        <f t="shared" si="208"/>
        <v>214.67424457475136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6.3107114109681808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6.3107114109681808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-5.6843418860808015E-14</v>
      </c>
      <c r="DP199" s="18">
        <f>DO199*VLOOKUP('Données projet'!$B$14,Paramètres!$A$1:$I$89,3,0)*VLOOKUP('Données projet'!$B$14,Paramètres!$A$1:$I$89,5,0)</f>
        <v>-4.5224624045658861E-14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248.15263300983543</v>
      </c>
      <c r="DU199" s="62">
        <f t="shared" si="209"/>
        <v>266.46511459244618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9.4451012978111848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9.4451012978111848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-5.6843418860808015E-14</v>
      </c>
      <c r="EK199" s="18">
        <f>EJ199*VLOOKUP('Données projet'!$B$15,Paramètres!$A$1:$I$89,3,0)*VLOOKUP('Données projet'!$B$15,Paramètres!$A$1:$I$89,5,0)</f>
        <v>-3.813056537183002E-14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205.35893113421139</v>
      </c>
      <c r="EP199" s="62">
        <f t="shared" si="210"/>
        <v>220.4399811285175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7.9635167805074714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7.9635167805074714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382.55387448074327</v>
      </c>
      <c r="T200" s="62">
        <f t="shared" si="204"/>
        <v>476.29465646955543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17.164027659065162</v>
      </c>
      <c r="AA200" s="23">
        <f>EXP(-LN(2)/25)*AA199+(1-EXP(-LN(2)/25))/(LN(2)/25)*Calculateur!V200*Calculateur!X200*VLOOKUP('Données projet'!$B$9,Paramètres!$A$1:$I$89,3,0)*0.475*44/12</f>
        <v>1.4434638540655209</v>
      </c>
      <c r="AB200" s="23">
        <f>EXP(-LN(2)/2)*AB199+(1-EXP(-LN(2)/2))/(LN(2)/2)*V200*Y200*VLOOKUP('Données projet'!$B$9,Paramètres!$A$1:$I$89,3,0)*0.475*44/12</f>
        <v>1.3493185802052647E-19</v>
      </c>
      <c r="AC200" s="24">
        <f t="shared" si="163"/>
        <v>18.607491513130682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projet'!$B$10,Paramètres!$A$1:$I$89,3,0)*VLOOKUP('Données projet'!$B$10,Paramètres!$A$1:$I$89,5,0)</f>
        <v>-2.1282176021486519E-13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420.68062999212015</v>
      </c>
      <c r="AO200" s="62">
        <f t="shared" si="205"/>
        <v>655.24090633185676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28.240873687554821</v>
      </c>
      <c r="AV200" s="23">
        <f>EXP(-LN(2)/25)*AV199+(1-EXP(-LN(2)/25))/(LN(2)/25)*Calculateur!AQ200*Calculateur!AS200*VLOOKUP('Données projet'!$B$10,Paramètres!$A$1:$I$89,3,0)*0.475*44/12</f>
        <v>2.3817690761699088</v>
      </c>
      <c r="AW200" s="23">
        <f>EXP(-LN(2)/2)*AW199+(1-EXP(-LN(2)/2))/(LN(2)/2)*AQ200*AT200*VLOOKUP('Données projet'!$B$10,Paramètres!$A$1:$I$89,3,0)*0.475*44/12</f>
        <v>4.4352384334935922E-17</v>
      </c>
      <c r="AX200" s="23">
        <f t="shared" si="166"/>
        <v>30.62264276372473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138.3429338270858</v>
      </c>
      <c r="BJ200" s="62">
        <f t="shared" si="206"/>
        <v>88.30225651635925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80.398838417303509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80.398838417303509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122.57815304102127</v>
      </c>
      <c r="CE200" s="62">
        <f t="shared" si="207"/>
        <v>80.106609825870578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74.854090940248057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74.854090940248057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-3.7243808037601412E-14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199.99826357281154</v>
      </c>
      <c r="CZ200" s="62">
        <f t="shared" si="208"/>
        <v>214.67424457475136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6.1869622093529832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6.1869622093529832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-5.6843418860808015E-14</v>
      </c>
      <c r="DP200" s="18">
        <f>DO200*VLOOKUP('Données projet'!$B$14,Paramètres!$A$1:$I$89,3,0)*VLOOKUP('Données projet'!$B$14,Paramètres!$A$1:$I$89,5,0)</f>
        <v>-4.5224624045658861E-14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248.15263300983543</v>
      </c>
      <c r="DU200" s="62">
        <f t="shared" si="209"/>
        <v>266.46511459244618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9.2598886223040537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9.2598886223040537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-5.6843418860808015E-14</v>
      </c>
      <c r="EK200" s="18">
        <f>EJ200*VLOOKUP('Données projet'!$B$15,Paramètres!$A$1:$I$89,3,0)*VLOOKUP('Données projet'!$B$15,Paramètres!$A$1:$I$89,5,0)</f>
        <v>-3.813056537183002E-14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205.35893113421139</v>
      </c>
      <c r="EP200" s="62">
        <f t="shared" si="210"/>
        <v>220.4399811285175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7.8073570737073412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7.8073570737073412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382.55387448074327</v>
      </c>
      <c r="T201" s="62">
        <f t="shared" si="204"/>
        <v>476.29465646955543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16.827451545694036</v>
      </c>
      <c r="AA201" s="23">
        <f>EXP(-LN(2)/25)*AA200+(1-EXP(-LN(2)/25))/(LN(2)/25)*Calculateur!V201*Calculateur!X201*VLOOKUP('Données projet'!$B$9,Paramètres!$A$1:$I$89,3,0)*0.475*44/12</f>
        <v>1.4039922590676341</v>
      </c>
      <c r="AB201" s="23">
        <f>EXP(-LN(2)/2)*AB200+(1-EXP(-LN(2)/2))/(LN(2)/2)*V201*Y201*VLOOKUP('Données projet'!$B$9,Paramètres!$A$1:$I$89,3,0)*0.475*44/12</f>
        <v>9.5411231804414713E-20</v>
      </c>
      <c r="AC201" s="24">
        <f t="shared" si="163"/>
        <v>18.231443804761671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projet'!$B$10,Paramètres!$A$1:$I$89,3,0)*VLOOKUP('Données projet'!$B$10,Paramètres!$A$1:$I$89,5,0)</f>
        <v>-2.1282176021486519E-13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420.68062999212015</v>
      </c>
      <c r="AO201" s="62">
        <f t="shared" si="205"/>
        <v>655.24090633185676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27.68708737977397</v>
      </c>
      <c r="AV201" s="23">
        <f>EXP(-LN(2)/25)*AV200+(1-EXP(-LN(2)/25))/(LN(2)/25)*Calculateur!AQ201*Calculateur!AS201*VLOOKUP('Données projet'!$B$10,Paramètres!$A$1:$I$89,3,0)*0.475*44/12</f>
        <v>2.3166394755302506</v>
      </c>
      <c r="AW201" s="23">
        <f>EXP(-LN(2)/2)*AW200+(1-EXP(-LN(2)/2))/(LN(2)/2)*AQ201*AT201*VLOOKUP('Données projet'!$B$10,Paramètres!$A$1:$I$89,3,0)*0.475*44/12</f>
        <v>3.1361871725025193E-17</v>
      </c>
      <c r="AX201" s="23">
        <f t="shared" si="166"/>
        <v>30.003726855304222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138.3429338270858</v>
      </c>
      <c r="BJ201" s="62">
        <f t="shared" si="206"/>
        <v>88.30225651635925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78.822266234389474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78.822266234389474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122.57815304102127</v>
      </c>
      <c r="CE201" s="62">
        <f t="shared" si="207"/>
        <v>80.106609825870578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73.386247873397068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73.386247873397068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-3.7243808037601412E-14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199.99826357281154</v>
      </c>
      <c r="CZ201" s="62">
        <f t="shared" si="208"/>
        <v>214.67424457475136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6.0656396541018998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6.0656396541018998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-5.6843418860808015E-14</v>
      </c>
      <c r="DP201" s="18">
        <f>DO201*VLOOKUP('Données projet'!$B$14,Paramètres!$A$1:$I$89,3,0)*VLOOKUP('Données projet'!$B$14,Paramètres!$A$1:$I$89,5,0)</f>
        <v>-4.5224624045658861E-14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248.15263300983543</v>
      </c>
      <c r="DU201" s="62">
        <f t="shared" si="209"/>
        <v>266.46511459244618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9.0783078543950388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9.0783078543950388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-5.6843418860808015E-14</v>
      </c>
      <c r="EK201" s="18">
        <f>EJ201*VLOOKUP('Données projet'!$B$15,Paramètres!$A$1:$I$89,3,0)*VLOOKUP('Données projet'!$B$15,Paramètres!$A$1:$I$89,5,0)</f>
        <v>-3.813056537183002E-14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205.35893113421139</v>
      </c>
      <c r="EP201" s="62">
        <f t="shared" si="210"/>
        <v>220.4399811285175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7.6542595635095454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7.6542595635095454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382.55387448074327</v>
      </c>
      <c r="T202" s="62">
        <f t="shared" si="204"/>
        <v>476.29465646955543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16.497475484614959</v>
      </c>
      <c r="AA202" s="23">
        <f>EXP(-LN(2)/25)*AA201+(1-EXP(-LN(2)/25))/(LN(2)/25)*Calculateur!V202*Calculateur!X202*VLOOKUP('Données projet'!$B$9,Paramètres!$A$1:$I$89,3,0)*0.475*44/12</f>
        <v>1.3656000169106857</v>
      </c>
      <c r="AB202" s="23">
        <f>EXP(-LN(2)/2)*AB201+(1-EXP(-LN(2)/2))/(LN(2)/2)*V202*Y202*VLOOKUP('Données projet'!$B$9,Paramètres!$A$1:$I$89,3,0)*0.475*44/12</f>
        <v>6.7465929010263237E-20</v>
      </c>
      <c r="AC202" s="24">
        <f t="shared" si="163"/>
        <v>17.863075501525646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projet'!$B$10,Paramètres!$A$1:$I$89,3,0)*VLOOKUP('Données projet'!$B$10,Paramètres!$A$1:$I$89,5,0)</f>
        <v>-2.1282176021486519E-13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420.68062999212015</v>
      </c>
      <c r="AO202" s="62">
        <f t="shared" si="205"/>
        <v>655.24090633185676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27.144160483712408</v>
      </c>
      <c r="AV202" s="23">
        <f>EXP(-LN(2)/25)*AV201+(1-EXP(-LN(2)/25))/(LN(2)/25)*Calculateur!AQ202*Calculateur!AS202*VLOOKUP('Données projet'!$B$10,Paramètres!$A$1:$I$89,3,0)*0.475*44/12</f>
        <v>2.2532908472451005</v>
      </c>
      <c r="AW202" s="23">
        <f>EXP(-LN(2)/2)*AW201+(1-EXP(-LN(2)/2))/(LN(2)/2)*AQ202*AT202*VLOOKUP('Données projet'!$B$10,Paramètres!$A$1:$I$89,3,0)*0.475*44/12</f>
        <v>2.2176192167467961E-17</v>
      </c>
      <c r="AX202" s="23">
        <f t="shared" si="166"/>
        <v>29.397451330957509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138.3429338270858</v>
      </c>
      <c r="BJ202" s="62">
        <f t="shared" si="206"/>
        <v>88.30225651635925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77.276609670368302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77.276609670368302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122.57815304102127</v>
      </c>
      <c r="CE202" s="62">
        <f t="shared" si="207"/>
        <v>80.106609825870578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71.947188313791159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71.947188313791159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-3.7243808037601412E-14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199.99826357281154</v>
      </c>
      <c r="CZ202" s="62">
        <f t="shared" si="208"/>
        <v>214.67424457475136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5.9466961601598376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5.9466961601598376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-5.6843418860808015E-14</v>
      </c>
      <c r="DP202" s="18">
        <f>DO202*VLOOKUP('Données projet'!$B$14,Paramètres!$A$1:$I$89,3,0)*VLOOKUP('Données projet'!$B$14,Paramètres!$A$1:$I$89,5,0)</f>
        <v>-4.5224624045658861E-14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248.15263300983543</v>
      </c>
      <c r="DU202" s="62">
        <f t="shared" si="209"/>
        <v>266.46511459244618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8.9002877745913889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8.9002877745913889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-5.6843418860808015E-14</v>
      </c>
      <c r="EK202" s="18">
        <f>EJ202*VLOOKUP('Données projet'!$B$15,Paramètres!$A$1:$I$89,3,0)*VLOOKUP('Données projet'!$B$15,Paramètres!$A$1:$I$89,5,0)</f>
        <v>-3.813056537183002E-14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205.35893113421139</v>
      </c>
      <c r="EP202" s="62">
        <f t="shared" si="210"/>
        <v>220.4399811285175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7.504164202106467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7.504164202106467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382.55387448074327</v>
      </c>
      <c r="T203" s="62">
        <f t="shared" si="204"/>
        <v>476.29465646955543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16.173970052828121</v>
      </c>
      <c r="AA203" s="23">
        <f>EXP(-LN(2)/25)*AA202+(1-EXP(-LN(2)/25))/(LN(2)/25)*Calculateur!V203*Calculateur!X203*VLOOKUP('Données projet'!$B$9,Paramètres!$A$1:$I$89,3,0)*0.475*44/12</f>
        <v>1.3282576126344792</v>
      </c>
      <c r="AB203" s="23">
        <f>EXP(-LN(2)/2)*AB202+(1-EXP(-LN(2)/2))/(LN(2)/2)*V203*Y203*VLOOKUP('Données projet'!$B$9,Paramètres!$A$1:$I$89,3,0)*0.475*44/12</f>
        <v>4.7705615902207357E-20</v>
      </c>
      <c r="AC203" s="24">
        <f t="shared" si="163"/>
        <v>17.502227665462602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projet'!$B$10,Paramètres!$A$1:$I$89,3,0)*VLOOKUP('Données projet'!$B$10,Paramètres!$A$1:$I$89,5,0)</f>
        <v>-2.1282176021486519E-13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420.68062999212015</v>
      </c>
      <c r="AO203" s="62">
        <f t="shared" si="205"/>
        <v>655.24090633185676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26.611880052929905</v>
      </c>
      <c r="AV203" s="23">
        <f>EXP(-LN(2)/25)*AV202+(1-EXP(-LN(2)/25))/(LN(2)/25)*Calculateur!AQ203*Calculateur!AS203*VLOOKUP('Données projet'!$B$10,Paramètres!$A$1:$I$89,3,0)*0.475*44/12</f>
        <v>2.1916744905317675</v>
      </c>
      <c r="AW203" s="23">
        <f>EXP(-LN(2)/2)*AW202+(1-EXP(-LN(2)/2))/(LN(2)/2)*AQ203*AT203*VLOOKUP('Données projet'!$B$10,Paramètres!$A$1:$I$89,3,0)*0.475*44/12</f>
        <v>1.5680935862512596E-17</v>
      </c>
      <c r="AX203" s="23">
        <f t="shared" si="166"/>
        <v>28.803554543461672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138.3429338270858</v>
      </c>
      <c r="BJ203" s="62">
        <f t="shared" si="206"/>
        <v>88.30225651635925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75.761262488810175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75.761262488810175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122.57815304102127</v>
      </c>
      <c r="CE203" s="62">
        <f t="shared" si="207"/>
        <v>80.106609825870578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70.536347834409455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70.536347834409455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-3.7243808037601412E-14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199.99826357281154</v>
      </c>
      <c r="CZ203" s="62">
        <f t="shared" si="208"/>
        <v>214.67424457475136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5.830085075585612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5.830085075585612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-5.6843418860808015E-14</v>
      </c>
      <c r="DP203" s="18">
        <f>DO203*VLOOKUP('Données projet'!$B$14,Paramètres!$A$1:$I$89,3,0)*VLOOKUP('Données projet'!$B$14,Paramètres!$A$1:$I$89,5,0)</f>
        <v>-4.5224624045658861E-14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248.15263300983543</v>
      </c>
      <c r="DU203" s="62">
        <f t="shared" si="209"/>
        <v>266.46511459244618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8.72575855997116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8.72575855997116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-5.6843418860808015E-14</v>
      </c>
      <c r="EK203" s="18">
        <f>EJ203*VLOOKUP('Données projet'!$B$15,Paramètres!$A$1:$I$89,3,0)*VLOOKUP('Données projet'!$B$15,Paramètres!$A$1:$I$89,5,0)</f>
        <v>-3.813056537183002E-14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205.35893113421139</v>
      </c>
      <c r="EP203" s="62">
        <f t="shared" si="210"/>
        <v>220.4399811285175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7.3570121191913724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7.3570121191913724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1.3070441688874561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1.4558277434808029</v>
      </c>
      <c r="BA205" s="88">
        <f>EXP(LN('Données projet'!B88)/'Données projet'!A88)</f>
        <v>1.0879105265398694</v>
      </c>
      <c r="BV205" s="88">
        <f>EXP(LN('Données projet'!B114)/'Données projet'!A114)</f>
        <v>1.0879105265398694</v>
      </c>
      <c r="CQ205" s="88">
        <f>EXP(LN('Données projet'!B140)/'Données projet'!A140)</f>
        <v>1.3405093326912476</v>
      </c>
      <c r="DL205" s="88">
        <f>EXP(LN('Données projet'!B166)/'Données projet'!A166)</f>
        <v>1.3405093326912476</v>
      </c>
      <c r="EG205" s="88">
        <f>EXP(LN('Données projet'!B192)/'Données projet'!A192)</f>
        <v>1.3405093326912476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2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35" t="s">
        <v>238</v>
      </c>
      <c r="P2" s="129">
        <v>0</v>
      </c>
    </row>
    <row r="3" spans="1:16" ht="16" thickBot="1" x14ac:dyDescent="0.25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36"/>
      <c r="P3" s="136">
        <v>0.2</v>
      </c>
    </row>
    <row r="4" spans="1:16" ht="16" thickBot="1" x14ac:dyDescent="0.25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2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35" t="s">
        <v>237</v>
      </c>
      <c r="P5" s="129">
        <v>0</v>
      </c>
    </row>
    <row r="6" spans="1:16" x14ac:dyDescent="0.2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37"/>
      <c r="P6" s="137">
        <v>0.05</v>
      </c>
    </row>
    <row r="7" spans="1:16" x14ac:dyDescent="0.2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37"/>
      <c r="P7" s="137">
        <v>0.1</v>
      </c>
    </row>
    <row r="8" spans="1:16" ht="16" thickBot="1" x14ac:dyDescent="0.25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36"/>
      <c r="P8" s="136">
        <v>0.15</v>
      </c>
    </row>
    <row r="9" spans="1:16" ht="16" thickBot="1" x14ac:dyDescent="0.25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2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35" t="s">
        <v>236</v>
      </c>
      <c r="P10" s="129">
        <v>0</v>
      </c>
    </row>
    <row r="11" spans="1:16" ht="16" thickBot="1" x14ac:dyDescent="0.25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36"/>
      <c r="P11" s="136">
        <v>0.1</v>
      </c>
    </row>
    <row r="12" spans="1:16" x14ac:dyDescent="0.2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2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2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2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2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2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2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2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2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2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2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2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2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2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2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2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2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2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2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2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2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2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2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2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2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2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2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2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2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2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2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2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2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2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2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2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2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2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2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2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2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2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2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2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2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2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2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2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2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2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2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2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2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2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2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2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2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2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2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2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2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2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2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2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2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2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2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2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2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2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2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2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2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2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2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99"/>
      <c r="K87" s="99"/>
      <c r="L87" s="99"/>
      <c r="M87" s="99"/>
      <c r="N87" s="99"/>
    </row>
    <row r="88" spans="1:14" x14ac:dyDescent="0.2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6" thickBot="1" x14ac:dyDescent="0.25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2">
      <c r="A93" s="130" t="s">
        <v>208</v>
      </c>
    </row>
    <row r="94" spans="1:14" x14ac:dyDescent="0.2">
      <c r="A94" s="130" t="s">
        <v>209</v>
      </c>
    </row>
    <row r="95" spans="1:14" x14ac:dyDescent="0.2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J25" sqref="J25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26" t="s">
        <v>271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3" t="str">
        <f>IF('Données projet'!$B$9="","",'Données projet'!$B$9)</f>
        <v>Douglas</v>
      </c>
      <c r="B6" s="154">
        <f>'Données projet'!D9</f>
        <v>5.9508000000000001</v>
      </c>
      <c r="C6" s="155">
        <f ca="1">IF(OR('Données projet'!B9="",'Données projet'!C9="",'Données projet'!C9=0%),0,Calculateur!S3)</f>
        <v>382.55387448074327</v>
      </c>
      <c r="D6" s="155">
        <f>IF(OR('Données projet'!B9="",'Données projet'!C9="",'Données projet'!C9=0%),0,Calculateur!T3)</f>
        <v>476.29465646955543</v>
      </c>
      <c r="E6" s="155">
        <f ca="1">MIN(C6,D6)</f>
        <v>382.55387448074327</v>
      </c>
      <c r="F6" s="155">
        <f ca="1">E6*B6</f>
        <v>2276.5015962600073</v>
      </c>
      <c r="G6" s="155">
        <f ca="1">F6*(100%-'Données projet'!$C$24)*(100%-'Données projet'!$C$25)*(100%-'Données projet'!$C$26)*(100%-'Données projet'!$C$27)</f>
        <v>2048.8514366340069</v>
      </c>
      <c r="H6" s="156">
        <f>IF(OR('Données projet'!B9="",'Données projet'!C9="",'Données projet'!C9=0%),0,AVERAGE(Calculateur!$AC$3:$AC$33)*B6)</f>
        <v>26.373475347338527</v>
      </c>
      <c r="I6" s="157">
        <f>H6*(100%-'Données projet'!$C$24)*(100%-'Données projet'!$C$25)*(100%-'Données projet'!$C$26)*(100%-'Données projet'!$C$27)</f>
        <v>23.736127812604675</v>
      </c>
      <c r="J6" s="158">
        <f>IF(OR('Données projet'!B9="",'Données projet'!C9="",'Données projet'!C9=0%),0,SUM(Calculateur!$V$3:$V$33)*VLOOKUP('Données projet'!$B$9,Paramètres!$A$1:$I$89,9,0)*B6)</f>
        <v>276.35515199999998</v>
      </c>
      <c r="K6" s="159">
        <f>J6*(100%-'Données projet'!$C$24)*(100%-'Données projet'!$C$25)*(100%-'Données projet'!$C$26)*(100%-'Données projet'!$C$27)</f>
        <v>248.71963679999999</v>
      </c>
      <c r="L6" s="160">
        <f ca="1">G6+I6+K6</f>
        <v>2321.3072012466114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1" t="str">
        <f>IF('Données projet'!$B$10="","",'Données projet'!$B$10)</f>
        <v>Mélèze d'Europe</v>
      </c>
      <c r="B7" s="162">
        <f>'Données projet'!D10</f>
        <v>3.8569999999999998</v>
      </c>
      <c r="C7" s="155">
        <f ca="1">IF(OR('Données projet'!B10="",'Données projet'!C10="",'Données projet'!C10=0%),0,Calculateur!AN3)</f>
        <v>420.68062999212015</v>
      </c>
      <c r="D7" s="155">
        <f>IF(OR('Données projet'!B10="",'Données projet'!C10="",'Données projet'!C10=0%),0,Calculateur!AO3)</f>
        <v>655.24090633185676</v>
      </c>
      <c r="E7" s="155">
        <f t="shared" ref="E7:E15" ca="1" si="0">MIN(C7,D7)</f>
        <v>420.68062999212015</v>
      </c>
      <c r="F7" s="155">
        <f t="shared" ref="F7:F15" ca="1" si="1">E7*B7</f>
        <v>1622.5651898796073</v>
      </c>
      <c r="G7" s="155">
        <f ca="1">F7*(100%-'Données projet'!$C$24)*(100%-'Données projet'!$C$25)*(100%-'Données projet'!$C$26)*(100%-'Données projet'!$C$27)</f>
        <v>1460.3086708916467</v>
      </c>
      <c r="H7" s="163">
        <f>IF(OR('Données projet'!B10="",'Données projet'!C10="",'Données projet'!C10=0%),0,AVERAGE(Calculateur!$AX$3:$AX$33)*B7)</f>
        <v>6.1392648897847568</v>
      </c>
      <c r="I7" s="157">
        <f>H7*(100%-'Données projet'!$C$24)*(100%-'Données projet'!$C$25)*(100%-'Données projet'!$C$26)*(100%-'Données projet'!$C$27)</f>
        <v>5.5253384008062811</v>
      </c>
      <c r="J7" s="158">
        <f>IF(OR('Données projet'!B10="",'Données projet'!C10="",'Données projet'!C10=0%),0,SUM(Calculateur!$AQ$3:$AQ$33)*VLOOKUP('Données projet'!$B$10,Paramètres!$A$1:$I$89,9,0)*B7)</f>
        <v>156.16530159999999</v>
      </c>
      <c r="K7" s="159">
        <f>J7*(100%-'Données projet'!$C$24)*(100%-'Données projet'!$C$25)*(100%-'Données projet'!$C$26)*(100%-'Données projet'!$C$27)</f>
        <v>140.54877144</v>
      </c>
      <c r="L7" s="160">
        <f t="shared" ref="L7:L15" ca="1" si="2">G7+I7+K7</f>
        <v>1606.3827807324528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1" t="str">
        <f>IF('Données projet'!$B$11="","",'Données projet'!$B$11)</f>
        <v>Chêne sessile</v>
      </c>
      <c r="B8" s="162">
        <f>'Données projet'!D11</f>
        <v>0.22039999999999998</v>
      </c>
      <c r="C8" s="155">
        <f ca="1">IF(OR('Données projet'!B11="",'Données projet'!C11="",'Données projet'!C11=0%),0,Calculateur!BI3)</f>
        <v>138.3429338270858</v>
      </c>
      <c r="D8" s="155">
        <f>IF(OR('Données projet'!B11="",'Données projet'!C11="",'Données projet'!C11=0%),0,Calculateur!BJ3)</f>
        <v>88.30225651635925</v>
      </c>
      <c r="E8" s="155">
        <f t="shared" ca="1" si="0"/>
        <v>88.30225651635925</v>
      </c>
      <c r="F8" s="155">
        <f t="shared" ca="1" si="1"/>
        <v>19.461817336205577</v>
      </c>
      <c r="G8" s="155">
        <f ca="1">F8*(100%-'Données projet'!$C$24)*(100%-'Données projet'!$C$25)*(100%-'Données projet'!$C$26)*(100%-'Données projet'!$C$27)</f>
        <v>17.515635602585022</v>
      </c>
      <c r="H8" s="163">
        <f>IF(OR('Données projet'!B11="",'Données projet'!C11="",'Données projet'!C11=0%),0,AVERAGE(Calculateur!$BS$3:$BS$33)*B8)</f>
        <v>0</v>
      </c>
      <c r="I8" s="157">
        <f>H8*(100%-'Données projet'!$C$24)*(100%-'Données projet'!$C$25)*(100%-'Données projet'!$C$26)*(100%-'Données projet'!$C$27)</f>
        <v>0</v>
      </c>
      <c r="J8" s="158">
        <f>IF(OR('Données projet'!B11="",'Données projet'!C11="",'Données projet'!C11=0%),0,SUM(Calculateur!$BL$3:$BL$33)*VLOOKUP('Données projet'!$B$11,Paramètres!$A$1:$I$89,9,0)*B8)</f>
        <v>0</v>
      </c>
      <c r="K8" s="159">
        <f>J8*(100%-'Données projet'!$C$24)*(100%-'Données projet'!$C$25)*(100%-'Données projet'!$C$26)*(100%-'Données projet'!$C$27)</f>
        <v>0</v>
      </c>
      <c r="L8" s="160">
        <f t="shared" ca="1" si="2"/>
        <v>17.515635602585022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1" t="str">
        <f>IF('Données projet'!$B$12="","",'Données projet'!$B$12)</f>
        <v>Chêne pédonculé</v>
      </c>
      <c r="B9" s="162">
        <f>'Données projet'!D12</f>
        <v>0.22039999999999998</v>
      </c>
      <c r="C9" s="155">
        <f ca="1">IF(OR('Données projet'!B12="",'Données projet'!C12="",'Données projet'!C12=0%),0,Calculateur!CD3)</f>
        <v>122.57815304102127</v>
      </c>
      <c r="D9" s="155">
        <f>IF(OR('Données projet'!B12="",'Données projet'!C12="",'Données projet'!C12=0%),0,Calculateur!CE3)</f>
        <v>80.106609825870578</v>
      </c>
      <c r="E9" s="155">
        <f t="shared" ca="1" si="0"/>
        <v>80.106609825870578</v>
      </c>
      <c r="F9" s="155">
        <f t="shared" ca="1" si="1"/>
        <v>17.655496805621873</v>
      </c>
      <c r="G9" s="155">
        <f ca="1">F9*(100%-'Données projet'!$C$24)*(100%-'Données projet'!$C$25)*(100%-'Données projet'!$C$26)*(100%-'Données projet'!$C$27)</f>
        <v>15.889947125059686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0</v>
      </c>
      <c r="K9" s="159">
        <f>J9*(100%-'Données projet'!$C$24)*(100%-'Données projet'!$C$25)*(100%-'Données projet'!$C$26)*(100%-'Données projet'!$C$27)</f>
        <v>0</v>
      </c>
      <c r="L9" s="160">
        <f t="shared" ca="1" si="2"/>
        <v>15.889947125059686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1" t="str">
        <f>IF('Données projet'!$B$13="","",'Données projet'!$B$13)</f>
        <v>Aulne glutineux</v>
      </c>
      <c r="B10" s="162">
        <f>'Données projet'!D13</f>
        <v>0.11019999999999999</v>
      </c>
      <c r="C10" s="155">
        <f ca="1">IF(OR('Données projet'!B13="",'Données projet'!C13="",'Données projet'!C13=0%),0,Calculateur!CY3)</f>
        <v>199.99826357281154</v>
      </c>
      <c r="D10" s="155">
        <f>IF(OR('Données projet'!B13="",'Données projet'!C13="",'Données projet'!C13=0%),0,Calculateur!CZ3)</f>
        <v>214.67424457475136</v>
      </c>
      <c r="E10" s="155">
        <f t="shared" ca="1" si="0"/>
        <v>199.99826357281154</v>
      </c>
      <c r="F10" s="155">
        <f t="shared" ca="1" si="1"/>
        <v>22.039808645723831</v>
      </c>
      <c r="G10" s="155">
        <f ca="1">F10*(100%-'Données projet'!$C$24)*(100%-'Données projet'!$C$25)*(100%-'Données projet'!$C$26)*(100%-'Données projet'!$C$27)</f>
        <v>19.835827781151448</v>
      </c>
      <c r="H10" s="163">
        <f>IF(OR('Données projet'!B13="",'Données projet'!C13="",'Données projet'!C13=0%),0,AVERAGE(Calculateur!$DI$3:$DI$33)*B10)</f>
        <v>0.10828790267472864</v>
      </c>
      <c r="I10" s="157">
        <f>H10*(100%-'Données projet'!$C$24)*(100%-'Données projet'!$C$25)*(100%-'Données projet'!$C$26)*(100%-'Données projet'!$C$27)</f>
        <v>9.7459112407255771E-2</v>
      </c>
      <c r="J10" s="158">
        <f>IF(OR('Données projet'!B13="",'Données projet'!C13="",'Données projet'!C13=0%),0,SUM(Calculateur!$DB$3:$DB$33)*VLOOKUP('Données projet'!$B$13,Paramètres!$A$1:$I$89,9,0)*B10)</f>
        <v>1.0461538541666666</v>
      </c>
      <c r="K10" s="159">
        <f>J10*(100%-'Données projet'!$C$24)*(100%-'Données projet'!$C$25)*(100%-'Données projet'!$C$26)*(100%-'Données projet'!$C$27)</f>
        <v>0.94153846875000002</v>
      </c>
      <c r="L10" s="160">
        <f t="shared" ca="1" si="2"/>
        <v>20.874825362308705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1" t="str">
        <f>IF('Données projet'!$B$14="","",'Données projet'!$B$14)</f>
        <v>Erable sycomore</v>
      </c>
      <c r="B11" s="162">
        <f>'Données projet'!D14</f>
        <v>0.33059999999999995</v>
      </c>
      <c r="C11" s="155">
        <f ca="1">IF(OR('Données projet'!B14="",'Données projet'!C14="",'Données projet'!C14=0%),0,Calculateur!DT3)</f>
        <v>248.15263300983543</v>
      </c>
      <c r="D11" s="155">
        <f>IF(OR('Données projet'!B14="",'Données projet'!C14="",'Données projet'!C14=0%),0,Calculateur!DU3)</f>
        <v>266.46511459244618</v>
      </c>
      <c r="E11" s="155">
        <f t="shared" ca="1" si="0"/>
        <v>248.15263300983543</v>
      </c>
      <c r="F11" s="155">
        <f t="shared" ca="1" si="1"/>
        <v>82.039260473051584</v>
      </c>
      <c r="G11" s="155">
        <f ca="1">F11*(100%-'Données projet'!$C$24)*(100%-'Données projet'!$C$25)*(100%-'Données projet'!$C$26)*(100%-'Données projet'!$C$27)</f>
        <v>73.835334425746424</v>
      </c>
      <c r="H11" s="163">
        <f>IF(OR('Données projet'!B14="",'Données projet'!C14="",'Données projet'!C14=0%),0,AVERAGE(Calculateur!$ED$3:$ED$33)*B11)</f>
        <v>0.48621628061427152</v>
      </c>
      <c r="I11" s="157">
        <f>H11*(100%-'Données projet'!$C$24)*(100%-'Données projet'!$C$25)*(100%-'Données projet'!$C$26)*(100%-'Données projet'!$C$27)</f>
        <v>0.43759465255284435</v>
      </c>
      <c r="J11" s="158">
        <f>IF(OR('Données projet'!B14="",'Données projet'!C14="",'Données projet'!C14=0%),0,SUM(Calculateur!$DW$3:$DW$33)*VLOOKUP('Données projet'!$B$14,Paramètres!$A$1:$I$89,9,0)*B11)</f>
        <v>3.1384615624999999</v>
      </c>
      <c r="K11" s="159">
        <f>J11*(100%-'Données projet'!$C$24)*(100%-'Données projet'!$C$25)*(100%-'Données projet'!$C$26)*(100%-'Données projet'!$C$27)</f>
        <v>2.82461540625</v>
      </c>
      <c r="L11" s="160">
        <f t="shared" ca="1" si="2"/>
        <v>77.097544484549275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1" t="str">
        <f>IF('Données projet'!$B$15="","",'Données projet'!$B$15)</f>
        <v>Tilleul</v>
      </c>
      <c r="B12" s="162">
        <f>'Données projet'!D15</f>
        <v>0.33059999999999995</v>
      </c>
      <c r="C12" s="155">
        <f ca="1">IF(OR('Données projet'!B15="",'Données projet'!C15="",'Données projet'!C15=0%),0,Calculateur!EO3)</f>
        <v>205.35893113421139</v>
      </c>
      <c r="D12" s="155">
        <f>IF(OR('Données projet'!B15="",'Données projet'!C15="",'Données projet'!C15=0%),0,Calculateur!EP3)</f>
        <v>220.4399811285175</v>
      </c>
      <c r="E12" s="155">
        <f t="shared" ca="1" si="0"/>
        <v>205.35893113421139</v>
      </c>
      <c r="F12" s="155">
        <f t="shared" ca="1" si="1"/>
        <v>67.891662632970281</v>
      </c>
      <c r="G12" s="155">
        <f ca="1">F12*(100%-'Données projet'!$C$24)*(100%-'Données projet'!$C$25)*(100%-'Données projet'!$C$26)*(100%-'Données projet'!$C$27)</f>
        <v>61.102496369673254</v>
      </c>
      <c r="H12" s="163">
        <f>IF(OR('Données projet'!B15="",'Données projet'!C15="",'Données projet'!C15=0%),0,AVERAGE(Calculateur!$EY$3:$EY$33)*B12)</f>
        <v>0.40994706012575838</v>
      </c>
      <c r="I12" s="157">
        <f>H12*(100%-'Données projet'!$C$24)*(100%-'Données projet'!$C$25)*(100%-'Données projet'!$C$26)*(100%-'Données projet'!$C$27)</f>
        <v>0.36895235411318256</v>
      </c>
      <c r="J12" s="158">
        <f>IF(OR('Données projet'!B15="",'Données projet'!C15="",'Données projet'!C15=0%),0,SUM(Calculateur!$ER$3:$ER$33)*VLOOKUP('Données projet'!$B$15,Paramètres!$A$1:$I$89,9,0)*B12)</f>
        <v>3.1384615624999999</v>
      </c>
      <c r="K12" s="159">
        <f>J12*(100%-'Données projet'!$C$24)*(100%-'Données projet'!$C$25)*(100%-'Données projet'!$C$26)*(100%-'Données projet'!$C$27)</f>
        <v>2.82461540625</v>
      </c>
      <c r="L12" s="160">
        <f t="shared" ca="1" si="2"/>
        <v>64.296064130036441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1" t="str">
        <f>IF('Données projet'!$B$16="","",'Données projet'!$B$16)</f>
        <v/>
      </c>
      <c r="B13" s="162">
        <f>'Données projet'!D16</f>
        <v>0</v>
      </c>
      <c r="C13" s="155">
        <f>IF(OR('Données projet'!B16="",'Données projet'!C16="",'Données projet'!C16=0%),0,Calculateur!FJ3)</f>
        <v>0</v>
      </c>
      <c r="D13" s="155">
        <f>IF(OR('Données projet'!B16="",'Données projet'!C16="",'Données projet'!C16=0%),0,Calculateur!FK3)</f>
        <v>0</v>
      </c>
      <c r="E13" s="155">
        <f t="shared" si="0"/>
        <v>0</v>
      </c>
      <c r="F13" s="155">
        <f t="shared" si="1"/>
        <v>0</v>
      </c>
      <c r="G13" s="155">
        <f>F13*(100%-'Données projet'!$C$24)*(100%-'Données projet'!$C$25)*(100%-'Données projet'!$C$26)*(100%-'Données projet'!$C$27)</f>
        <v>0</v>
      </c>
      <c r="H13" s="163">
        <f>IF(OR('Données projet'!B16="",'Données projet'!C16="",'Données projet'!C16=0%),0,AVERAGE(Calculateur!$FT$3:$FT$33)*B13)</f>
        <v>0</v>
      </c>
      <c r="I13" s="157">
        <f>H13*(100%-'Données projet'!$C$24)*(100%-'Données projet'!$C$25)*(100%-'Données projet'!$C$26)*(100%-'Données projet'!$C$27)</f>
        <v>0</v>
      </c>
      <c r="J13" s="158">
        <f>IF(OR('Données projet'!C16="",'Données projet'!C16=0%),0,SUM(Calculateur!$FM$3:$FM$33)*VLOOKUP('Données projet'!$B$16,Paramètres!$A$1:$I$89,9,0)*B13)</f>
        <v>0</v>
      </c>
      <c r="K13" s="159">
        <f>J13*(100%-'Données projet'!$C$24)*(100%-'Données projet'!$C$25)*(100%-'Données projet'!$C$26)*(100%-'Données projet'!$C$27)</f>
        <v>0</v>
      </c>
      <c r="L13" s="160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1" t="str">
        <f>IF('Données projet'!$B$17="","",'Données projet'!$B$17)</f>
        <v/>
      </c>
      <c r="B14" s="162">
        <f>'Données projet'!D17</f>
        <v>0</v>
      </c>
      <c r="C14" s="155">
        <f>IF(OR('Données projet'!B17="",'Données projet'!C17="",'Données projet'!C17=0%),0,Calculateur!GE3)</f>
        <v>0</v>
      </c>
      <c r="D14" s="155">
        <f>IF(OR('Données projet'!B17="",'Données projet'!C17="",'Données projet'!C17=0%),0,Calculateur!GF3)</f>
        <v>0</v>
      </c>
      <c r="E14" s="155">
        <f t="shared" si="0"/>
        <v>0</v>
      </c>
      <c r="F14" s="155">
        <f t="shared" si="1"/>
        <v>0</v>
      </c>
      <c r="G14" s="155">
        <f>F14*(100%-'Données projet'!$C$24)*(100%-'Données projet'!$C$25)*(100%-'Données projet'!$C$26)*(100%-'Données projet'!$C$27)</f>
        <v>0</v>
      </c>
      <c r="H14" s="163">
        <f>IF(OR('Données projet'!B17="",'Données projet'!C17="",'Données projet'!C17=0%),0,AVERAGE(Calculateur!$GO$3:$GO$33)*B14)</f>
        <v>0</v>
      </c>
      <c r="I14" s="157">
        <f>H14*(100%-'Données projet'!$C$24)*(100%-'Données projet'!$C$25)*(100%-'Données projet'!$C$26)*(100%-'Données projet'!$C$27)</f>
        <v>0</v>
      </c>
      <c r="J14" s="158">
        <f>IF(OR('Données projet'!B17="",'Données projet'!C17="",'Données projet'!C17=0%),0,SUM(Calculateur!$GH$3:$GH$33)*VLOOKUP('Données projet'!$B$17,Paramètres!$A$1:$I$89,9,0)*B14)</f>
        <v>0</v>
      </c>
      <c r="K14" s="159">
        <f>J14*(100%-'Données projet'!$C$24)*(100%-'Données projet'!$C$25)*(100%-'Données projet'!$C$26)*(100%-'Données projet'!$C$27)</f>
        <v>0</v>
      </c>
      <c r="L14" s="160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4" t="str">
        <f>IF('Données projet'!B18="","",'Données projet'!B18)</f>
        <v/>
      </c>
      <c r="B15" s="165">
        <f>'Données projet'!D18</f>
        <v>0</v>
      </c>
      <c r="C15" s="166">
        <f>IF(OR('Données projet'!B18="",'Données projet'!C18="",'Données projet'!C18=0%),0,Calculateur!GZ3)</f>
        <v>0</v>
      </c>
      <c r="D15" s="166">
        <f>IF(OR('Données projet'!B18="",'Données projet'!C18="",'Données projet'!C18=0%),0,Calculateur!HA3)</f>
        <v>0</v>
      </c>
      <c r="E15" s="166">
        <f t="shared" si="0"/>
        <v>0</v>
      </c>
      <c r="F15" s="167">
        <f t="shared" si="1"/>
        <v>0</v>
      </c>
      <c r="G15" s="167">
        <f>F15*(100%-'Données projet'!$C$24)*(100%-'Données projet'!$C$25)*(100%-'Données projet'!$C$26)*(100%-'Données projet'!$C$27)</f>
        <v>0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0</v>
      </c>
      <c r="K15" s="171">
        <f>J15*(100%-'Données projet'!$C$24)*(100%-'Données projet'!$C$25)*(100%-'Données projet'!$C$26)*(100%-'Données projet'!$C$27)</f>
        <v>0</v>
      </c>
      <c r="L15" s="172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3">
        <f t="shared" ref="F16:L16" ca="1" si="3">SUM(F6:F15)</f>
        <v>4108.1548320331876</v>
      </c>
      <c r="G16" s="174">
        <f t="shared" ca="1" si="3"/>
        <v>3697.3393488298693</v>
      </c>
      <c r="H16" s="175">
        <f t="shared" si="3"/>
        <v>33.517191480538045</v>
      </c>
      <c r="I16" s="175">
        <f t="shared" si="3"/>
        <v>30.165472332484239</v>
      </c>
      <c r="J16" s="176">
        <f t="shared" si="3"/>
        <v>439.84353057916672</v>
      </c>
      <c r="K16" s="176">
        <f t="shared" si="3"/>
        <v>395.85917752125005</v>
      </c>
      <c r="L16" s="177">
        <f t="shared" ca="1" si="3"/>
        <v>4123.3639986836033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38" t="s">
        <v>246</v>
      </c>
      <c r="G17" s="339"/>
      <c r="H17" s="339"/>
      <c r="I17" s="339"/>
      <c r="J17" s="339"/>
      <c r="K17" s="339"/>
      <c r="L17" s="33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40"/>
      <c r="G18" s="340"/>
      <c r="H18" s="340"/>
      <c r="I18" s="340"/>
      <c r="J18" s="340"/>
      <c r="K18" s="340"/>
      <c r="L18" s="34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8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8" t="str">
        <f>A7</f>
        <v>Mélèze d'Europe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8" t="str">
        <f>A8</f>
        <v>Chêne sessile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8" t="str">
        <f>A9</f>
        <v>Chêne pédonculé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8" t="str">
        <f>A10</f>
        <v>Aulne glutineux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8" t="str">
        <f>A11</f>
        <v>Erable sycomore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8" t="str">
        <f>A12</f>
        <v>Tilleul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8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8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8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3" zoomScaleNormal="110" workbookViewId="0">
      <selection activeCell="S2" sqref="S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26" t="s">
        <v>272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2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2">
      <c r="A4" s="98"/>
      <c r="B4" s="98"/>
      <c r="C4" s="98"/>
      <c r="D4" s="98"/>
      <c r="E4" s="98"/>
      <c r="G4" s="179"/>
      <c r="H4" s="358" t="s">
        <v>315</v>
      </c>
      <c r="I4" s="358"/>
      <c r="K4" s="355" t="s">
        <v>253</v>
      </c>
      <c r="L4" s="356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2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6" thickBot="1" x14ac:dyDescent="0.25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47" t="s">
        <v>310</v>
      </c>
      <c r="S7" s="348"/>
      <c r="T7" s="348"/>
      <c r="U7" s="348"/>
      <c r="V7" s="349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Douglas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833.67659785088358</v>
      </c>
      <c r="U10" s="189">
        <f>'Données projet'!D9</f>
        <v>5.9508000000000001</v>
      </c>
      <c r="V10" s="188">
        <f>U10*T10</f>
        <v>4961.0426984910382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Mélèze d'Europe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-1590.5673865646686</v>
      </c>
      <c r="U11" s="189">
        <f>'Données projet'!D10</f>
        <v>3.8569999999999998</v>
      </c>
      <c r="V11" s="188">
        <f t="shared" ref="V11" si="0">U11*T11</f>
        <v>-6134.8184099799264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Chêne sessile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-9626.2087193663319</v>
      </c>
      <c r="U12" s="189">
        <f>'Données projet'!D11</f>
        <v>0.22039999999999998</v>
      </c>
      <c r="V12" s="188">
        <f t="shared" ref="V12:V19" si="1">U12*T12</f>
        <v>-2121.6164017483393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Chêne pédonculé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-6871.3301181377392</v>
      </c>
      <c r="U13" s="189">
        <f>'Données projet'!D12</f>
        <v>0.22039999999999998</v>
      </c>
      <c r="V13" s="188">
        <f t="shared" si="1"/>
        <v>-1514.4411580375577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5" t="str">
        <f>IF('Données projet'!$B$9="","",'Données projet'!$B$9)</f>
        <v>Douglas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>Aulne glutineux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-9418.7365249304275</v>
      </c>
      <c r="U14" s="189">
        <f>'Données projet'!D13</f>
        <v>0.11019999999999999</v>
      </c>
      <c r="V14" s="188">
        <f t="shared" si="1"/>
        <v>-1037.944765047333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59" t="s">
        <v>318</v>
      </c>
      <c r="H15" s="202">
        <v>0</v>
      </c>
      <c r="I15" s="203">
        <v>357.5317604355717</v>
      </c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>Erable sycomore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-5705.9181870697585</v>
      </c>
      <c r="U15" s="189">
        <f>'Données projet'!D14</f>
        <v>0.33059999999999995</v>
      </c>
      <c r="V15" s="188">
        <f t="shared" si="1"/>
        <v>-1886.3765526452619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59"/>
      <c r="H16" s="202">
        <v>1</v>
      </c>
      <c r="I16" s="203">
        <v>0</v>
      </c>
      <c r="J16" s="215"/>
      <c r="K16" s="224"/>
      <c r="L16" s="355" t="s">
        <v>254</v>
      </c>
      <c r="M16" s="356"/>
      <c r="N16" s="2">
        <v>30</v>
      </c>
      <c r="O16" s="25"/>
      <c r="P16" s="25"/>
      <c r="Q16" s="264"/>
      <c r="R16" s="25"/>
      <c r="S16" s="184" t="str">
        <f>B200</f>
        <v>Tilleul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-5707.0402074494004</v>
      </c>
      <c r="U16" s="189">
        <f>'Données projet'!D15</f>
        <v>0.33059999999999995</v>
      </c>
      <c r="V16" s="188">
        <f t="shared" si="1"/>
        <v>-1886.7474925827714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302"/>
      <c r="D17" s="210" t="s">
        <v>132</v>
      </c>
      <c r="E17" s="299">
        <v>1914.0779391006251</v>
      </c>
      <c r="F17" s="260"/>
      <c r="G17" s="359"/>
      <c r="J17" s="215"/>
      <c r="K17" s="224"/>
      <c r="L17" s="313" t="s">
        <v>289</v>
      </c>
      <c r="M17" s="315"/>
      <c r="N17" s="186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4"/>
      <c r="R17" s="25"/>
      <c r="S17" s="184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9">
        <f>'Données projet'!D16</f>
        <v>0</v>
      </c>
      <c r="V17" s="188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302"/>
      <c r="D18" s="210" t="s">
        <v>132</v>
      </c>
      <c r="E18" s="300">
        <v>600</v>
      </c>
      <c r="F18" s="260"/>
      <c r="G18" s="359"/>
      <c r="J18" s="215"/>
      <c r="K18" s="224"/>
      <c r="L18" s="313" t="s">
        <v>255</v>
      </c>
      <c r="M18" s="315"/>
      <c r="N18" s="204">
        <v>8</v>
      </c>
      <c r="O18" s="25"/>
      <c r="P18" s="25"/>
      <c r="Q18" s="264"/>
      <c r="R18" s="25"/>
      <c r="S18" s="184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9">
        <f>'Données projet'!D17</f>
        <v>0</v>
      </c>
      <c r="V18" s="188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302"/>
      <c r="D19" s="210" t="s">
        <v>132</v>
      </c>
      <c r="E19" s="300">
        <v>800</v>
      </c>
      <c r="F19" s="260"/>
      <c r="G19" s="359"/>
      <c r="H19" s="231" t="s">
        <v>178</v>
      </c>
      <c r="I19" s="231" t="s">
        <v>287</v>
      </c>
      <c r="J19" s="259"/>
      <c r="K19" s="182"/>
      <c r="L19" s="355" t="s">
        <v>288</v>
      </c>
      <c r="M19" s="356"/>
      <c r="N19" s="190">
        <f>N17*N18</f>
        <v>239.99999999999994</v>
      </c>
      <c r="O19" s="25"/>
      <c r="P19" s="5"/>
      <c r="Q19" s="265"/>
      <c r="R19" s="5"/>
      <c r="S19" s="184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9">
        <f>'Données projet'!D18</f>
        <v>0</v>
      </c>
      <c r="V19" s="188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302"/>
      <c r="D20" s="210" t="s">
        <v>132</v>
      </c>
      <c r="E20" s="300">
        <v>700</v>
      </c>
      <c r="F20" s="260"/>
      <c r="G20" s="359"/>
      <c r="H20" s="202">
        <v>0</v>
      </c>
      <c r="I20" s="203">
        <v>6981.9751966122203</v>
      </c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302"/>
      <c r="D21" s="210" t="s">
        <v>132</v>
      </c>
      <c r="E21" s="300">
        <v>700</v>
      </c>
      <c r="F21" s="260"/>
      <c r="H21" s="202">
        <v>1</v>
      </c>
      <c r="I21" s="203">
        <v>115.12401693889899</v>
      </c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302"/>
      <c r="D22" s="210" t="s">
        <v>132</v>
      </c>
      <c r="E22" s="205"/>
      <c r="F22" s="260"/>
      <c r="H22" s="202">
        <v>2</v>
      </c>
      <c r="I22" s="203">
        <v>869.89443436176646</v>
      </c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1">
        <f>'Données projet'!A36</f>
        <v>19</v>
      </c>
      <c r="B23" s="192">
        <f>'Données projet'!D36</f>
        <v>0</v>
      </c>
      <c r="C23" s="305">
        <v>0</v>
      </c>
      <c r="D23" s="193">
        <f>B23*C23</f>
        <v>0</v>
      </c>
      <c r="E23" s="205"/>
      <c r="F23" s="260"/>
      <c r="H23" s="202">
        <v>3</v>
      </c>
      <c r="I23" s="203">
        <v>115.12401693889899</v>
      </c>
      <c r="K23" s="224"/>
      <c r="L23" s="357" t="s">
        <v>260</v>
      </c>
      <c r="M23" s="357"/>
      <c r="N23" s="357"/>
      <c r="O23" s="25"/>
      <c r="P23" s="25"/>
      <c r="Q23" s="264"/>
      <c r="R23" s="25"/>
      <c r="S23" s="184" t="s">
        <v>264</v>
      </c>
      <c r="T23" s="35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-110565.35263224492</v>
      </c>
      <c r="U23" s="352"/>
      <c r="V23" s="35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1">
        <f>'Données projet'!A37</f>
        <v>25</v>
      </c>
      <c r="B24" s="192">
        <f>'Données projet'!D37</f>
        <v>54</v>
      </c>
      <c r="C24" s="304">
        <v>12</v>
      </c>
      <c r="D24" s="193">
        <f t="shared" ref="D24:D42" si="2">B24*C24</f>
        <v>648</v>
      </c>
      <c r="E24" s="205"/>
      <c r="F24" s="263"/>
      <c r="H24" s="202">
        <v>4</v>
      </c>
      <c r="I24" s="203">
        <v>115.12401693889899</v>
      </c>
      <c r="K24" s="224"/>
      <c r="O24" s="25"/>
      <c r="P24" s="25"/>
      <c r="Q24" s="264"/>
      <c r="R24" s="25"/>
      <c r="S24" s="184" t="s">
        <v>261</v>
      </c>
      <c r="T24" s="353">
        <f ca="1">'Scénario référence'!$B$8*$M$30*'Données projet'!$C$5+('Scénario référence'!B9+'Scénario référence'!B10+'Scénario référence'!F8+'Scénario référence'!F9)*$N$19/(1+M4)^N16*'Données projet'!$C$5</f>
        <v>706.16164101292145</v>
      </c>
      <c r="U24" s="353"/>
      <c r="V24" s="35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1">
        <f>'Données projet'!A38</f>
        <v>30</v>
      </c>
      <c r="B25" s="192">
        <f>'Données projet'!D38</f>
        <v>54</v>
      </c>
      <c r="C25" s="304">
        <v>32</v>
      </c>
      <c r="D25" s="193">
        <f t="shared" si="2"/>
        <v>1728</v>
      </c>
      <c r="E25" s="205"/>
      <c r="F25" s="263"/>
      <c r="G25" s="1"/>
      <c r="H25" s="202">
        <v>5</v>
      </c>
      <c r="I25" s="203">
        <v>115.12401693889899</v>
      </c>
      <c r="K25" s="224"/>
      <c r="L25" s="270" t="s">
        <v>285</v>
      </c>
      <c r="M25" s="270"/>
      <c r="N25" s="270"/>
      <c r="O25" s="270"/>
      <c r="P25" s="204"/>
      <c r="Q25" s="264"/>
      <c r="R25" s="25"/>
      <c r="S25" s="197" t="s">
        <v>266</v>
      </c>
      <c r="T25" s="354">
        <f ca="1">T23-T24</f>
        <v>-111271.51427325784</v>
      </c>
      <c r="U25" s="354"/>
      <c r="V25" s="35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1">
        <f>'Données projet'!A39</f>
        <v>35</v>
      </c>
      <c r="B26" s="192">
        <f>'Données projet'!D39</f>
        <v>69</v>
      </c>
      <c r="C26" s="304">
        <v>32</v>
      </c>
      <c r="D26" s="193">
        <f t="shared" si="2"/>
        <v>2208</v>
      </c>
      <c r="E26" s="205"/>
      <c r="F26" s="263"/>
      <c r="G26" s="258"/>
      <c r="H26" s="202">
        <v>6</v>
      </c>
      <c r="I26" s="203">
        <v>115.12401693889899</v>
      </c>
      <c r="K26" s="224"/>
      <c r="L26" s="341" t="s">
        <v>258</v>
      </c>
      <c r="M26" s="342"/>
      <c r="N26" s="342"/>
      <c r="O26" s="342"/>
      <c r="P26" s="343"/>
      <c r="Q26" s="264"/>
      <c r="R26" s="25"/>
      <c r="S26" s="197" t="s">
        <v>265</v>
      </c>
      <c r="T26" s="351" t="str">
        <f ca="1">IF(T25&lt;0,"Votre projet est additionnel","Votre projet n'est pas additionnel")</f>
        <v>Votre projet est additionnel</v>
      </c>
      <c r="U26" s="351"/>
      <c r="V26" s="35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1">
        <f>'Données projet'!A40</f>
        <v>40</v>
      </c>
      <c r="B27" s="192">
        <f>'Données projet'!D40</f>
        <v>72</v>
      </c>
      <c r="C27" s="304">
        <v>42</v>
      </c>
      <c r="D27" s="193">
        <f t="shared" si="2"/>
        <v>3024</v>
      </c>
      <c r="E27" s="205"/>
      <c r="F27" s="263"/>
      <c r="G27" s="258"/>
      <c r="H27" s="202">
        <v>7</v>
      </c>
      <c r="I27" s="203">
        <v>115.12401693889899</v>
      </c>
      <c r="K27" s="224"/>
      <c r="L27" s="344"/>
      <c r="M27" s="345"/>
      <c r="N27" s="345"/>
      <c r="O27" s="345"/>
      <c r="P27" s="346"/>
      <c r="Q27" s="264"/>
      <c r="R27" s="25"/>
      <c r="S27" s="350" t="s">
        <v>267</v>
      </c>
      <c r="T27" s="350"/>
      <c r="U27" s="350"/>
      <c r="V27" s="35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1">
        <f>'Données projet'!A41</f>
        <v>45</v>
      </c>
      <c r="B28" s="192">
        <f>'Données projet'!D41</f>
        <v>66</v>
      </c>
      <c r="C28" s="304">
        <v>42</v>
      </c>
      <c r="D28" s="193">
        <f t="shared" si="2"/>
        <v>2772</v>
      </c>
      <c r="E28" s="205"/>
      <c r="F28" s="263"/>
      <c r="G28" s="221"/>
      <c r="H28" s="202">
        <v>8</v>
      </c>
      <c r="I28" s="203">
        <v>115.12401693889899</v>
      </c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1">
        <f>'Données projet'!A42</f>
        <v>50</v>
      </c>
      <c r="B29" s="192">
        <f>'Données projet'!D42</f>
        <v>48</v>
      </c>
      <c r="C29" s="304">
        <v>42</v>
      </c>
      <c r="D29" s="193">
        <f t="shared" si="2"/>
        <v>2016</v>
      </c>
      <c r="E29" s="205"/>
      <c r="F29" s="263"/>
      <c r="G29" s="217"/>
      <c r="H29" s="202">
        <v>9</v>
      </c>
      <c r="I29" s="203">
        <v>115.12401693889899</v>
      </c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1">
        <f>'Données projet'!A43</f>
        <v>55</v>
      </c>
      <c r="B30" s="192">
        <f>'Données projet'!D43</f>
        <v>35</v>
      </c>
      <c r="C30" s="304">
        <v>42</v>
      </c>
      <c r="D30" s="193">
        <f t="shared" si="2"/>
        <v>1470</v>
      </c>
      <c r="E30" s="205"/>
      <c r="F30" s="263"/>
      <c r="G30" s="217"/>
      <c r="H30" s="202">
        <v>10</v>
      </c>
      <c r="I30" s="203">
        <v>115.12401693889899</v>
      </c>
      <c r="K30" s="194"/>
      <c r="L30" s="184" t="s">
        <v>259</v>
      </c>
      <c r="M30" s="195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1">
        <f>'Données projet'!A44</f>
        <v>60</v>
      </c>
      <c r="B31" s="192">
        <f>'Données projet'!D44</f>
        <v>666</v>
      </c>
      <c r="C31" s="304">
        <v>60</v>
      </c>
      <c r="D31" s="193">
        <f t="shared" si="2"/>
        <v>39960</v>
      </c>
      <c r="E31" s="205"/>
      <c r="F31" s="263"/>
      <c r="G31" s="217"/>
      <c r="H31" s="202">
        <v>11</v>
      </c>
      <c r="I31" s="203">
        <v>115.12401693889899</v>
      </c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1">
        <f>'Données projet'!A45</f>
        <v>0</v>
      </c>
      <c r="B32" s="192">
        <f>'Données projet'!D45</f>
        <v>0</v>
      </c>
      <c r="C32" s="205"/>
      <c r="D32" s="193">
        <f t="shared" si="2"/>
        <v>0</v>
      </c>
      <c r="E32" s="205"/>
      <c r="F32" s="263"/>
      <c r="G32" s="217"/>
      <c r="H32" s="202">
        <v>12</v>
      </c>
      <c r="I32" s="203">
        <v>115.12401693889899</v>
      </c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1">
        <f>'Données projet'!A46</f>
        <v>0</v>
      </c>
      <c r="B33" s="192">
        <f>'Données projet'!D46</f>
        <v>0</v>
      </c>
      <c r="C33" s="205"/>
      <c r="D33" s="193">
        <f t="shared" si="2"/>
        <v>0</v>
      </c>
      <c r="E33" s="205"/>
      <c r="F33" s="263"/>
      <c r="G33" s="217"/>
      <c r="H33" s="202">
        <v>13</v>
      </c>
      <c r="I33" s="203">
        <v>115.12401693889899</v>
      </c>
      <c r="K33" s="182"/>
      <c r="L33" s="5"/>
      <c r="M33" s="5"/>
      <c r="N33" s="5"/>
      <c r="O33" s="206">
        <v>0</v>
      </c>
      <c r="P33" s="196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1">
        <f>'Données projet'!A47</f>
        <v>0</v>
      </c>
      <c r="B34" s="192">
        <f>'Données projet'!D47</f>
        <v>0</v>
      </c>
      <c r="C34" s="205"/>
      <c r="D34" s="193">
        <f t="shared" si="2"/>
        <v>0</v>
      </c>
      <c r="E34" s="205"/>
      <c r="F34" s="263"/>
      <c r="G34" s="217"/>
      <c r="H34" s="202">
        <v>14</v>
      </c>
      <c r="I34" s="203">
        <v>115.12401693889899</v>
      </c>
      <c r="K34" s="182"/>
      <c r="L34" s="283"/>
      <c r="M34" s="283"/>
      <c r="N34" s="284"/>
      <c r="O34" s="206">
        <f>IF(O33+1&lt;=MIN('Données projet'!$E$9:$E$18),O33+1,"STOP")</f>
        <v>1</v>
      </c>
      <c r="P34" s="196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1">
        <f>'Données projet'!A48</f>
        <v>0</v>
      </c>
      <c r="B35" s="192">
        <f>'Données projet'!D48</f>
        <v>0</v>
      </c>
      <c r="C35" s="205"/>
      <c r="D35" s="193">
        <f t="shared" si="2"/>
        <v>0</v>
      </c>
      <c r="E35" s="205"/>
      <c r="F35" s="263"/>
      <c r="G35" s="217"/>
      <c r="H35" s="202">
        <v>15</v>
      </c>
      <c r="I35" s="203">
        <v>115.12401693889899</v>
      </c>
      <c r="K35" s="182"/>
      <c r="L35" s="283"/>
      <c r="M35" s="283"/>
      <c r="N35" s="284"/>
      <c r="O35" s="206">
        <f>IF(O34+1&lt;=MIN('Données projet'!$E$9:$E$18),O34+1,"STOP")</f>
        <v>2</v>
      </c>
      <c r="P35" s="196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1">
        <f>'Données projet'!A49</f>
        <v>0</v>
      </c>
      <c r="B36" s="192">
        <f>'Données projet'!D49</f>
        <v>0</v>
      </c>
      <c r="C36" s="205"/>
      <c r="D36" s="193">
        <f t="shared" si="2"/>
        <v>0</v>
      </c>
      <c r="E36" s="205"/>
      <c r="F36" s="263"/>
      <c r="G36" s="217"/>
      <c r="H36" s="202">
        <v>16</v>
      </c>
      <c r="I36" s="203">
        <v>115.12401693889899</v>
      </c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1">
        <f>'Données projet'!A50</f>
        <v>0</v>
      </c>
      <c r="B37" s="192">
        <f>'Données projet'!D50</f>
        <v>0</v>
      </c>
      <c r="C37" s="205"/>
      <c r="D37" s="193">
        <f t="shared" si="2"/>
        <v>0</v>
      </c>
      <c r="E37" s="205"/>
      <c r="F37" s="263"/>
      <c r="G37" s="217"/>
      <c r="H37" s="202">
        <v>17</v>
      </c>
      <c r="I37" s="203">
        <v>115.12401693889899</v>
      </c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1">
        <f>'Données projet'!A51</f>
        <v>0</v>
      </c>
      <c r="B38" s="192">
        <f>'Données projet'!D51</f>
        <v>0</v>
      </c>
      <c r="C38" s="205"/>
      <c r="D38" s="193">
        <f t="shared" si="2"/>
        <v>0</v>
      </c>
      <c r="E38" s="205"/>
      <c r="F38" s="263"/>
      <c r="G38" s="217"/>
      <c r="H38" s="202">
        <v>18</v>
      </c>
      <c r="I38" s="203">
        <v>115.12401693889899</v>
      </c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1">
        <f>'Données projet'!A52</f>
        <v>0</v>
      </c>
      <c r="B39" s="192">
        <f>'Données projet'!D52</f>
        <v>0</v>
      </c>
      <c r="C39" s="205"/>
      <c r="D39" s="193">
        <f t="shared" si="2"/>
        <v>0</v>
      </c>
      <c r="E39" s="205"/>
      <c r="F39" s="263"/>
      <c r="G39" s="217"/>
      <c r="H39" s="202">
        <v>19</v>
      </c>
      <c r="I39" s="203">
        <v>115.12401693889899</v>
      </c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1">
        <f>'Données projet'!A53</f>
        <v>0</v>
      </c>
      <c r="B40" s="192">
        <f>'Données projet'!D53</f>
        <v>0</v>
      </c>
      <c r="C40" s="205"/>
      <c r="D40" s="193">
        <f t="shared" si="2"/>
        <v>0</v>
      </c>
      <c r="E40" s="205"/>
      <c r="F40" s="263"/>
      <c r="G40" s="217"/>
      <c r="H40" s="202">
        <v>20</v>
      </c>
      <c r="I40" s="203">
        <v>115.12401693889899</v>
      </c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1">
        <f>'Données projet'!A54</f>
        <v>0</v>
      </c>
      <c r="B41" s="192">
        <f>'Données projet'!D54</f>
        <v>0</v>
      </c>
      <c r="C41" s="205"/>
      <c r="D41" s="193">
        <f t="shared" si="2"/>
        <v>0</v>
      </c>
      <c r="E41" s="205"/>
      <c r="F41" s="263"/>
      <c r="G41" s="217"/>
      <c r="H41" s="202">
        <v>21</v>
      </c>
      <c r="I41" s="203">
        <v>115.12401693889899</v>
      </c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1">
        <f>'Données projet'!A55</f>
        <v>0</v>
      </c>
      <c r="B42" s="192">
        <f>'Données projet'!D55</f>
        <v>0</v>
      </c>
      <c r="C42" s="205"/>
      <c r="D42" s="193">
        <f t="shared" si="2"/>
        <v>0</v>
      </c>
      <c r="E42" s="205"/>
      <c r="F42" s="263"/>
      <c r="G42" s="217"/>
      <c r="H42" s="202">
        <v>22</v>
      </c>
      <c r="I42" s="203">
        <v>115.12401693889899</v>
      </c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8"/>
      <c r="B43" s="198"/>
      <c r="C43" s="198"/>
      <c r="D43" s="255"/>
      <c r="E43" s="255"/>
      <c r="F43" s="268"/>
      <c r="G43" s="217"/>
      <c r="H43" s="202">
        <v>23</v>
      </c>
      <c r="I43" s="203">
        <v>115.12401693889899</v>
      </c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2">
        <v>24</v>
      </c>
      <c r="I44" s="203">
        <v>115.12401693889899</v>
      </c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5" t="str">
        <f>IF('Données projet'!$B$10="","",'Données projet'!$B$10)</f>
        <v>Mélèze d'Europe</v>
      </c>
      <c r="C45" s="5"/>
      <c r="D45" s="5"/>
      <c r="E45" s="5"/>
      <c r="F45" s="260"/>
      <c r="G45" s="217"/>
      <c r="H45" s="202">
        <v>25</v>
      </c>
      <c r="I45" s="203">
        <v>115.12401693889899</v>
      </c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2">
        <v>26</v>
      </c>
      <c r="I46" s="203">
        <v>115.12401693889899</v>
      </c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>
        <v>27</v>
      </c>
      <c r="I47" s="203">
        <v>115.12401693889899</v>
      </c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/>
      <c r="D48" s="210" t="s">
        <v>132</v>
      </c>
      <c r="E48" s="299">
        <v>2103.2136375421314</v>
      </c>
      <c r="F48" s="261"/>
      <c r="G48" s="217"/>
      <c r="H48" s="202">
        <v>28</v>
      </c>
      <c r="I48" s="203">
        <v>115.12401693889899</v>
      </c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2">
      <c r="A49" s="209">
        <v>1</v>
      </c>
      <c r="B49" s="212" t="s">
        <v>132</v>
      </c>
      <c r="C49" s="211"/>
      <c r="D49" s="210" t="s">
        <v>132</v>
      </c>
      <c r="E49" s="300">
        <v>600</v>
      </c>
      <c r="F49" s="261"/>
      <c r="G49" s="218"/>
      <c r="H49" s="202">
        <v>29</v>
      </c>
      <c r="I49" s="203">
        <v>115.12401693889899</v>
      </c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0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ht="16" x14ac:dyDescent="0.2">
      <c r="A50" s="209">
        <v>2</v>
      </c>
      <c r="B50" s="212" t="s">
        <v>132</v>
      </c>
      <c r="C50" s="211"/>
      <c r="D50" s="210" t="s">
        <v>132</v>
      </c>
      <c r="E50" s="300">
        <v>800</v>
      </c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/>
      <c r="D51" s="210" t="s">
        <v>132</v>
      </c>
      <c r="E51" s="300">
        <v>700</v>
      </c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/>
      <c r="D52" s="210" t="s">
        <v>132</v>
      </c>
      <c r="E52" s="300">
        <v>700</v>
      </c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/>
      <c r="D53" s="210" t="s">
        <v>132</v>
      </c>
      <c r="E53" s="300">
        <v>0</v>
      </c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1">
        <f>'Données projet'!A62</f>
        <v>12</v>
      </c>
      <c r="B54" s="192">
        <f>'Données projet'!D62</f>
        <v>0</v>
      </c>
      <c r="C54" s="203"/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1">
        <f>'Données projet'!A63</f>
        <v>18</v>
      </c>
      <c r="B55" s="192">
        <f>'Données projet'!D63</f>
        <v>0</v>
      </c>
      <c r="C55" s="203"/>
      <c r="D55" s="190">
        <f t="shared" ref="D55:D73" si="4">B55*C55</f>
        <v>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1">
        <f>'Données projet'!A64</f>
        <v>24</v>
      </c>
      <c r="B56" s="192">
        <f>'Données projet'!D64</f>
        <v>0</v>
      </c>
      <c r="C56" s="306"/>
      <c r="D56" s="190">
        <f t="shared" si="4"/>
        <v>0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1">
        <f>'Données projet'!A65</f>
        <v>30</v>
      </c>
      <c r="B57" s="192">
        <f>'Données projet'!D65</f>
        <v>94.16</v>
      </c>
      <c r="C57" s="305">
        <v>0</v>
      </c>
      <c r="D57" s="190">
        <f t="shared" si="4"/>
        <v>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1">
        <f>'Données projet'!A66</f>
        <v>36</v>
      </c>
      <c r="B58" s="192">
        <f>'Données projet'!D66</f>
        <v>104.72</v>
      </c>
      <c r="C58" s="304">
        <v>12</v>
      </c>
      <c r="D58" s="190">
        <f t="shared" si="4"/>
        <v>1256.6399999999999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1">
        <f>'Données projet'!A67</f>
        <v>42</v>
      </c>
      <c r="B59" s="192">
        <f>'Données projet'!D67</f>
        <v>106.48</v>
      </c>
      <c r="C59" s="304">
        <v>32</v>
      </c>
      <c r="D59" s="190">
        <f t="shared" si="4"/>
        <v>3407.36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1">
        <f>'Données projet'!A68</f>
        <v>48</v>
      </c>
      <c r="B60" s="192">
        <f>'Données projet'!D68</f>
        <v>108.24</v>
      </c>
      <c r="C60" s="304">
        <v>32</v>
      </c>
      <c r="D60" s="190">
        <f t="shared" si="4"/>
        <v>3463.68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1">
        <f>'Données projet'!A69</f>
        <v>54</v>
      </c>
      <c r="B61" s="192">
        <f>'Données projet'!D69</f>
        <v>104.72</v>
      </c>
      <c r="C61" s="304">
        <v>42</v>
      </c>
      <c r="D61" s="190">
        <f t="shared" si="4"/>
        <v>4398.24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1">
        <f>'Données projet'!A70</f>
        <v>60</v>
      </c>
      <c r="B62" s="192">
        <f>'Données projet'!D70</f>
        <v>98.56</v>
      </c>
      <c r="C62" s="304">
        <v>42</v>
      </c>
      <c r="D62" s="190">
        <f t="shared" si="4"/>
        <v>4139.5200000000004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1">
        <f>'Données projet'!A71</f>
        <v>66</v>
      </c>
      <c r="B63" s="192">
        <f>'Données projet'!D71</f>
        <v>95.92</v>
      </c>
      <c r="C63" s="304">
        <v>42</v>
      </c>
      <c r="D63" s="190">
        <f t="shared" si="4"/>
        <v>4028.64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1">
        <f>'Données projet'!A72</f>
        <v>72</v>
      </c>
      <c r="B64" s="192">
        <f>'Données projet'!D72</f>
        <v>88.88</v>
      </c>
      <c r="C64" s="304">
        <v>42</v>
      </c>
      <c r="D64" s="190">
        <f t="shared" si="4"/>
        <v>3732.96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1">
        <f>'Données projet'!A73</f>
        <v>78</v>
      </c>
      <c r="B65" s="192">
        <f>'Données projet'!D73</f>
        <v>374.88</v>
      </c>
      <c r="C65" s="304">
        <v>60</v>
      </c>
      <c r="D65" s="190">
        <f t="shared" si="4"/>
        <v>22492.799999999999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1">
        <f>'Données projet'!A74</f>
        <v>0</v>
      </c>
      <c r="B66" s="192">
        <f>'Données projet'!D74</f>
        <v>0</v>
      </c>
      <c r="C66" s="203"/>
      <c r="D66" s="190">
        <f t="shared" si="4"/>
        <v>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1">
        <f>'Données projet'!A75</f>
        <v>0</v>
      </c>
      <c r="B67" s="192">
        <f>'Données projet'!D75</f>
        <v>0</v>
      </c>
      <c r="C67" s="203"/>
      <c r="D67" s="190">
        <f t="shared" si="4"/>
        <v>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1">
        <f>'Données projet'!A76</f>
        <v>0</v>
      </c>
      <c r="B68" s="192">
        <f>'Données projet'!D76</f>
        <v>0</v>
      </c>
      <c r="C68" s="203"/>
      <c r="D68" s="190">
        <f t="shared" si="4"/>
        <v>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1">
        <f>'Données projet'!A77</f>
        <v>0</v>
      </c>
      <c r="B69" s="192">
        <f>'Données projet'!D77</f>
        <v>0</v>
      </c>
      <c r="C69" s="203"/>
      <c r="D69" s="190">
        <f t="shared" si="4"/>
        <v>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1">
        <f>'Données projet'!A78</f>
        <v>0</v>
      </c>
      <c r="B70" s="192">
        <f>'Données projet'!D78</f>
        <v>0</v>
      </c>
      <c r="C70" s="203"/>
      <c r="D70" s="190">
        <f t="shared" si="4"/>
        <v>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1">
        <f>'Données projet'!A79</f>
        <v>0</v>
      </c>
      <c r="B71" s="192">
        <f>'Données projet'!D79</f>
        <v>0</v>
      </c>
      <c r="C71" s="203"/>
      <c r="D71" s="190">
        <f t="shared" si="4"/>
        <v>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1">
        <f>'Données projet'!A80</f>
        <v>0</v>
      </c>
      <c r="B72" s="192">
        <f>'Données projet'!D80</f>
        <v>0</v>
      </c>
      <c r="C72" s="203"/>
      <c r="D72" s="190">
        <f t="shared" si="4"/>
        <v>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1">
        <f>'Données projet'!A81</f>
        <v>0</v>
      </c>
      <c r="B73" s="192">
        <f>'Données projet'!D81</f>
        <v>0</v>
      </c>
      <c r="C73" s="203"/>
      <c r="D73" s="190">
        <f t="shared" si="4"/>
        <v>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5" t="str">
        <f>IF('Données projet'!B11="","",'Données projet'!B11)</f>
        <v>Chêne sessile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>
        <f>IF(O75+1&lt;=MIN('Données projet'!$E$9:$E$18),O75+1,"STOP")</f>
        <v>43</v>
      </c>
      <c r="P76" s="196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>
        <f>IF(O76+1&lt;=MIN('Données projet'!$E$9:$E$18),O76+1,"STOP")</f>
        <v>44</v>
      </c>
      <c r="P77" s="196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>
        <f>IF(O77+1&lt;=MIN('Données projet'!$E$9:$E$18),O77+1,"STOP")</f>
        <v>45</v>
      </c>
      <c r="P78" s="196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303"/>
      <c r="D79" s="210" t="s">
        <v>132</v>
      </c>
      <c r="E79" s="301">
        <v>7283.0671506352082</v>
      </c>
      <c r="F79" s="261"/>
      <c r="G79" s="222"/>
      <c r="H79" s="202"/>
      <c r="I79" s="203"/>
      <c r="J79" s="5"/>
      <c r="K79" s="182"/>
      <c r="L79" s="5"/>
      <c r="M79" s="5"/>
      <c r="N79" s="5"/>
      <c r="O79" s="206">
        <f>IF(O78+1&lt;=MIN('Données projet'!$E$9:$E$18),O78+1,"STOP")</f>
        <v>46</v>
      </c>
      <c r="P79" s="196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303"/>
      <c r="D80" s="210" t="s">
        <v>132</v>
      </c>
      <c r="E80" s="301">
        <v>600.00000000000011</v>
      </c>
      <c r="F80" s="261"/>
      <c r="G80" s="220"/>
      <c r="H80" s="202"/>
      <c r="I80" s="203"/>
      <c r="J80" s="5"/>
      <c r="K80" s="182"/>
      <c r="L80" s="5"/>
      <c r="M80" s="5"/>
      <c r="N80" s="5"/>
      <c r="O80" s="206">
        <f>IF(O79+1&lt;=MIN('Données projet'!$E$9:$E$18),O79+1,"STOP")</f>
        <v>47</v>
      </c>
      <c r="P80" s="196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303"/>
      <c r="D81" s="210" t="s">
        <v>132</v>
      </c>
      <c r="E81" s="301">
        <v>800</v>
      </c>
      <c r="F81" s="261"/>
      <c r="G81" s="220"/>
      <c r="H81" s="202"/>
      <c r="I81" s="203"/>
      <c r="J81" s="5"/>
      <c r="K81" s="182"/>
      <c r="L81" s="5"/>
      <c r="M81" s="5"/>
      <c r="N81" s="5"/>
      <c r="O81" s="206">
        <f>IF(O80+1&lt;=MIN('Données projet'!$E$9:$E$18),O80+1,"STOP")</f>
        <v>48</v>
      </c>
      <c r="P81" s="196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303"/>
      <c r="D82" s="210" t="s">
        <v>132</v>
      </c>
      <c r="E82" s="301">
        <v>700</v>
      </c>
      <c r="F82" s="261"/>
      <c r="G82" s="220"/>
      <c r="H82" s="202"/>
      <c r="I82" s="203"/>
      <c r="J82" s="5"/>
      <c r="K82" s="182"/>
      <c r="L82" s="5"/>
      <c r="M82" s="5"/>
      <c r="N82" s="5"/>
      <c r="O82" s="206">
        <f>IF(O81+1&lt;=MIN('Données projet'!$E$9:$E$18),O81+1,"STOP")</f>
        <v>49</v>
      </c>
      <c r="P82" s="196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303"/>
      <c r="D83" s="210" t="s">
        <v>132</v>
      </c>
      <c r="E83" s="301">
        <v>700</v>
      </c>
      <c r="F83" s="261"/>
      <c r="G83" s="220"/>
      <c r="H83" s="202"/>
      <c r="I83" s="203"/>
      <c r="J83" s="5"/>
      <c r="K83" s="182"/>
      <c r="L83" s="5"/>
      <c r="M83" s="5"/>
      <c r="N83" s="5"/>
      <c r="O83" s="206">
        <f>IF(O82+1&lt;=MIN('Données projet'!$E$9:$E$18),O82+1,"STOP")</f>
        <v>50</v>
      </c>
      <c r="P83" s="196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303"/>
      <c r="D84" s="210" t="s">
        <v>132</v>
      </c>
      <c r="E84" s="301">
        <v>0</v>
      </c>
      <c r="F84" s="261"/>
      <c r="G84" s="221"/>
      <c r="H84" s="202"/>
      <c r="I84" s="203"/>
      <c r="J84" s="5"/>
      <c r="K84" s="182"/>
      <c r="L84" s="5"/>
      <c r="M84" s="5"/>
      <c r="N84" s="5"/>
      <c r="O84" s="206">
        <f>IF(O83+1&lt;=MIN('Données projet'!$E$9:$E$18),O83+1,"STOP")</f>
        <v>51</v>
      </c>
      <c r="P84" s="196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1">
        <f>'Données projet'!A88</f>
        <v>56</v>
      </c>
      <c r="B85" s="192">
        <f>'Données projet'!D88</f>
        <v>33</v>
      </c>
      <c r="C85" s="203">
        <v>8</v>
      </c>
      <c r="D85" s="190">
        <f>B85*C85</f>
        <v>264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>
        <f>IF(O84+1&lt;=MIN('Données projet'!$E$9:$E$18),O84+1,"STOP")</f>
        <v>52</v>
      </c>
      <c r="P85" s="196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1">
        <f>'Données projet'!A89</f>
        <v>64</v>
      </c>
      <c r="B86" s="192">
        <f>'Données projet'!D89</f>
        <v>34</v>
      </c>
      <c r="C86" s="203">
        <v>8</v>
      </c>
      <c r="D86" s="190">
        <f t="shared" ref="D86:D104" si="6">B86*C86</f>
        <v>272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>
        <f>IF(O85+1&lt;=MIN('Données projet'!$E$9:$E$18),O85+1,"STOP")</f>
        <v>53</v>
      </c>
      <c r="P86" s="196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1">
        <f>'Données projet'!A90</f>
        <v>72</v>
      </c>
      <c r="B87" s="192">
        <f>'Données projet'!D90</f>
        <v>28</v>
      </c>
      <c r="C87" s="203">
        <v>8</v>
      </c>
      <c r="D87" s="190">
        <f t="shared" si="6"/>
        <v>224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>
        <f>IF(O86+1&lt;=MIN('Données projet'!$E$9:$E$18),O86+1,"STOP")</f>
        <v>54</v>
      </c>
      <c r="P87" s="196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1">
        <f>'Données projet'!A91</f>
        <v>81</v>
      </c>
      <c r="B88" s="192">
        <f>'Données projet'!D91</f>
        <v>26</v>
      </c>
      <c r="C88" s="203">
        <v>44.4</v>
      </c>
      <c r="D88" s="190">
        <f t="shared" si="6"/>
        <v>1154.3999999999999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>
        <f>IF(O87+1&lt;=MIN('Données projet'!$E$9:$E$18),O87+1,"STOP")</f>
        <v>55</v>
      </c>
      <c r="P88" s="196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1">
        <f>'Données projet'!A92</f>
        <v>90</v>
      </c>
      <c r="B89" s="192">
        <f>'Données projet'!D92</f>
        <v>22</v>
      </c>
      <c r="C89" s="203">
        <v>44.4</v>
      </c>
      <c r="D89" s="190">
        <f t="shared" si="6"/>
        <v>976.8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 t="str">
        <f>IF(O88+1&lt;=MIN('Données projet'!$E$9:$E$18),O88+1,"STOP")</f>
        <v>STOP</v>
      </c>
      <c r="P89" s="196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1">
        <f>'Données projet'!A93</f>
        <v>100</v>
      </c>
      <c r="B90" s="192">
        <f>'Données projet'!D93</f>
        <v>22</v>
      </c>
      <c r="C90" s="203">
        <v>44.4</v>
      </c>
      <c r="D90" s="190">
        <f t="shared" si="6"/>
        <v>976.8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 t="e">
        <f>IF(O89+1&lt;=MIN('Données projet'!$E$9:$E$18),O89+1,"STOP")</f>
        <v>#VALUE!</v>
      </c>
      <c r="P90" s="196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1">
        <f>'Données projet'!A94</f>
        <v>110</v>
      </c>
      <c r="B91" s="192">
        <f>'Données projet'!D94</f>
        <v>24</v>
      </c>
      <c r="C91" s="203">
        <v>70</v>
      </c>
      <c r="D91" s="190">
        <f t="shared" si="6"/>
        <v>1680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 t="e">
        <f>IF(O90+1&lt;=MIN('Données projet'!$E$9:$E$18),O90+1,"STOP")</f>
        <v>#VALUE!</v>
      </c>
      <c r="P91" s="196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1">
        <f>'Données projet'!A95</f>
        <v>122</v>
      </c>
      <c r="B92" s="192">
        <f>'Données projet'!D95</f>
        <v>25</v>
      </c>
      <c r="C92" s="203">
        <v>70</v>
      </c>
      <c r="D92" s="190">
        <f t="shared" si="6"/>
        <v>1750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 t="e">
        <f>IF(O91+1&lt;=MIN('Données projet'!$E$9:$E$18),O91+1,"STOP")</f>
        <v>#VALUE!</v>
      </c>
      <c r="P92" s="196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1">
        <f>'Données projet'!A96</f>
        <v>134</v>
      </c>
      <c r="B93" s="192">
        <f>'Données projet'!D96</f>
        <v>26</v>
      </c>
      <c r="C93" s="203">
        <v>90</v>
      </c>
      <c r="D93" s="190">
        <f t="shared" si="6"/>
        <v>2340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 t="e">
        <f>IF(O92+1&lt;=MIN('Données projet'!$E$9:$E$18),O92+1,"STOP")</f>
        <v>#VALUE!</v>
      </c>
      <c r="P93" s="196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1">
        <f>'Données projet'!A97</f>
        <v>148</v>
      </c>
      <c r="B94" s="192">
        <f>'Données projet'!D97</f>
        <v>30</v>
      </c>
      <c r="C94" s="203">
        <v>120</v>
      </c>
      <c r="D94" s="190">
        <f t="shared" si="6"/>
        <v>3600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 t="e">
        <f>IF(O93+1&lt;=MIN('Données projet'!$E$9:$E$18),O93+1,"STOP")</f>
        <v>#VALUE!</v>
      </c>
      <c r="P94" s="196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1">
        <f>'Données projet'!A98</f>
        <v>162</v>
      </c>
      <c r="B95" s="192">
        <f>'Données projet'!D98</f>
        <v>37</v>
      </c>
      <c r="C95" s="203">
        <v>145</v>
      </c>
      <c r="D95" s="190">
        <f t="shared" si="6"/>
        <v>5365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 t="e">
        <f>IF(O94+1&lt;=MIN('Données projet'!$E$9:$E$18),O94+1,"STOP")</f>
        <v>#VALUE!</v>
      </c>
      <c r="P95" s="196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1">
        <f>'Données projet'!A99</f>
        <v>177</v>
      </c>
      <c r="B96" s="192">
        <f>'Données projet'!D99</f>
        <v>230</v>
      </c>
      <c r="C96" s="203">
        <v>160</v>
      </c>
      <c r="D96" s="190">
        <f t="shared" si="6"/>
        <v>36800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 t="e">
        <f>IF(O95+1&lt;=MIN('Données projet'!$E$9:$E$18),O95+1,"STOP")</f>
        <v>#VALUE!</v>
      </c>
      <c r="P96" s="196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1">
        <f>'Données projet'!A100</f>
        <v>0</v>
      </c>
      <c r="B97" s="192">
        <f>'Données projet'!D100</f>
        <v>0</v>
      </c>
      <c r="C97" s="203"/>
      <c r="D97" s="190">
        <f t="shared" si="6"/>
        <v>0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 t="e">
        <f>IF(O96+1&lt;=MIN('Données projet'!$E$9:$E$18),O96+1,"STOP")</f>
        <v>#VALUE!</v>
      </c>
      <c r="P97" s="196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1">
        <f>'Données projet'!A101</f>
        <v>0</v>
      </c>
      <c r="B98" s="192">
        <f>'Données projet'!D101</f>
        <v>0</v>
      </c>
      <c r="C98" s="203"/>
      <c r="D98" s="190">
        <f t="shared" si="6"/>
        <v>0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 t="e">
        <f>IF(O97+1&lt;=MIN('Données projet'!$E$9:$E$18),O97+1,"STOP")</f>
        <v>#VALUE!</v>
      </c>
      <c r="P98" s="196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1">
        <f>'Données projet'!A102</f>
        <v>0</v>
      </c>
      <c r="B99" s="192">
        <f>'Données projet'!D102</f>
        <v>0</v>
      </c>
      <c r="C99" s="203"/>
      <c r="D99" s="190">
        <f t="shared" si="6"/>
        <v>0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 t="e">
        <f>IF(O98+1&lt;=MIN('Données projet'!$E$9:$E$18),O98+1,"STOP")</f>
        <v>#VALUE!</v>
      </c>
      <c r="P99" s="196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1">
        <f>'Données projet'!A103</f>
        <v>0</v>
      </c>
      <c r="B100" s="192">
        <f>'Données projet'!D103</f>
        <v>0</v>
      </c>
      <c r="C100" s="203"/>
      <c r="D100" s="190">
        <f t="shared" si="6"/>
        <v>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 t="e">
        <f>IF(O99+1&lt;=MIN('Données projet'!$E$9:$E$18),O99+1,"STOP")</f>
        <v>#VALUE!</v>
      </c>
      <c r="P100" s="196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1">
        <f>'Données projet'!A104</f>
        <v>0</v>
      </c>
      <c r="B101" s="192">
        <f>'Données projet'!D104</f>
        <v>0</v>
      </c>
      <c r="C101" s="203"/>
      <c r="D101" s="190">
        <f t="shared" si="6"/>
        <v>0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 t="e">
        <f>IF(O100+1&lt;=MIN('Données projet'!$E$9:$E$18),O100+1,"STOP")</f>
        <v>#VALUE!</v>
      </c>
      <c r="P101" s="196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1">
        <f>'Données projet'!A105</f>
        <v>0</v>
      </c>
      <c r="B102" s="192">
        <f>'Données projet'!D105</f>
        <v>0</v>
      </c>
      <c r="C102" s="203"/>
      <c r="D102" s="190">
        <f t="shared" si="6"/>
        <v>0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 t="e">
        <f>IF(O101+1&lt;=MIN('Données projet'!$E$9:$E$18),O101+1,"STOP")</f>
        <v>#VALUE!</v>
      </c>
      <c r="P102" s="196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1">
        <f>'Données projet'!A106</f>
        <v>0</v>
      </c>
      <c r="B103" s="192">
        <f>'Données projet'!D106</f>
        <v>0</v>
      </c>
      <c r="C103" s="203"/>
      <c r="D103" s="190">
        <f t="shared" si="6"/>
        <v>0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e">
        <f>IF(O102+1&lt;=MIN('Données projet'!$E$9:$E$18),O102+1,"STOP")</f>
        <v>#VALUE!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1">
        <f>'Données projet'!A107</f>
        <v>0</v>
      </c>
      <c r="B104" s="192">
        <f>'Données projet'!D107</f>
        <v>0</v>
      </c>
      <c r="C104" s="203"/>
      <c r="D104" s="190">
        <f t="shared" si="6"/>
        <v>0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5" t="str">
        <f>IF('Données projet'!B12="","",'Données projet'!B12)</f>
        <v>Chêne pédonculé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/>
      <c r="D110" s="210" t="s">
        <v>132</v>
      </c>
      <c r="E110" s="205">
        <v>7035.3357531760439</v>
      </c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/>
      <c r="D111" s="210" t="s">
        <v>132</v>
      </c>
      <c r="E111" s="205">
        <v>600.00000000000011</v>
      </c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/>
      <c r="D112" s="210" t="s">
        <v>132</v>
      </c>
      <c r="E112" s="205">
        <v>800</v>
      </c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/>
      <c r="D113" s="210" t="s">
        <v>132</v>
      </c>
      <c r="E113" s="205">
        <v>700</v>
      </c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/>
      <c r="D114" s="210" t="s">
        <v>132</v>
      </c>
      <c r="E114" s="205">
        <v>700</v>
      </c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/>
      <c r="D115" s="210" t="s">
        <v>132</v>
      </c>
      <c r="E115" s="205">
        <v>0</v>
      </c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1">
        <f>'Données projet'!A114</f>
        <v>56</v>
      </c>
      <c r="B116" s="192">
        <f>'Données projet'!D114</f>
        <v>33</v>
      </c>
      <c r="C116" s="203">
        <v>8</v>
      </c>
      <c r="D116" s="190">
        <f>B116*C116</f>
        <v>264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1">
        <f>'Données projet'!A115</f>
        <v>64</v>
      </c>
      <c r="B117" s="192">
        <f>'Données projet'!D115</f>
        <v>34</v>
      </c>
      <c r="C117" s="203">
        <v>8</v>
      </c>
      <c r="D117" s="190">
        <f t="shared" ref="D117:D135" si="8">B117*C117</f>
        <v>272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1">
        <f>'Données projet'!A116</f>
        <v>72</v>
      </c>
      <c r="B118" s="192">
        <f>'Données projet'!D116</f>
        <v>28</v>
      </c>
      <c r="C118" s="203">
        <v>8</v>
      </c>
      <c r="D118" s="190">
        <f t="shared" si="8"/>
        <v>224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1">
        <f>'Données projet'!A117</f>
        <v>81</v>
      </c>
      <c r="B119" s="192">
        <f>'Données projet'!D117</f>
        <v>26</v>
      </c>
      <c r="C119" s="203">
        <v>44.4</v>
      </c>
      <c r="D119" s="190">
        <f t="shared" si="8"/>
        <v>1154.3999999999999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1">
        <f>'Données projet'!A118</f>
        <v>90</v>
      </c>
      <c r="B120" s="192">
        <f>'Données projet'!D118</f>
        <v>22</v>
      </c>
      <c r="C120" s="203">
        <v>44.4</v>
      </c>
      <c r="D120" s="190">
        <f t="shared" si="8"/>
        <v>976.8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1">
        <f>'Données projet'!A119</f>
        <v>100</v>
      </c>
      <c r="B121" s="192">
        <f>'Données projet'!D119</f>
        <v>22</v>
      </c>
      <c r="C121" s="203">
        <v>44.4</v>
      </c>
      <c r="D121" s="190">
        <f t="shared" si="8"/>
        <v>976.8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1">
        <f>'Données projet'!A120</f>
        <v>110</v>
      </c>
      <c r="B122" s="192">
        <f>'Données projet'!D120</f>
        <v>24</v>
      </c>
      <c r="C122" s="203">
        <v>70</v>
      </c>
      <c r="D122" s="190">
        <f t="shared" si="8"/>
        <v>1680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1">
        <f>'Données projet'!A121</f>
        <v>122</v>
      </c>
      <c r="B123" s="192">
        <f>'Données projet'!D121</f>
        <v>25</v>
      </c>
      <c r="C123" s="203">
        <v>70</v>
      </c>
      <c r="D123" s="190">
        <f t="shared" si="8"/>
        <v>1750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1">
        <f>'Données projet'!A122</f>
        <v>134</v>
      </c>
      <c r="B124" s="192">
        <f>'Données projet'!D122</f>
        <v>26</v>
      </c>
      <c r="C124" s="203">
        <v>90</v>
      </c>
      <c r="D124" s="190">
        <f t="shared" si="8"/>
        <v>2340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1">
        <f>'Données projet'!A123</f>
        <v>148</v>
      </c>
      <c r="B125" s="192">
        <f>'Données projet'!D123</f>
        <v>30</v>
      </c>
      <c r="C125" s="203">
        <v>120</v>
      </c>
      <c r="D125" s="190">
        <f t="shared" si="8"/>
        <v>3600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1">
        <f>'Données projet'!A124</f>
        <v>162</v>
      </c>
      <c r="B126" s="192">
        <f>'Données projet'!D124</f>
        <v>37</v>
      </c>
      <c r="C126" s="203">
        <v>145</v>
      </c>
      <c r="D126" s="190">
        <f t="shared" si="8"/>
        <v>5365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1">
        <f>'Données projet'!A125</f>
        <v>177</v>
      </c>
      <c r="B127" s="192">
        <f>'Données projet'!D125</f>
        <v>230</v>
      </c>
      <c r="C127" s="203">
        <v>160</v>
      </c>
      <c r="D127" s="190">
        <f t="shared" si="8"/>
        <v>36800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1">
        <f>'Données projet'!A126</f>
        <v>0</v>
      </c>
      <c r="B128" s="192">
        <f>'Données projet'!D126</f>
        <v>0</v>
      </c>
      <c r="C128" s="203"/>
      <c r="D128" s="190">
        <f t="shared" si="8"/>
        <v>0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1">
        <f>'Données projet'!A127</f>
        <v>0</v>
      </c>
      <c r="B129" s="192">
        <f>'Données projet'!D127</f>
        <v>0</v>
      </c>
      <c r="C129" s="203"/>
      <c r="D129" s="190">
        <f t="shared" si="8"/>
        <v>0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1">
        <f>'Données projet'!A128</f>
        <v>0</v>
      </c>
      <c r="B130" s="192">
        <f>'Données projet'!D128</f>
        <v>0</v>
      </c>
      <c r="C130" s="203"/>
      <c r="D130" s="190">
        <f t="shared" si="8"/>
        <v>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1">
        <f>'Données projet'!A129</f>
        <v>0</v>
      </c>
      <c r="B131" s="192">
        <f>'Données projet'!D129</f>
        <v>0</v>
      </c>
      <c r="C131" s="203"/>
      <c r="D131" s="190">
        <f t="shared" si="8"/>
        <v>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1">
        <f>'Données projet'!A130</f>
        <v>0</v>
      </c>
      <c r="B132" s="192">
        <f>'Données projet'!D130</f>
        <v>0</v>
      </c>
      <c r="C132" s="203"/>
      <c r="D132" s="190">
        <f t="shared" si="8"/>
        <v>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1">
        <f>'Données projet'!A131</f>
        <v>0</v>
      </c>
      <c r="B133" s="192">
        <f>'Données projet'!D131</f>
        <v>0</v>
      </c>
      <c r="C133" s="203"/>
      <c r="D133" s="190">
        <f t="shared" si="8"/>
        <v>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1">
        <f>'Données projet'!A132</f>
        <v>0</v>
      </c>
      <c r="B134" s="192">
        <f>'Données projet'!D132</f>
        <v>0</v>
      </c>
      <c r="C134" s="203"/>
      <c r="D134" s="190">
        <f t="shared" si="8"/>
        <v>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1">
        <f>'Données projet'!A133</f>
        <v>0</v>
      </c>
      <c r="B135" s="192">
        <f>'Données projet'!D133</f>
        <v>0</v>
      </c>
      <c r="C135" s="203"/>
      <c r="D135" s="190">
        <f t="shared" si="8"/>
        <v>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5" t="str">
        <f>IF('Données projet'!B13="","",'Données projet'!B13)</f>
        <v>Aulne glutineux</v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303"/>
      <c r="D141" s="210" t="s">
        <v>132</v>
      </c>
      <c r="E141" s="205">
        <v>9972.7223230490017</v>
      </c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303"/>
      <c r="D142" s="210" t="s">
        <v>132</v>
      </c>
      <c r="E142" s="205">
        <v>600.00000000000011</v>
      </c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303"/>
      <c r="D143" s="210" t="s">
        <v>132</v>
      </c>
      <c r="E143" s="205">
        <v>800</v>
      </c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303"/>
      <c r="D144" s="210" t="s">
        <v>132</v>
      </c>
      <c r="E144" s="205">
        <v>700</v>
      </c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303"/>
      <c r="D145" s="210" t="s">
        <v>132</v>
      </c>
      <c r="E145" s="205">
        <v>700</v>
      </c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303"/>
      <c r="D146" s="210" t="s">
        <v>132</v>
      </c>
      <c r="E146" s="205">
        <v>0</v>
      </c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15</v>
      </c>
      <c r="B147" s="186">
        <f>'Données projet'!D140</f>
        <v>13.517499999999998</v>
      </c>
      <c r="C147" s="203">
        <v>8</v>
      </c>
      <c r="D147" s="193">
        <f>B147*C147</f>
        <v>108.13999999999999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25</v>
      </c>
      <c r="B148" s="186">
        <f>'Données projet'!D141</f>
        <v>24.455416666666672</v>
      </c>
      <c r="C148" s="203">
        <v>33.9</v>
      </c>
      <c r="D148" s="193">
        <f t="shared" ref="D148:D166" si="10">B148*C148</f>
        <v>829.03862500000014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35</v>
      </c>
      <c r="B149" s="186">
        <f>'Données projet'!D142</f>
        <v>36.913680555555565</v>
      </c>
      <c r="C149" s="203">
        <v>33.9</v>
      </c>
      <c r="D149" s="193">
        <f t="shared" si="10"/>
        <v>1251.3737708333335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45</v>
      </c>
      <c r="B150" s="186">
        <f>'Données projet'!D143</f>
        <v>50.638900462962958</v>
      </c>
      <c r="C150" s="203">
        <v>41.3</v>
      </c>
      <c r="D150" s="193">
        <f t="shared" si="10"/>
        <v>2091.38658912037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55</v>
      </c>
      <c r="B151" s="186">
        <f>'Données projet'!D144</f>
        <v>392.51950231481487</v>
      </c>
      <c r="C151" s="203">
        <v>41.3</v>
      </c>
      <c r="D151" s="193">
        <f t="shared" si="10"/>
        <v>16211.055445601853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6">
        <f>'Données projet'!D145</f>
        <v>0</v>
      </c>
      <c r="C152" s="203"/>
      <c r="D152" s="193">
        <f t="shared" si="10"/>
        <v>0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6">
        <f>'Données projet'!D146</f>
        <v>0</v>
      </c>
      <c r="C153" s="203"/>
      <c r="D153" s="193">
        <f t="shared" si="10"/>
        <v>0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6">
        <f>'Données projet'!D147</f>
        <v>0</v>
      </c>
      <c r="C154" s="203"/>
      <c r="D154" s="193">
        <f t="shared" si="10"/>
        <v>0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6">
        <f>'Données projet'!D148</f>
        <v>0</v>
      </c>
      <c r="C155" s="203"/>
      <c r="D155" s="193">
        <f t="shared" si="10"/>
        <v>0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6">
        <f>'Données projet'!D149</f>
        <v>0</v>
      </c>
      <c r="C156" s="203"/>
      <c r="D156" s="193">
        <f t="shared" si="10"/>
        <v>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6">
        <f>'Données projet'!D150</f>
        <v>0</v>
      </c>
      <c r="C157" s="203"/>
      <c r="D157" s="193">
        <f t="shared" si="10"/>
        <v>0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6">
        <f>'Données projet'!D151</f>
        <v>0</v>
      </c>
      <c r="C158" s="203"/>
      <c r="D158" s="193">
        <f t="shared" si="10"/>
        <v>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6">
        <f>'Données projet'!D152</f>
        <v>0</v>
      </c>
      <c r="C159" s="203"/>
      <c r="D159" s="193">
        <f t="shared" si="10"/>
        <v>0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6">
        <f>'Données projet'!D153</f>
        <v>0</v>
      </c>
      <c r="C160" s="203"/>
      <c r="D160" s="193">
        <f t="shared" si="10"/>
        <v>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6">
        <f>'Données projet'!D154</f>
        <v>0</v>
      </c>
      <c r="C161" s="203"/>
      <c r="D161" s="193">
        <f t="shared" si="10"/>
        <v>0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6">
        <f>'Données projet'!D155</f>
        <v>0</v>
      </c>
      <c r="C162" s="203"/>
      <c r="D162" s="193">
        <f t="shared" si="10"/>
        <v>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6">
        <f>'Données projet'!D156</f>
        <v>0</v>
      </c>
      <c r="C163" s="203"/>
      <c r="D163" s="193">
        <f t="shared" si="10"/>
        <v>0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6">
        <f>'Données projet'!D157</f>
        <v>0</v>
      </c>
      <c r="C164" s="203"/>
      <c r="D164" s="193">
        <f t="shared" si="10"/>
        <v>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6">
        <f>'Données projet'!D158</f>
        <v>0</v>
      </c>
      <c r="C165" s="203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6">
        <f>'Données projet'!D159</f>
        <v>0</v>
      </c>
      <c r="C166" s="203"/>
      <c r="D166" s="193">
        <f t="shared" si="10"/>
        <v>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5" t="str">
        <f>IF('Données projet'!B14="","",'Données projet'!B14)</f>
        <v>Erable sycomore</v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303"/>
      <c r="D172" s="210" t="s">
        <v>132</v>
      </c>
      <c r="E172" s="301">
        <f>'[1]Surf., essences, devis, BDD VAN'!$H$120</f>
        <v>5527.3200241984277</v>
      </c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303"/>
      <c r="D173" s="210" t="s">
        <v>132</v>
      </c>
      <c r="E173" s="301">
        <f>'[1]Surf., essences, devis, BDD VAN'!$H$121</f>
        <v>600</v>
      </c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303"/>
      <c r="D174" s="210" t="s">
        <v>132</v>
      </c>
      <c r="E174" s="301">
        <f>'[1]Surf., essences, devis, BDD VAN'!$H$122</f>
        <v>800.00000000000023</v>
      </c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303"/>
      <c r="D175" s="210" t="s">
        <v>132</v>
      </c>
      <c r="E175" s="301">
        <f>'[1]Surf., essences, devis, BDD VAN'!$H$123</f>
        <v>700.00000000000011</v>
      </c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303"/>
      <c r="D176" s="210" t="s">
        <v>132</v>
      </c>
      <c r="E176" s="301">
        <f>'[1]Surf., essences, devis, BDD VAN'!$H$124</f>
        <v>700.00000000000011</v>
      </c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303"/>
      <c r="D177" s="210" t="s">
        <v>132</v>
      </c>
      <c r="E177" s="301">
        <f>'[1]Surf., essences, devis, BDD VAN'!$H$125</f>
        <v>0</v>
      </c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1">
        <f>'Données projet'!A166</f>
        <v>15</v>
      </c>
      <c r="B178" s="192">
        <f>'Données projet'!D166</f>
        <v>13.517499999999998</v>
      </c>
      <c r="C178" s="203">
        <v>8</v>
      </c>
      <c r="D178" s="190">
        <f>B178*C178</f>
        <v>108.13999999999999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1">
        <f>'Données projet'!A167</f>
        <v>25</v>
      </c>
      <c r="B179" s="192">
        <f>'Données projet'!D167</f>
        <v>24.455416666666672</v>
      </c>
      <c r="C179" s="203">
        <v>33.9</v>
      </c>
      <c r="D179" s="190">
        <f t="shared" ref="D179:D197" si="11">B179*C179</f>
        <v>829.03862500000014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1">
        <f>'Données projet'!A168</f>
        <v>35</v>
      </c>
      <c r="B180" s="192">
        <f>'Données projet'!D168</f>
        <v>36.913680555555565</v>
      </c>
      <c r="C180" s="203">
        <v>33.9</v>
      </c>
      <c r="D180" s="190">
        <f t="shared" si="11"/>
        <v>1251.3737708333335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1">
        <f>'Données projet'!A169</f>
        <v>45</v>
      </c>
      <c r="B181" s="192">
        <f>'Données projet'!D169</f>
        <v>50.638900462962958</v>
      </c>
      <c r="C181" s="203">
        <v>41.3</v>
      </c>
      <c r="D181" s="190">
        <f t="shared" si="11"/>
        <v>2091.38658912037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1">
        <f>'Données projet'!A170</f>
        <v>55</v>
      </c>
      <c r="B182" s="192">
        <f>'Données projet'!D170</f>
        <v>392.51950231481487</v>
      </c>
      <c r="C182" s="203">
        <v>41.3</v>
      </c>
      <c r="D182" s="190">
        <f t="shared" si="11"/>
        <v>16211.055445601853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1">
        <f>'Données projet'!A171</f>
        <v>0</v>
      </c>
      <c r="B183" s="192">
        <f>'Données projet'!D171</f>
        <v>0</v>
      </c>
      <c r="C183" s="205"/>
      <c r="D183" s="190">
        <f t="shared" si="11"/>
        <v>0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1">
        <f>'Données projet'!A172</f>
        <v>0</v>
      </c>
      <c r="B184" s="192">
        <f>'Données projet'!D172</f>
        <v>0</v>
      </c>
      <c r="C184" s="205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1">
        <f>'Données projet'!A173</f>
        <v>0</v>
      </c>
      <c r="B185" s="192">
        <f>'Données projet'!D173</f>
        <v>0</v>
      </c>
      <c r="C185" s="205"/>
      <c r="D185" s="190">
        <f t="shared" si="11"/>
        <v>0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1">
        <f>'Données projet'!A174</f>
        <v>0</v>
      </c>
      <c r="B186" s="192">
        <f>'Données projet'!D174</f>
        <v>0</v>
      </c>
      <c r="C186" s="205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1">
        <f>'Données projet'!A175</f>
        <v>0</v>
      </c>
      <c r="B187" s="192">
        <f>'Données projet'!D175</f>
        <v>0</v>
      </c>
      <c r="C187" s="205"/>
      <c r="D187" s="190">
        <f t="shared" si="11"/>
        <v>0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1">
        <f>'Données projet'!A176</f>
        <v>0</v>
      </c>
      <c r="B188" s="192">
        <f>'Données projet'!D176</f>
        <v>0</v>
      </c>
      <c r="C188" s="205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1">
        <f>'Données projet'!A177</f>
        <v>0</v>
      </c>
      <c r="B189" s="192">
        <f>'Données projet'!D177</f>
        <v>0</v>
      </c>
      <c r="C189" s="205"/>
      <c r="D189" s="190">
        <f t="shared" si="11"/>
        <v>0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1">
        <f>'Données projet'!A178</f>
        <v>0</v>
      </c>
      <c r="B190" s="192">
        <f>'Données projet'!D178</f>
        <v>0</v>
      </c>
      <c r="C190" s="205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1">
        <f>'Données projet'!A179</f>
        <v>0</v>
      </c>
      <c r="B191" s="192">
        <f>'Données projet'!D179</f>
        <v>0</v>
      </c>
      <c r="C191" s="205"/>
      <c r="D191" s="190">
        <f t="shared" si="11"/>
        <v>0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1">
        <f>'Données projet'!A180</f>
        <v>0</v>
      </c>
      <c r="B192" s="192">
        <f>'Données projet'!D180</f>
        <v>0</v>
      </c>
      <c r="C192" s="205"/>
      <c r="D192" s="190">
        <f t="shared" si="11"/>
        <v>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1">
        <f>'Données projet'!A181</f>
        <v>0</v>
      </c>
      <c r="B193" s="192">
        <f>'Données projet'!D181</f>
        <v>0</v>
      </c>
      <c r="C193" s="205"/>
      <c r="D193" s="190">
        <f t="shared" si="11"/>
        <v>0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1">
        <f>'Données projet'!A182</f>
        <v>0</v>
      </c>
      <c r="B194" s="192">
        <f>'Données projet'!D182</f>
        <v>0</v>
      </c>
      <c r="C194" s="205"/>
      <c r="D194" s="190">
        <f t="shared" si="11"/>
        <v>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1">
        <f>'Données projet'!A183</f>
        <v>0</v>
      </c>
      <c r="B195" s="192">
        <f>'Données projet'!D183</f>
        <v>0</v>
      </c>
      <c r="C195" s="205"/>
      <c r="D195" s="190">
        <f t="shared" si="11"/>
        <v>0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1">
        <f>'Données projet'!A184</f>
        <v>0</v>
      </c>
      <c r="B196" s="192">
        <f>'Données projet'!D184</f>
        <v>0</v>
      </c>
      <c r="C196" s="205"/>
      <c r="D196" s="190">
        <f t="shared" si="11"/>
        <v>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1">
        <f>'Données projet'!A185</f>
        <v>0</v>
      </c>
      <c r="B197" s="192">
        <f>'Données projet'!D185</f>
        <v>0</v>
      </c>
      <c r="C197" s="205"/>
      <c r="D197" s="190">
        <f t="shared" si="11"/>
        <v>0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5" t="str">
        <f>IF('Données projet'!$B$15="","",'Données projet'!$B$15)</f>
        <v>Tilleul</v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303"/>
      <c r="D203" s="210" t="s">
        <v>132</v>
      </c>
      <c r="E203" s="301">
        <v>5517.4894131881429</v>
      </c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303"/>
      <c r="D204" s="210" t="s">
        <v>132</v>
      </c>
      <c r="E204" s="301">
        <v>600</v>
      </c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303"/>
      <c r="D205" s="210" t="s">
        <v>132</v>
      </c>
      <c r="E205" s="301">
        <v>800.00000000000023</v>
      </c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303"/>
      <c r="D206" s="210" t="s">
        <v>132</v>
      </c>
      <c r="E206" s="301">
        <v>700.00000000000011</v>
      </c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303"/>
      <c r="D207" s="210" t="s">
        <v>132</v>
      </c>
      <c r="E207" s="301">
        <v>700.00000000000011</v>
      </c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303"/>
      <c r="D208" s="210" t="s">
        <v>132</v>
      </c>
      <c r="E208" s="301">
        <v>0</v>
      </c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1">
        <f>'Données projet'!A192</f>
        <v>15</v>
      </c>
      <c r="B209" s="192">
        <f>'Données projet'!D192</f>
        <v>13.517499999999998</v>
      </c>
      <c r="C209" s="307">
        <v>8</v>
      </c>
      <c r="D209" s="190">
        <f>B209*C209</f>
        <v>108.13999999999999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1">
        <f>'Données projet'!A193</f>
        <v>25</v>
      </c>
      <c r="B210" s="192">
        <f>'Données projet'!D193</f>
        <v>24.455416666666672</v>
      </c>
      <c r="C210" s="308">
        <v>34</v>
      </c>
      <c r="D210" s="190">
        <f t="shared" ref="D210:D228" si="12">B210*C210</f>
        <v>831.48416666666685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1">
        <f>'Données projet'!A194</f>
        <v>35</v>
      </c>
      <c r="B211" s="192">
        <f>'Données projet'!D194</f>
        <v>36.913680555555565</v>
      </c>
      <c r="C211" s="308">
        <v>34</v>
      </c>
      <c r="D211" s="190">
        <f t="shared" si="12"/>
        <v>1255.0651388888891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1">
        <f>'Données projet'!A195</f>
        <v>45</v>
      </c>
      <c r="B212" s="192">
        <f>'Données projet'!D195</f>
        <v>50.638900462962958</v>
      </c>
      <c r="C212" s="308">
        <v>41</v>
      </c>
      <c r="D212" s="190">
        <f t="shared" si="12"/>
        <v>2076.1949189814814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1">
        <f>'Données projet'!A196</f>
        <v>55</v>
      </c>
      <c r="B213" s="192">
        <f>'Données projet'!D196</f>
        <v>392.51950231481487</v>
      </c>
      <c r="C213" s="308">
        <v>41</v>
      </c>
      <c r="D213" s="190">
        <f t="shared" si="12"/>
        <v>16093.29959490741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1">
        <f>'Données projet'!A197</f>
        <v>0</v>
      </c>
      <c r="B214" s="192">
        <f>'Données projet'!D197</f>
        <v>0</v>
      </c>
      <c r="C214" s="205"/>
      <c r="D214" s="190">
        <f t="shared" si="12"/>
        <v>0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1">
        <f>'Données projet'!A198</f>
        <v>0</v>
      </c>
      <c r="B215" s="192">
        <f>'Données projet'!D198</f>
        <v>0</v>
      </c>
      <c r="C215" s="205"/>
      <c r="D215" s="190">
        <f t="shared" si="12"/>
        <v>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1">
        <f>'Données projet'!A199</f>
        <v>0</v>
      </c>
      <c r="B216" s="192">
        <f>'Données projet'!D199</f>
        <v>0</v>
      </c>
      <c r="C216" s="205"/>
      <c r="D216" s="190">
        <f t="shared" si="12"/>
        <v>0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1">
        <f>'Données projet'!A200</f>
        <v>0</v>
      </c>
      <c r="B217" s="192">
        <f>'Données projet'!D200</f>
        <v>0</v>
      </c>
      <c r="C217" s="205"/>
      <c r="D217" s="190">
        <f t="shared" si="12"/>
        <v>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1">
        <f>'Données projet'!A201</f>
        <v>0</v>
      </c>
      <c r="B218" s="192">
        <f>'Données projet'!D201</f>
        <v>0</v>
      </c>
      <c r="C218" s="205"/>
      <c r="D218" s="190">
        <f t="shared" si="12"/>
        <v>0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1">
        <f>'Données projet'!A202</f>
        <v>0</v>
      </c>
      <c r="B219" s="192">
        <f>'Données projet'!D202</f>
        <v>0</v>
      </c>
      <c r="C219" s="205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1">
        <f>'Données projet'!A203</f>
        <v>0</v>
      </c>
      <c r="B220" s="192">
        <f>'Données projet'!D203</f>
        <v>0</v>
      </c>
      <c r="C220" s="205"/>
      <c r="D220" s="190">
        <f t="shared" si="12"/>
        <v>0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1">
        <f>'Données projet'!A204</f>
        <v>0</v>
      </c>
      <c r="B221" s="192">
        <f>'Données projet'!D204</f>
        <v>0</v>
      </c>
      <c r="C221" s="205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1">
        <f>'Données projet'!A205</f>
        <v>0</v>
      </c>
      <c r="B222" s="192">
        <f>'Données projet'!D205</f>
        <v>0</v>
      </c>
      <c r="C222" s="205"/>
      <c r="D222" s="190">
        <f t="shared" si="12"/>
        <v>0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1">
        <f>'Données projet'!A206</f>
        <v>0</v>
      </c>
      <c r="B223" s="192">
        <f>'Données projet'!D206</f>
        <v>0</v>
      </c>
      <c r="C223" s="205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1">
        <f>'Données projet'!A207</f>
        <v>0</v>
      </c>
      <c r="B224" s="192">
        <f>'Données projet'!D207</f>
        <v>0</v>
      </c>
      <c r="C224" s="205"/>
      <c r="D224" s="190">
        <f t="shared" si="12"/>
        <v>0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1">
        <f>'Données projet'!A208</f>
        <v>0</v>
      </c>
      <c r="B225" s="192">
        <f>'Données projet'!D208</f>
        <v>0</v>
      </c>
      <c r="C225" s="205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1">
        <f>'Données projet'!A209</f>
        <v>0</v>
      </c>
      <c r="B226" s="192">
        <f>'Données projet'!D209</f>
        <v>0</v>
      </c>
      <c r="C226" s="205"/>
      <c r="D226" s="190">
        <f t="shared" si="12"/>
        <v>0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1">
        <f>'Données projet'!A210</f>
        <v>0</v>
      </c>
      <c r="B227" s="192">
        <f>'Données projet'!D210</f>
        <v>0</v>
      </c>
      <c r="C227" s="205"/>
      <c r="D227" s="190">
        <f t="shared" si="12"/>
        <v>0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1">
        <f>'Données projet'!A211</f>
        <v>0</v>
      </c>
      <c r="B228" s="192">
        <f>'Données projet'!D211</f>
        <v>0</v>
      </c>
      <c r="C228" s="205"/>
      <c r="D228" s="190">
        <f t="shared" si="12"/>
        <v>0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5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1">
        <f>'Données projet'!A218</f>
        <v>0</v>
      </c>
      <c r="B240" s="192">
        <f>'Données projet'!D218</f>
        <v>0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1">
        <f>'Données projet'!A219</f>
        <v>0</v>
      </c>
      <c r="B241" s="192">
        <f>'Données projet'!D219</f>
        <v>0</v>
      </c>
      <c r="C241" s="205"/>
      <c r="D241" s="190">
        <f t="shared" ref="D241:D259" si="13">B241*C241</f>
        <v>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1">
        <f>'Données projet'!A220</f>
        <v>0</v>
      </c>
      <c r="B242" s="192">
        <f>'Données projet'!D220</f>
        <v>0</v>
      </c>
      <c r="C242" s="205"/>
      <c r="D242" s="190">
        <f t="shared" si="13"/>
        <v>0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1">
        <f>'Données projet'!A221</f>
        <v>0</v>
      </c>
      <c r="B243" s="192">
        <f>'Données projet'!D221</f>
        <v>0</v>
      </c>
      <c r="C243" s="205"/>
      <c r="D243" s="190">
        <f t="shared" si="13"/>
        <v>0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1">
        <f>'Données projet'!A222</f>
        <v>0</v>
      </c>
      <c r="B244" s="192">
        <f>'Données projet'!D222</f>
        <v>0</v>
      </c>
      <c r="C244" s="205"/>
      <c r="D244" s="190">
        <f t="shared" si="13"/>
        <v>0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1">
        <f>'Données projet'!A223</f>
        <v>0</v>
      </c>
      <c r="B245" s="192">
        <f>'Données projet'!D223</f>
        <v>0</v>
      </c>
      <c r="C245" s="205"/>
      <c r="D245" s="190">
        <f t="shared" si="13"/>
        <v>0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1">
        <f>'Données projet'!A224</f>
        <v>0</v>
      </c>
      <c r="B246" s="192">
        <f>'Données projet'!D224</f>
        <v>0</v>
      </c>
      <c r="C246" s="205"/>
      <c r="D246" s="190">
        <f t="shared" si="13"/>
        <v>0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1">
        <f>'Données projet'!A225</f>
        <v>0</v>
      </c>
      <c r="B247" s="192">
        <f>'Données projet'!D225</f>
        <v>0</v>
      </c>
      <c r="C247" s="205"/>
      <c r="D247" s="190">
        <f t="shared" si="13"/>
        <v>0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1">
        <f>'Données projet'!A226</f>
        <v>0</v>
      </c>
      <c r="B248" s="192">
        <f>'Données projet'!D226</f>
        <v>0</v>
      </c>
      <c r="C248" s="205"/>
      <c r="D248" s="190">
        <f t="shared" si="13"/>
        <v>0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1">
        <f>'Données projet'!A227</f>
        <v>0</v>
      </c>
      <c r="B249" s="192">
        <f>'Données projet'!D227</f>
        <v>0</v>
      </c>
      <c r="C249" s="205"/>
      <c r="D249" s="190">
        <f t="shared" si="13"/>
        <v>0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1">
        <f>'Données projet'!A228</f>
        <v>0</v>
      </c>
      <c r="B250" s="192">
        <f>'Données projet'!D228</f>
        <v>0</v>
      </c>
      <c r="C250" s="205"/>
      <c r="D250" s="190">
        <f t="shared" si="13"/>
        <v>0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1">
        <f>'Données projet'!A229</f>
        <v>0</v>
      </c>
      <c r="B251" s="192">
        <f>'Données projet'!D229</f>
        <v>0</v>
      </c>
      <c r="C251" s="205"/>
      <c r="D251" s="190">
        <f t="shared" si="13"/>
        <v>0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1">
        <f>'Données projet'!A230</f>
        <v>0</v>
      </c>
      <c r="B252" s="192">
        <f>'Données projet'!D230</f>
        <v>0</v>
      </c>
      <c r="C252" s="205"/>
      <c r="D252" s="190">
        <f t="shared" si="13"/>
        <v>0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1">
        <f>'Données projet'!A231</f>
        <v>0</v>
      </c>
      <c r="B253" s="192">
        <f>'Données projet'!D231</f>
        <v>0</v>
      </c>
      <c r="C253" s="205"/>
      <c r="D253" s="190">
        <f t="shared" si="13"/>
        <v>0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1">
        <f>'Données projet'!A232</f>
        <v>0</v>
      </c>
      <c r="B254" s="192">
        <f>'Données projet'!D232</f>
        <v>0</v>
      </c>
      <c r="C254" s="205"/>
      <c r="D254" s="190">
        <f t="shared" si="13"/>
        <v>0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1">
        <f>'Données projet'!A233</f>
        <v>0</v>
      </c>
      <c r="B255" s="192">
        <f>'Données projet'!D233</f>
        <v>0</v>
      </c>
      <c r="C255" s="205"/>
      <c r="D255" s="190">
        <f t="shared" si="13"/>
        <v>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1">
        <f>'Données projet'!A234</f>
        <v>0</v>
      </c>
      <c r="B256" s="192">
        <f>'Données projet'!D234</f>
        <v>0</v>
      </c>
      <c r="C256" s="205"/>
      <c r="D256" s="190">
        <f t="shared" si="13"/>
        <v>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1">
        <f>'Données projet'!A235</f>
        <v>0</v>
      </c>
      <c r="B257" s="192">
        <f>'Données projet'!D235</f>
        <v>0</v>
      </c>
      <c r="C257" s="205"/>
      <c r="D257" s="190">
        <f t="shared" si="13"/>
        <v>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1">
        <f>'Données projet'!A236</f>
        <v>0</v>
      </c>
      <c r="B258" s="192">
        <f>'Données projet'!D236</f>
        <v>0</v>
      </c>
      <c r="C258" s="205"/>
      <c r="D258" s="190">
        <f t="shared" si="13"/>
        <v>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1">
        <f>'Données projet'!A237</f>
        <v>0</v>
      </c>
      <c r="B259" s="192">
        <f>'Données projet'!D237</f>
        <v>0</v>
      </c>
      <c r="C259" s="205"/>
      <c r="D259" s="190">
        <f t="shared" si="13"/>
        <v>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5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1">
        <f>'Données projet'!A244</f>
        <v>0</v>
      </c>
      <c r="B271" s="192">
        <f>'Données projet'!D244</f>
        <v>0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1">
        <f>'Données projet'!A245</f>
        <v>0</v>
      </c>
      <c r="B272" s="192">
        <f>'Données projet'!D245</f>
        <v>0</v>
      </c>
      <c r="C272" s="205"/>
      <c r="D272" s="190">
        <f t="shared" ref="D272:D290" si="14">B272*C272</f>
        <v>0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1">
        <f>'Données projet'!A246</f>
        <v>0</v>
      </c>
      <c r="B273" s="192">
        <f>'Données projet'!D246</f>
        <v>0</v>
      </c>
      <c r="C273" s="205"/>
      <c r="D273" s="190">
        <f t="shared" si="14"/>
        <v>0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1">
        <f>'Données projet'!A247</f>
        <v>0</v>
      </c>
      <c r="B274" s="192">
        <f>'Données projet'!D247</f>
        <v>0</v>
      </c>
      <c r="C274" s="205"/>
      <c r="D274" s="190">
        <f t="shared" si="14"/>
        <v>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1">
        <f>'Données projet'!A248</f>
        <v>0</v>
      </c>
      <c r="B275" s="192">
        <f>'Données projet'!D248</f>
        <v>0</v>
      </c>
      <c r="C275" s="205"/>
      <c r="D275" s="190">
        <f t="shared" si="14"/>
        <v>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1">
        <f>'Données projet'!A249</f>
        <v>0</v>
      </c>
      <c r="B276" s="192">
        <f>'Données projet'!D249</f>
        <v>0</v>
      </c>
      <c r="C276" s="205"/>
      <c r="D276" s="190">
        <f t="shared" si="14"/>
        <v>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1">
        <f>'Données projet'!A250</f>
        <v>0</v>
      </c>
      <c r="B277" s="192">
        <f>'Données projet'!D250</f>
        <v>0</v>
      </c>
      <c r="C277" s="205"/>
      <c r="D277" s="190">
        <f t="shared" si="14"/>
        <v>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1">
        <f>'Données projet'!A251</f>
        <v>0</v>
      </c>
      <c r="B278" s="192">
        <f>'Données projet'!D251</f>
        <v>0</v>
      </c>
      <c r="C278" s="205"/>
      <c r="D278" s="190">
        <f t="shared" si="14"/>
        <v>0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1">
        <f>'Données projet'!A252</f>
        <v>0</v>
      </c>
      <c r="B279" s="192">
        <f>'Données projet'!D252</f>
        <v>0</v>
      </c>
      <c r="C279" s="205"/>
      <c r="D279" s="190">
        <f t="shared" si="14"/>
        <v>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1">
        <f>'Données projet'!A253</f>
        <v>0</v>
      </c>
      <c r="B280" s="192">
        <f>'Données projet'!D253</f>
        <v>0</v>
      </c>
      <c r="C280" s="205"/>
      <c r="D280" s="190">
        <f t="shared" si="14"/>
        <v>0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1">
        <f>'Données projet'!A254</f>
        <v>0</v>
      </c>
      <c r="B281" s="192">
        <f>'Données projet'!D254</f>
        <v>0</v>
      </c>
      <c r="C281" s="205"/>
      <c r="D281" s="190">
        <f t="shared" si="14"/>
        <v>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1">
        <f>'Données projet'!A255</f>
        <v>0</v>
      </c>
      <c r="B282" s="192">
        <f>'Données projet'!D255</f>
        <v>0</v>
      </c>
      <c r="C282" s="205"/>
      <c r="D282" s="190">
        <f t="shared" si="14"/>
        <v>0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1">
        <f>'Données projet'!A256</f>
        <v>0</v>
      </c>
      <c r="B283" s="192">
        <f>'Données projet'!D256</f>
        <v>0</v>
      </c>
      <c r="C283" s="205"/>
      <c r="D283" s="190">
        <f t="shared" si="14"/>
        <v>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1">
        <f>'Données projet'!A257</f>
        <v>0</v>
      </c>
      <c r="B284" s="192">
        <f>'Données projet'!D257</f>
        <v>0</v>
      </c>
      <c r="C284" s="205"/>
      <c r="D284" s="190">
        <f t="shared" si="14"/>
        <v>0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1">
        <f>'Données projet'!A258</f>
        <v>0</v>
      </c>
      <c r="B285" s="192">
        <f>'Données projet'!D258</f>
        <v>0</v>
      </c>
      <c r="C285" s="205"/>
      <c r="D285" s="190">
        <f t="shared" si="14"/>
        <v>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1">
        <f>'Données projet'!A259</f>
        <v>0</v>
      </c>
      <c r="B286" s="192">
        <f>'Données projet'!D259</f>
        <v>0</v>
      </c>
      <c r="C286" s="205"/>
      <c r="D286" s="190">
        <f t="shared" si="14"/>
        <v>0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1">
        <f>'Données projet'!A260</f>
        <v>0</v>
      </c>
      <c r="B287" s="192">
        <f>'Données projet'!D260</f>
        <v>0</v>
      </c>
      <c r="C287" s="205"/>
      <c r="D287" s="190">
        <f t="shared" si="14"/>
        <v>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1">
        <f>'Données projet'!A261</f>
        <v>0</v>
      </c>
      <c r="B288" s="192">
        <f>'Données projet'!D261</f>
        <v>0</v>
      </c>
      <c r="C288" s="205"/>
      <c r="D288" s="190">
        <f t="shared" si="14"/>
        <v>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1">
        <f>'Données projet'!A262</f>
        <v>0</v>
      </c>
      <c r="B289" s="192">
        <f>'Données projet'!D262</f>
        <v>0</v>
      </c>
      <c r="C289" s="205"/>
      <c r="D289" s="190">
        <f t="shared" si="14"/>
        <v>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1">
        <f>'Données projet'!A263</f>
        <v>0</v>
      </c>
      <c r="B290" s="192">
        <f>'Données projet'!D263</f>
        <v>0</v>
      </c>
      <c r="C290" s="205"/>
      <c r="D290" s="190">
        <f t="shared" si="14"/>
        <v>0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5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1">
        <f>'Données projet'!A270</f>
        <v>0</v>
      </c>
      <c r="B302" s="192">
        <f>'Données projet'!D270</f>
        <v>0</v>
      </c>
      <c r="C302" s="203"/>
      <c r="D302" s="193">
        <f>B302*C302</f>
        <v>0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1">
        <f>'Données projet'!A271</f>
        <v>0</v>
      </c>
      <c r="B303" s="192">
        <f>'Données projet'!D271</f>
        <v>0</v>
      </c>
      <c r="C303" s="203"/>
      <c r="D303" s="193">
        <f t="shared" ref="D303:D321" si="15">B303*C303</f>
        <v>0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1">
        <f>'Données projet'!A272</f>
        <v>0</v>
      </c>
      <c r="B304" s="192">
        <f>'Données projet'!D272</f>
        <v>0</v>
      </c>
      <c r="C304" s="203"/>
      <c r="D304" s="193">
        <f t="shared" si="15"/>
        <v>0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1">
        <f>'Données projet'!A273</f>
        <v>0</v>
      </c>
      <c r="B305" s="192">
        <f>'Données projet'!D273</f>
        <v>0</v>
      </c>
      <c r="C305" s="203"/>
      <c r="D305" s="193">
        <f t="shared" si="15"/>
        <v>0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1">
        <f>'Données projet'!A274</f>
        <v>0</v>
      </c>
      <c r="B306" s="192">
        <f>'Données projet'!D274</f>
        <v>0</v>
      </c>
      <c r="C306" s="203"/>
      <c r="D306" s="193">
        <f t="shared" si="15"/>
        <v>0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1">
        <f>'Données projet'!A275</f>
        <v>0</v>
      </c>
      <c r="B307" s="192">
        <f>'Données projet'!D275</f>
        <v>0</v>
      </c>
      <c r="C307" s="203"/>
      <c r="D307" s="193">
        <f t="shared" si="15"/>
        <v>0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1">
        <f>'Données projet'!A276</f>
        <v>0</v>
      </c>
      <c r="B308" s="192">
        <f>'Données projet'!D276</f>
        <v>0</v>
      </c>
      <c r="C308" s="203"/>
      <c r="D308" s="193">
        <f t="shared" si="15"/>
        <v>0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1">
        <f>'Données projet'!A277</f>
        <v>0</v>
      </c>
      <c r="B309" s="192">
        <f>'Données projet'!D277</f>
        <v>0</v>
      </c>
      <c r="C309" s="203"/>
      <c r="D309" s="193">
        <f t="shared" si="15"/>
        <v>0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1">
        <f>'Données projet'!A278</f>
        <v>0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1">
        <f>'Données projet'!A279</f>
        <v>0</v>
      </c>
      <c r="B311" s="192">
        <f>'Données projet'!D279</f>
        <v>0</v>
      </c>
      <c r="C311" s="203"/>
      <c r="D311" s="193">
        <f t="shared" si="15"/>
        <v>0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1">
        <f>'Données projet'!A280</f>
        <v>0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1">
        <f>'Données projet'!A281</f>
        <v>0</v>
      </c>
      <c r="B313" s="192">
        <f>'Données projet'!D281</f>
        <v>0</v>
      </c>
      <c r="C313" s="203"/>
      <c r="D313" s="193">
        <f t="shared" si="15"/>
        <v>0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1">
        <f>'Données projet'!A282</f>
        <v>0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1">
        <f>'Données projet'!A283</f>
        <v>0</v>
      </c>
      <c r="B315" s="192">
        <f>'Données projet'!D283</f>
        <v>0</v>
      </c>
      <c r="C315" s="203"/>
      <c r="D315" s="193">
        <f t="shared" si="15"/>
        <v>0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1">
        <f>'Données projet'!A284</f>
        <v>0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1">
        <f>'Données projet'!A285</f>
        <v>0</v>
      </c>
      <c r="B317" s="192">
        <f>'Données projet'!D285</f>
        <v>0</v>
      </c>
      <c r="C317" s="203"/>
      <c r="D317" s="193">
        <f t="shared" si="15"/>
        <v>0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1">
        <f>'Données projet'!A286</f>
        <v>0</v>
      </c>
      <c r="B318" s="192">
        <f>'Données projet'!D286</f>
        <v>0</v>
      </c>
      <c r="C318" s="203"/>
      <c r="D318" s="193">
        <f t="shared" si="15"/>
        <v>0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1">
        <f>'Données projet'!A287</f>
        <v>0</v>
      </c>
      <c r="B319" s="192">
        <f>'Données projet'!D287</f>
        <v>0</v>
      </c>
      <c r="C319" s="203"/>
      <c r="D319" s="193">
        <f t="shared" si="15"/>
        <v>0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1">
        <f>'Données projet'!A288</f>
        <v>0</v>
      </c>
      <c r="B320" s="192">
        <f>'Données projet'!D288</f>
        <v>0</v>
      </c>
      <c r="C320" s="203"/>
      <c r="D320" s="193">
        <f t="shared" si="15"/>
        <v>0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1">
        <f>'Données projet'!A289</f>
        <v>0</v>
      </c>
      <c r="B321" s="192">
        <f>'Données projet'!D289</f>
        <v>0</v>
      </c>
      <c r="C321" s="208"/>
      <c r="D321" s="193">
        <f t="shared" si="15"/>
        <v>0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16" ma:contentTypeDescription="Crée un document." ma:contentTypeScope="" ma:versionID="264f1e0e05f20c30c69198eb65f88b80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362cea35d0b68dc6566f6fa6cf7be5c1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9D14BA-A269-4432-9991-408A7A2937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0DEEE-6B6A-4C03-8834-7134DE84B102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8c1d9445-5ca3-48db-a349-49511c70e68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cca48d1-260d-4848-9875-be9a6e46318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30618F-E448-45D6-BB22-F89ECCF61F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Pailler</cp:lastModifiedBy>
  <dcterms:created xsi:type="dcterms:W3CDTF">2021-02-01T08:22:39Z</dcterms:created>
  <dcterms:modified xsi:type="dcterms:W3CDTF">2022-07-27T15:27:50Z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