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HEU\Documents\Projet Foncegrive_112021\"/>
    </mc:Choice>
  </mc:AlternateContent>
  <bookViews>
    <workbookView xWindow="0" yWindow="0" windowWidth="4932" windowHeight="4824" tabRatio="866" firstSheet="1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1" l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I20" i="6" l="1"/>
  <c r="E203" i="6"/>
  <c r="E172" i="6"/>
  <c r="E141" i="6"/>
  <c r="E110" i="6"/>
  <c r="E79" i="6"/>
  <c r="E48" i="6"/>
  <c r="E17" i="6"/>
  <c r="B44" i="1"/>
  <c r="B43" i="1"/>
  <c r="B42" i="1"/>
  <c r="B41" i="1"/>
  <c r="B40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D154" i="2"/>
  <c r="AC154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AB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EA157" i="2"/>
  <c r="EC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AB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B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D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A167" i="2"/>
  <c r="EC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B168" i="2"/>
  <c r="EC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B172" i="2"/>
  <c r="ED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EY179" i="2" s="1"/>
  <c r="EB179" i="2"/>
  <c r="EA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A185" i="2"/>
  <c r="EW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EY189" i="2" s="1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B192" i="2"/>
  <c r="EC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D192" i="2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CN193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EX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126" i="2" a="1"/>
  <c r="BC126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1" i="2" a="1"/>
  <c r="DN41" i="2" s="1"/>
  <c r="DN29" i="2" a="1"/>
  <c r="DN29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38" i="2" l="1" a="1"/>
  <c r="CS38" i="2" s="1"/>
  <c r="CS116" i="2" a="1"/>
  <c r="CS116" i="2" s="1"/>
  <c r="DN184" i="2" a="1"/>
  <c r="DN184" i="2" s="1"/>
  <c r="DN56" i="2" a="1"/>
  <c r="DN56" i="2" s="1"/>
  <c r="DN43" i="2" a="1"/>
  <c r="DN43" i="2" s="1"/>
  <c r="DN25" i="2" a="1"/>
  <c r="DN25" i="2" s="1"/>
  <c r="BX107" i="2" a="1"/>
  <c r="BX107" i="2" s="1"/>
  <c r="BC130" i="2" a="1"/>
  <c r="BC130" i="2" s="1"/>
  <c r="BC65" i="2" a="1"/>
  <c r="BC65" i="2" s="1"/>
  <c r="BC47" i="2" a="1"/>
  <c r="BC47" i="2" s="1"/>
  <c r="BC68" i="2" a="1"/>
  <c r="BC68" i="2" s="1"/>
  <c r="BC114" i="2" a="1"/>
  <c r="BC114" i="2" s="1"/>
  <c r="BC82" i="2" a="1"/>
  <c r="BC82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<sst xmlns="http://schemas.openxmlformats.org/spreadsheetml/2006/main" count="1176" uniqueCount="324">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</sst>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43040"/>
        <c:axId val="-461131072"/>
      </c:scatterChart>
      <c:valAx>
        <c:axId val="-461143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1072"/>
        <c:crosses val="autoZero"/>
        <c:crossBetween val="midCat"/>
      </c:valAx>
      <c:valAx>
        <c:axId val="-46113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34336"/>
        <c:axId val="-461144128"/>
      </c:scatterChart>
      <c:valAx>
        <c:axId val="-461134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4128"/>
        <c:crosses val="autoZero"/>
        <c:crossBetween val="midCat"/>
      </c:valAx>
      <c:valAx>
        <c:axId val="-46114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4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34880"/>
        <c:axId val="-461145760"/>
      </c:scatterChart>
      <c:valAx>
        <c:axId val="-461134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5760"/>
        <c:crosses val="autoZero"/>
        <c:crossBetween val="midCat"/>
      </c:valAx>
      <c:valAx>
        <c:axId val="-46114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4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1.5704572953895124</c:v>
                </c:pt>
                <c:pt idx="2">
                  <c:v>2.0130091502929965</c:v>
                </c:pt>
                <c:pt idx="3">
                  <c:v>2.5807791070817112</c:v>
                </c:pt>
                <c:pt idx="4">
                  <c:v>3.3093329195110086</c:v>
                </c:pt>
                <c:pt idx="5">
                  <c:v>4.2443742876571653</c:v>
                </c:pt>
                <c:pt idx="6">
                  <c:v>5.444644263301547</c:v>
                </c:pt>
                <c:pt idx="7">
                  <c:v>6.9856524115024001</c:v>
                </c:pt>
                <c:pt idx="8">
                  <c:v>8.9644790047272576</c:v>
                </c:pt>
                <c:pt idx="9">
                  <c:v>11.505956535902859</c:v>
                </c:pt>
                <c:pt idx="10">
                  <c:v>14.770627796063126</c:v>
                </c:pt>
                <c:pt idx="11">
                  <c:v>18.964992449920519</c:v>
                </c:pt>
                <c:pt idx="12">
                  <c:v>24.354701914846043</c:v>
                </c:pt>
                <c:pt idx="13">
                  <c:v>31.281553026413842</c:v>
                </c:pt>
                <c:pt idx="14">
                  <c:v>40.185376872193338</c:v>
                </c:pt>
                <c:pt idx="15">
                  <c:v>51.632236317450122</c:v>
                </c:pt>
                <c:pt idx="16">
                  <c:v>66.350754811399838</c:v>
                </c:pt>
                <c:pt idx="17">
                  <c:v>85.278926742765123</c:v>
                </c:pt>
                <c:pt idx="18">
                  <c:v>109.62444036403467</c:v>
                </c:pt>
                <c:pt idx="19">
                  <c:v>95.575602996049398</c:v>
                </c:pt>
                <c:pt idx="20">
                  <c:v>102.09197798314808</c:v>
                </c:pt>
                <c:pt idx="21">
                  <c:v>108.59805801791737</c:v>
                </c:pt>
                <c:pt idx="22">
                  <c:v>115.09454819968727</c:v>
                </c:pt>
                <c:pt idx="23">
                  <c:v>121.58206732519072</c:v>
                </c:pt>
                <c:pt idx="24">
                  <c:v>128.06116259946734</c:v>
                </c:pt>
                <c:pt idx="25">
                  <c:v>134.53232120499612</c:v>
                </c:pt>
                <c:pt idx="26">
                  <c:v>140.99597952220589</c:v>
                </c:pt>
                <c:pt idx="27">
                  <c:v>147.45253056632168</c:v>
                </c:pt>
                <c:pt idx="28">
                  <c:v>123.85636725531405</c:v>
                </c:pt>
                <c:pt idx="29">
                  <c:v>130.90034033693689</c:v>
                </c:pt>
                <c:pt idx="30">
                  <c:v>137.935155713125</c:v>
                </c:pt>
                <c:pt idx="31">
                  <c:v>144.96134716666668</c:v>
                </c:pt>
                <c:pt idx="32">
                  <c:v>151.97939240324109</c:v>
                </c:pt>
                <c:pt idx="33">
                  <c:v>158.98972131892458</c:v>
                </c:pt>
                <c:pt idx="34">
                  <c:v>165.99272272992371</c:v>
                </c:pt>
                <c:pt idx="35">
                  <c:v>172.98874990477884</c:v>
                </c:pt>
                <c:pt idx="36">
                  <c:v>179.97812515299574</c:v>
                </c:pt>
                <c:pt idx="37">
                  <c:v>146.43353271796309</c:v>
                </c:pt>
                <c:pt idx="38">
                  <c:v>153.56302988078724</c:v>
                </c:pt>
                <c:pt idx="39">
                  <c:v>160.68465382913146</c:v>
                </c:pt>
                <c:pt idx="40">
                  <c:v>167.79880331835713</c:v>
                </c:pt>
                <c:pt idx="41">
                  <c:v>174.90584046860872</c:v>
                </c:pt>
                <c:pt idx="42">
                  <c:v>182.00609551607818</c:v>
                </c:pt>
                <c:pt idx="43">
                  <c:v>189.09987078266826</c:v>
                </c:pt>
                <c:pt idx="44">
                  <c:v>196.18744401776067</c:v>
                </c:pt>
                <c:pt idx="45">
                  <c:v>203.26907123098991</c:v>
                </c:pt>
                <c:pt idx="46">
                  <c:v>170.28141648853304</c:v>
                </c:pt>
                <c:pt idx="47">
                  <c:v>177.83690852831276</c:v>
                </c:pt>
                <c:pt idx="48">
                  <c:v>185.38487428970882</c:v>
                </c:pt>
                <c:pt idx="49">
                  <c:v>192.92566388110376</c:v>
                </c:pt>
                <c:pt idx="50">
                  <c:v>200.45959776376495</c:v>
                </c:pt>
                <c:pt idx="51">
                  <c:v>207.9869703071802</c:v>
                </c:pt>
                <c:pt idx="52">
                  <c:v>215.50805280197096</c:v>
                </c:pt>
                <c:pt idx="53">
                  <c:v>223.02309602958439</c:v>
                </c:pt>
                <c:pt idx="54">
                  <c:v>230.53233246702442</c:v>
                </c:pt>
                <c:pt idx="55">
                  <c:v>188.08686026278508</c:v>
                </c:pt>
                <c:pt idx="56">
                  <c:v>196.18744401776087</c:v>
                </c:pt>
                <c:pt idx="57">
                  <c:v>204.2802608972855</c:v>
                </c:pt>
                <c:pt idx="58">
                  <c:v>212.36566238676059</c:v>
                </c:pt>
                <c:pt idx="59">
                  <c:v>220.44397098530536</c:v>
                </c:pt>
                <c:pt idx="60">
                  <c:v>228.51548359441412</c:v>
                </c:pt>
                <c:pt idx="61">
                  <c:v>1.2314189815084623E-12</c:v>
                </c:pt>
                <c:pt idx="62">
                  <c:v>1.2314189815084623E-12</c:v>
                </c:pt>
                <c:pt idx="63">
                  <c:v>1.2314189815084623E-12</c:v>
                </c:pt>
                <c:pt idx="64">
                  <c:v>1.2314189815084623E-12</c:v>
                </c:pt>
                <c:pt idx="65">
                  <c:v>1.2314189815084623E-12</c:v>
                </c:pt>
                <c:pt idx="66">
                  <c:v>1.2314189815084623E-12</c:v>
                </c:pt>
                <c:pt idx="67">
                  <c:v>1.2314189815084623E-12</c:v>
                </c:pt>
                <c:pt idx="68">
                  <c:v>1.2314189815084623E-12</c:v>
                </c:pt>
                <c:pt idx="69">
                  <c:v>1.2314189815084623E-12</c:v>
                </c:pt>
                <c:pt idx="70">
                  <c:v>1.2314189815084623E-12</c:v>
                </c:pt>
                <c:pt idx="71">
                  <c:v>1.2314189815084623E-12</c:v>
                </c:pt>
                <c:pt idx="72">
                  <c:v>1.2314189815084623E-12</c:v>
                </c:pt>
                <c:pt idx="73">
                  <c:v>1.2314189815084623E-12</c:v>
                </c:pt>
                <c:pt idx="74">
                  <c:v>1.2314189815084623E-12</c:v>
                </c:pt>
                <c:pt idx="75">
                  <c:v>1.2314189815084623E-12</c:v>
                </c:pt>
                <c:pt idx="76">
                  <c:v>1.2314189815084623E-12</c:v>
                </c:pt>
                <c:pt idx="77">
                  <c:v>1.2314189815084623E-12</c:v>
                </c:pt>
                <c:pt idx="78">
                  <c:v>1.2314189815084623E-12</c:v>
                </c:pt>
                <c:pt idx="79">
                  <c:v>1.2314189815084623E-12</c:v>
                </c:pt>
                <c:pt idx="80">
                  <c:v>1.2314189815084623E-12</c:v>
                </c:pt>
                <c:pt idx="81">
                  <c:v>1.2314189815084623E-12</c:v>
                </c:pt>
                <c:pt idx="82">
                  <c:v>1.2314189815084623E-12</c:v>
                </c:pt>
                <c:pt idx="83">
                  <c:v>1.2314189815084623E-12</c:v>
                </c:pt>
                <c:pt idx="84">
                  <c:v>1.2314189815084623E-12</c:v>
                </c:pt>
                <c:pt idx="85">
                  <c:v>1.2314189815084623E-12</c:v>
                </c:pt>
                <c:pt idx="86">
                  <c:v>1.2314189815084623E-12</c:v>
                </c:pt>
                <c:pt idx="87">
                  <c:v>1.2314189815084623E-12</c:v>
                </c:pt>
                <c:pt idx="88">
                  <c:v>1.2314189815084623E-12</c:v>
                </c:pt>
                <c:pt idx="89">
                  <c:v>1.2314189815084623E-12</c:v>
                </c:pt>
                <c:pt idx="90">
                  <c:v>1.2314189815084623E-12</c:v>
                </c:pt>
                <c:pt idx="91">
                  <c:v>1.2314189815084623E-12</c:v>
                </c:pt>
                <c:pt idx="92">
                  <c:v>1.2314189815084623E-12</c:v>
                </c:pt>
                <c:pt idx="93">
                  <c:v>1.2314189815084623E-12</c:v>
                </c:pt>
                <c:pt idx="94">
                  <c:v>1.2314189815084623E-12</c:v>
                </c:pt>
                <c:pt idx="95">
                  <c:v>1.2314189815084623E-12</c:v>
                </c:pt>
                <c:pt idx="96">
                  <c:v>1.2314189815084623E-12</c:v>
                </c:pt>
                <c:pt idx="97">
                  <c:v>1.2314189815084623E-12</c:v>
                </c:pt>
                <c:pt idx="98">
                  <c:v>1.2314189815084623E-12</c:v>
                </c:pt>
                <c:pt idx="99">
                  <c:v>1.2314189815084623E-12</c:v>
                </c:pt>
                <c:pt idx="100">
                  <c:v>1.2314189815084623E-12</c:v>
                </c:pt>
                <c:pt idx="101">
                  <c:v>1.2314189815084623E-12</c:v>
                </c:pt>
                <c:pt idx="102">
                  <c:v>1.2314189815084623E-12</c:v>
                </c:pt>
                <c:pt idx="103">
                  <c:v>1.2314189815084623E-12</c:v>
                </c:pt>
                <c:pt idx="104">
                  <c:v>1.2314189815084623E-12</c:v>
                </c:pt>
                <c:pt idx="105">
                  <c:v>1.2314189815084623E-12</c:v>
                </c:pt>
                <c:pt idx="106">
                  <c:v>1.2314189815084623E-12</c:v>
                </c:pt>
                <c:pt idx="107">
                  <c:v>1.2314189815084623E-12</c:v>
                </c:pt>
                <c:pt idx="108">
                  <c:v>1.2314189815084623E-12</c:v>
                </c:pt>
                <c:pt idx="109">
                  <c:v>1.2314189815084623E-12</c:v>
                </c:pt>
                <c:pt idx="110">
                  <c:v>1.2314189815084623E-12</c:v>
                </c:pt>
                <c:pt idx="111">
                  <c:v>1.2314189815084623E-12</c:v>
                </c:pt>
                <c:pt idx="112">
                  <c:v>1.2314189815084623E-12</c:v>
                </c:pt>
                <c:pt idx="113">
                  <c:v>1.2314189815084623E-12</c:v>
                </c:pt>
                <c:pt idx="114">
                  <c:v>1.2314189815084623E-12</c:v>
                </c:pt>
                <c:pt idx="115">
                  <c:v>1.2314189815084623E-12</c:v>
                </c:pt>
                <c:pt idx="116">
                  <c:v>1.2314189815084623E-12</c:v>
                </c:pt>
                <c:pt idx="117">
                  <c:v>1.2314189815084623E-12</c:v>
                </c:pt>
                <c:pt idx="118">
                  <c:v>1.2314189815084623E-12</c:v>
                </c:pt>
                <c:pt idx="119">
                  <c:v>1.2314189815084623E-12</c:v>
                </c:pt>
                <c:pt idx="120">
                  <c:v>1.2314189815084623E-12</c:v>
                </c:pt>
                <c:pt idx="121">
                  <c:v>1.2314189815084623E-12</c:v>
                </c:pt>
                <c:pt idx="122">
                  <c:v>1.2314189815084623E-12</c:v>
                </c:pt>
                <c:pt idx="123">
                  <c:v>1.2314189815084623E-12</c:v>
                </c:pt>
                <c:pt idx="124">
                  <c:v>1.2314189815084623E-12</c:v>
                </c:pt>
                <c:pt idx="125">
                  <c:v>1.2314189815084623E-12</c:v>
                </c:pt>
                <c:pt idx="126">
                  <c:v>1.2314189815084623E-12</c:v>
                </c:pt>
                <c:pt idx="127">
                  <c:v>1.2314189815084623E-12</c:v>
                </c:pt>
                <c:pt idx="128">
                  <c:v>1.2314189815084623E-12</c:v>
                </c:pt>
                <c:pt idx="129">
                  <c:v>1.2314189815084623E-12</c:v>
                </c:pt>
                <c:pt idx="130">
                  <c:v>1.2314189815084623E-12</c:v>
                </c:pt>
                <c:pt idx="131">
                  <c:v>1.2314189815084623E-12</c:v>
                </c:pt>
                <c:pt idx="132">
                  <c:v>1.2314189815084623E-12</c:v>
                </c:pt>
                <c:pt idx="133">
                  <c:v>1.2314189815084623E-12</c:v>
                </c:pt>
                <c:pt idx="134">
                  <c:v>1.2314189815084623E-12</c:v>
                </c:pt>
                <c:pt idx="135">
                  <c:v>1.2314189815084623E-12</c:v>
                </c:pt>
                <c:pt idx="136">
                  <c:v>1.2314189815084623E-12</c:v>
                </c:pt>
                <c:pt idx="137">
                  <c:v>1.2314189815084623E-12</c:v>
                </c:pt>
                <c:pt idx="138">
                  <c:v>1.2314189815084623E-12</c:v>
                </c:pt>
                <c:pt idx="139">
                  <c:v>1.2314189815084623E-12</c:v>
                </c:pt>
                <c:pt idx="140">
                  <c:v>1.2314189815084623E-12</c:v>
                </c:pt>
                <c:pt idx="141">
                  <c:v>1.2314189815084623E-12</c:v>
                </c:pt>
                <c:pt idx="142">
                  <c:v>1.2314189815084623E-12</c:v>
                </c:pt>
                <c:pt idx="143">
                  <c:v>1.2314189815084623E-12</c:v>
                </c:pt>
                <c:pt idx="144">
                  <c:v>1.2314189815084623E-12</c:v>
                </c:pt>
                <c:pt idx="145">
                  <c:v>1.2314189815084623E-12</c:v>
                </c:pt>
                <c:pt idx="146">
                  <c:v>1.2314189815084623E-12</c:v>
                </c:pt>
                <c:pt idx="147">
                  <c:v>1.2314189815084623E-12</c:v>
                </c:pt>
                <c:pt idx="148">
                  <c:v>1.2314189815084623E-12</c:v>
                </c:pt>
                <c:pt idx="149">
                  <c:v>1.2314189815084623E-12</c:v>
                </c:pt>
                <c:pt idx="150">
                  <c:v>1.2314189815084623E-12</c:v>
                </c:pt>
                <c:pt idx="151">
                  <c:v>1.2314189815084623E-12</c:v>
                </c:pt>
                <c:pt idx="152">
                  <c:v>1.2314189815084623E-12</c:v>
                </c:pt>
                <c:pt idx="153">
                  <c:v>1.2314189815084623E-12</c:v>
                </c:pt>
                <c:pt idx="154">
                  <c:v>1.2314189815084623E-12</c:v>
                </c:pt>
                <c:pt idx="155">
                  <c:v>1.2314189815084623E-12</c:v>
                </c:pt>
                <c:pt idx="156">
                  <c:v>1.2314189815084623E-12</c:v>
                </c:pt>
                <c:pt idx="157">
                  <c:v>1.2314189815084623E-12</c:v>
                </c:pt>
                <c:pt idx="158">
                  <c:v>1.2314189815084623E-12</c:v>
                </c:pt>
                <c:pt idx="159">
                  <c:v>1.2314189815084623E-12</c:v>
                </c:pt>
                <c:pt idx="160">
                  <c:v>1.2314189815084623E-12</c:v>
                </c:pt>
                <c:pt idx="161">
                  <c:v>1.2314189815084623E-12</c:v>
                </c:pt>
                <c:pt idx="162">
                  <c:v>1.2314189815084623E-12</c:v>
                </c:pt>
                <c:pt idx="163">
                  <c:v>1.2314189815084623E-12</c:v>
                </c:pt>
                <c:pt idx="164">
                  <c:v>1.2314189815084623E-12</c:v>
                </c:pt>
                <c:pt idx="165">
                  <c:v>1.2314189815084623E-12</c:v>
                </c:pt>
                <c:pt idx="166">
                  <c:v>1.2314189815084623E-12</c:v>
                </c:pt>
                <c:pt idx="167">
                  <c:v>1.2314189815084623E-12</c:v>
                </c:pt>
                <c:pt idx="168">
                  <c:v>1.2314189815084623E-12</c:v>
                </c:pt>
                <c:pt idx="169">
                  <c:v>1.2314189815084623E-12</c:v>
                </c:pt>
                <c:pt idx="170">
                  <c:v>1.2314189815084623E-12</c:v>
                </c:pt>
                <c:pt idx="171">
                  <c:v>1.2314189815084623E-12</c:v>
                </c:pt>
                <c:pt idx="172">
                  <c:v>1.2314189815084623E-12</c:v>
                </c:pt>
                <c:pt idx="173">
                  <c:v>1.2314189815084623E-12</c:v>
                </c:pt>
                <c:pt idx="174">
                  <c:v>1.2314189815084623E-12</c:v>
                </c:pt>
                <c:pt idx="175">
                  <c:v>1.2314189815084623E-12</c:v>
                </c:pt>
                <c:pt idx="176">
                  <c:v>1.2314189815084623E-12</c:v>
                </c:pt>
                <c:pt idx="177">
                  <c:v>1.2314189815084623E-12</c:v>
                </c:pt>
                <c:pt idx="178">
                  <c:v>1.2314189815084623E-12</c:v>
                </c:pt>
                <c:pt idx="179">
                  <c:v>1.2314189815084623E-12</c:v>
                </c:pt>
                <c:pt idx="180">
                  <c:v>1.2314189815084623E-12</c:v>
                </c:pt>
                <c:pt idx="181">
                  <c:v>1.2314189815084623E-12</c:v>
                </c:pt>
                <c:pt idx="182">
                  <c:v>1.2314189815084623E-12</c:v>
                </c:pt>
                <c:pt idx="183">
                  <c:v>1.2314189815084623E-12</c:v>
                </c:pt>
                <c:pt idx="184">
                  <c:v>1.2314189815084623E-12</c:v>
                </c:pt>
                <c:pt idx="185">
                  <c:v>1.2314189815084623E-12</c:v>
                </c:pt>
                <c:pt idx="186">
                  <c:v>1.2314189815084623E-12</c:v>
                </c:pt>
                <c:pt idx="187">
                  <c:v>1.2314189815084623E-12</c:v>
                </c:pt>
                <c:pt idx="188">
                  <c:v>1.2314189815084623E-12</c:v>
                </c:pt>
                <c:pt idx="189">
                  <c:v>1.2314189815084623E-12</c:v>
                </c:pt>
                <c:pt idx="190">
                  <c:v>1.2314189815084623E-12</c:v>
                </c:pt>
                <c:pt idx="191">
                  <c:v>1.2314189815084623E-12</c:v>
                </c:pt>
                <c:pt idx="192">
                  <c:v>1.2314189815084623E-12</c:v>
                </c:pt>
                <c:pt idx="193">
                  <c:v>1.2314189815084623E-12</c:v>
                </c:pt>
                <c:pt idx="194">
                  <c:v>1.2314189815084623E-12</c:v>
                </c:pt>
                <c:pt idx="195">
                  <c:v>1.2314189815084623E-12</c:v>
                </c:pt>
                <c:pt idx="196">
                  <c:v>1.2314189815084623E-12</c:v>
                </c:pt>
                <c:pt idx="197">
                  <c:v>1.2314189815084623E-12</c:v>
                </c:pt>
                <c:pt idx="198">
                  <c:v>1.2314189815084623E-12</c:v>
                </c:pt>
                <c:pt idx="199">
                  <c:v>1.2314189815084623E-12</c:v>
                </c:pt>
                <c:pt idx="200">
                  <c:v>1.2314189815084623E-12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46304"/>
        <c:axId val="-461137600"/>
      </c:scatterChart>
      <c:valAx>
        <c:axId val="-46114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7600"/>
        <c:crosses val="autoZero"/>
        <c:crossBetween val="midCat"/>
      </c:valAx>
      <c:valAx>
        <c:axId val="-46113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413.06888274647389</c:v>
                </c:pt>
                <c:pt idx="62">
                  <c:v>413.06888274647389</c:v>
                </c:pt>
                <c:pt idx="63">
                  <c:v>413.06888274647389</c:v>
                </c:pt>
                <c:pt idx="64">
                  <c:v>413.06888274647389</c:v>
                </c:pt>
                <c:pt idx="65">
                  <c:v>413.06888274647389</c:v>
                </c:pt>
                <c:pt idx="66">
                  <c:v>413.06888274647389</c:v>
                </c:pt>
                <c:pt idx="67">
                  <c:v>413.06888274647389</c:v>
                </c:pt>
                <c:pt idx="68">
                  <c:v>413.06888274647389</c:v>
                </c:pt>
                <c:pt idx="69">
                  <c:v>413.06888274647389</c:v>
                </c:pt>
                <c:pt idx="70">
                  <c:v>413.06888274647389</c:v>
                </c:pt>
                <c:pt idx="71">
                  <c:v>413.06888274647389</c:v>
                </c:pt>
                <c:pt idx="72">
                  <c:v>413.06888274647389</c:v>
                </c:pt>
                <c:pt idx="73">
                  <c:v>413.06888274647389</c:v>
                </c:pt>
                <c:pt idx="74">
                  <c:v>413.06888274647389</c:v>
                </c:pt>
                <c:pt idx="75">
                  <c:v>413.06888274647389</c:v>
                </c:pt>
                <c:pt idx="76">
                  <c:v>413.06888274647389</c:v>
                </c:pt>
                <c:pt idx="77">
                  <c:v>413.06888274647389</c:v>
                </c:pt>
                <c:pt idx="78">
                  <c:v>413.06888274647389</c:v>
                </c:pt>
                <c:pt idx="79">
                  <c:v>413.06888274647389</c:v>
                </c:pt>
                <c:pt idx="80">
                  <c:v>413.06888274647389</c:v>
                </c:pt>
                <c:pt idx="81">
                  <c:v>413.06888274647389</c:v>
                </c:pt>
                <c:pt idx="82">
                  <c:v>413.06888274647389</c:v>
                </c:pt>
                <c:pt idx="83">
                  <c:v>413.06888274647389</c:v>
                </c:pt>
                <c:pt idx="84">
                  <c:v>413.06888274647389</c:v>
                </c:pt>
                <c:pt idx="85">
                  <c:v>413.06888274647389</c:v>
                </c:pt>
                <c:pt idx="86">
                  <c:v>413.06888274647389</c:v>
                </c:pt>
                <c:pt idx="87">
                  <c:v>413.06888274647389</c:v>
                </c:pt>
                <c:pt idx="88">
                  <c:v>413.06888274647389</c:v>
                </c:pt>
                <c:pt idx="89">
                  <c:v>413.06888274647389</c:v>
                </c:pt>
                <c:pt idx="90">
                  <c:v>413.06888274647389</c:v>
                </c:pt>
                <c:pt idx="91">
                  <c:v>413.06888274647389</c:v>
                </c:pt>
                <c:pt idx="92">
                  <c:v>413.06888274647389</c:v>
                </c:pt>
                <c:pt idx="93">
                  <c:v>413.06888274647389</c:v>
                </c:pt>
                <c:pt idx="94">
                  <c:v>413.06888274647389</c:v>
                </c:pt>
                <c:pt idx="95">
                  <c:v>413.06888274647389</c:v>
                </c:pt>
                <c:pt idx="96">
                  <c:v>413.06888274647389</c:v>
                </c:pt>
                <c:pt idx="97">
                  <c:v>413.06888274647389</c:v>
                </c:pt>
                <c:pt idx="98">
                  <c:v>413.06888274647389</c:v>
                </c:pt>
                <c:pt idx="99">
                  <c:v>413.06888274647389</c:v>
                </c:pt>
                <c:pt idx="100">
                  <c:v>413.06888274647389</c:v>
                </c:pt>
                <c:pt idx="101">
                  <c:v>413.06888274647389</c:v>
                </c:pt>
                <c:pt idx="102">
                  <c:v>413.06888274647389</c:v>
                </c:pt>
                <c:pt idx="103">
                  <c:v>413.06888274647389</c:v>
                </c:pt>
                <c:pt idx="104">
                  <c:v>413.06888274647389</c:v>
                </c:pt>
                <c:pt idx="105">
                  <c:v>413.06888274647389</c:v>
                </c:pt>
                <c:pt idx="106">
                  <c:v>413.06888274647389</c:v>
                </c:pt>
                <c:pt idx="107">
                  <c:v>413.06888274647389</c:v>
                </c:pt>
                <c:pt idx="108">
                  <c:v>413.06888274647389</c:v>
                </c:pt>
                <c:pt idx="109">
                  <c:v>413.06888274647389</c:v>
                </c:pt>
                <c:pt idx="110">
                  <c:v>413.06888274647389</c:v>
                </c:pt>
                <c:pt idx="111">
                  <c:v>413.06888274647389</c:v>
                </c:pt>
                <c:pt idx="112">
                  <c:v>413.06888274647389</c:v>
                </c:pt>
                <c:pt idx="113">
                  <c:v>413.06888274647389</c:v>
                </c:pt>
                <c:pt idx="114">
                  <c:v>413.06888274647389</c:v>
                </c:pt>
                <c:pt idx="115">
                  <c:v>413.06888274647389</c:v>
                </c:pt>
                <c:pt idx="116">
                  <c:v>413.06888274647389</c:v>
                </c:pt>
                <c:pt idx="117">
                  <c:v>413.06888274647389</c:v>
                </c:pt>
                <c:pt idx="118">
                  <c:v>413.06888274647389</c:v>
                </c:pt>
                <c:pt idx="119">
                  <c:v>413.06888274647389</c:v>
                </c:pt>
                <c:pt idx="120">
                  <c:v>413.06888274647389</c:v>
                </c:pt>
                <c:pt idx="121">
                  <c:v>413.06888274647389</c:v>
                </c:pt>
                <c:pt idx="122">
                  <c:v>413.06888274647389</c:v>
                </c:pt>
                <c:pt idx="123">
                  <c:v>413.06888274647389</c:v>
                </c:pt>
                <c:pt idx="124">
                  <c:v>413.06888274647389</c:v>
                </c:pt>
                <c:pt idx="125">
                  <c:v>413.06888274647389</c:v>
                </c:pt>
                <c:pt idx="126">
                  <c:v>413.06888274647389</c:v>
                </c:pt>
                <c:pt idx="127">
                  <c:v>413.06888274647389</c:v>
                </c:pt>
                <c:pt idx="128">
                  <c:v>413.06888274647389</c:v>
                </c:pt>
                <c:pt idx="129">
                  <c:v>413.06888274647389</c:v>
                </c:pt>
                <c:pt idx="130">
                  <c:v>413.06888274647389</c:v>
                </c:pt>
                <c:pt idx="131">
                  <c:v>413.06888274647389</c:v>
                </c:pt>
                <c:pt idx="132">
                  <c:v>413.06888274647389</c:v>
                </c:pt>
                <c:pt idx="133">
                  <c:v>413.06888274647389</c:v>
                </c:pt>
                <c:pt idx="134">
                  <c:v>413.06888274647389</c:v>
                </c:pt>
                <c:pt idx="135">
                  <c:v>413.06888274647389</c:v>
                </c:pt>
                <c:pt idx="136">
                  <c:v>413.06888274647389</c:v>
                </c:pt>
                <c:pt idx="137">
                  <c:v>413.06888274647389</c:v>
                </c:pt>
                <c:pt idx="138">
                  <c:v>413.06888274647389</c:v>
                </c:pt>
                <c:pt idx="139">
                  <c:v>413.06888274647389</c:v>
                </c:pt>
                <c:pt idx="140">
                  <c:v>413.06888274647389</c:v>
                </c:pt>
                <c:pt idx="141">
                  <c:v>413.06888274647389</c:v>
                </c:pt>
                <c:pt idx="142">
                  <c:v>413.06888274647389</c:v>
                </c:pt>
                <c:pt idx="143">
                  <c:v>413.06888274647389</c:v>
                </c:pt>
                <c:pt idx="144">
                  <c:v>413.06888274647389</c:v>
                </c:pt>
                <c:pt idx="145">
                  <c:v>413.06888274647389</c:v>
                </c:pt>
                <c:pt idx="146">
                  <c:v>413.06888274647389</c:v>
                </c:pt>
                <c:pt idx="147">
                  <c:v>413.06888274647389</c:v>
                </c:pt>
                <c:pt idx="148">
                  <c:v>413.06888274647389</c:v>
                </c:pt>
                <c:pt idx="149">
                  <c:v>413.06888274647389</c:v>
                </c:pt>
                <c:pt idx="150">
                  <c:v>413.06888274647389</c:v>
                </c:pt>
                <c:pt idx="151">
                  <c:v>413.06888274647389</c:v>
                </c:pt>
                <c:pt idx="152">
                  <c:v>413.06888274647389</c:v>
                </c:pt>
                <c:pt idx="153">
                  <c:v>413.06888274647389</c:v>
                </c:pt>
                <c:pt idx="154">
                  <c:v>413.06888274647389</c:v>
                </c:pt>
                <c:pt idx="155">
                  <c:v>413.06888274647389</c:v>
                </c:pt>
                <c:pt idx="156">
                  <c:v>413.06888274647389</c:v>
                </c:pt>
                <c:pt idx="157">
                  <c:v>413.06888274647389</c:v>
                </c:pt>
                <c:pt idx="158">
                  <c:v>413.06888274647389</c:v>
                </c:pt>
                <c:pt idx="159">
                  <c:v>413.06888274647389</c:v>
                </c:pt>
                <c:pt idx="160">
                  <c:v>413.06888274647389</c:v>
                </c:pt>
                <c:pt idx="161">
                  <c:v>413.06888274647389</c:v>
                </c:pt>
                <c:pt idx="162">
                  <c:v>413.06888274647389</c:v>
                </c:pt>
                <c:pt idx="163">
                  <c:v>413.06888274647389</c:v>
                </c:pt>
                <c:pt idx="164">
                  <c:v>413.06888274647389</c:v>
                </c:pt>
                <c:pt idx="165">
                  <c:v>413.06888274647389</c:v>
                </c:pt>
                <c:pt idx="166">
                  <c:v>413.06888274647389</c:v>
                </c:pt>
                <c:pt idx="167">
                  <c:v>413.06888274647389</c:v>
                </c:pt>
                <c:pt idx="168">
                  <c:v>413.06888274647389</c:v>
                </c:pt>
                <c:pt idx="169">
                  <c:v>413.06888274647389</c:v>
                </c:pt>
                <c:pt idx="170">
                  <c:v>413.06888274647389</c:v>
                </c:pt>
                <c:pt idx="171">
                  <c:v>413.06888274647389</c:v>
                </c:pt>
                <c:pt idx="172">
                  <c:v>413.06888274647389</c:v>
                </c:pt>
                <c:pt idx="173">
                  <c:v>413.06888274647389</c:v>
                </c:pt>
                <c:pt idx="174">
                  <c:v>413.06888274647389</c:v>
                </c:pt>
                <c:pt idx="175">
                  <c:v>413.06888274647389</c:v>
                </c:pt>
                <c:pt idx="176">
                  <c:v>413.06888274647389</c:v>
                </c:pt>
                <c:pt idx="177">
                  <c:v>413.06888274647389</c:v>
                </c:pt>
                <c:pt idx="178">
                  <c:v>413.06888274647389</c:v>
                </c:pt>
                <c:pt idx="179">
                  <c:v>413.06888274647389</c:v>
                </c:pt>
                <c:pt idx="180">
                  <c:v>413.06888274647389</c:v>
                </c:pt>
                <c:pt idx="181">
                  <c:v>413.06888274647389</c:v>
                </c:pt>
                <c:pt idx="182">
                  <c:v>413.06888274647389</c:v>
                </c:pt>
                <c:pt idx="183">
                  <c:v>413.06888274647389</c:v>
                </c:pt>
                <c:pt idx="184">
                  <c:v>413.06888274647389</c:v>
                </c:pt>
                <c:pt idx="185">
                  <c:v>413.06888274647389</c:v>
                </c:pt>
                <c:pt idx="186">
                  <c:v>413.06888274647389</c:v>
                </c:pt>
                <c:pt idx="187">
                  <c:v>413.06888274647389</c:v>
                </c:pt>
                <c:pt idx="188">
                  <c:v>413.06888274647389</c:v>
                </c:pt>
                <c:pt idx="189">
                  <c:v>413.06888274647389</c:v>
                </c:pt>
                <c:pt idx="190">
                  <c:v>413.06888274647389</c:v>
                </c:pt>
                <c:pt idx="191">
                  <c:v>413.06888274647389</c:v>
                </c:pt>
                <c:pt idx="192">
                  <c:v>413.06888274647389</c:v>
                </c:pt>
                <c:pt idx="193">
                  <c:v>413.06888274647389</c:v>
                </c:pt>
                <c:pt idx="194">
                  <c:v>413.06888274647389</c:v>
                </c:pt>
                <c:pt idx="195">
                  <c:v>413.06888274647389</c:v>
                </c:pt>
                <c:pt idx="196">
                  <c:v>413.06888274647389</c:v>
                </c:pt>
                <c:pt idx="197">
                  <c:v>413.06888274647389</c:v>
                </c:pt>
                <c:pt idx="198">
                  <c:v>413.06888274647389</c:v>
                </c:pt>
                <c:pt idx="199">
                  <c:v>413.06888274647389</c:v>
                </c:pt>
                <c:pt idx="200">
                  <c:v>413.06888274647389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45216"/>
        <c:axId val="-461133248"/>
      </c:scatterChart>
      <c:valAx>
        <c:axId val="-461145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3248"/>
        <c:crosses val="autoZero"/>
        <c:crossBetween val="midCat"/>
      </c:valAx>
      <c:valAx>
        <c:axId val="-46113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5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332.26233823070532</c:v>
                </c:pt>
                <c:pt idx="44">
                  <c:v>332.26233823070532</c:v>
                </c:pt>
                <c:pt idx="45">
                  <c:v>332.26233823070532</c:v>
                </c:pt>
                <c:pt idx="46">
                  <c:v>332.26233823070532</c:v>
                </c:pt>
                <c:pt idx="47">
                  <c:v>332.26233823070532</c:v>
                </c:pt>
                <c:pt idx="48">
                  <c:v>332.26233823070532</c:v>
                </c:pt>
                <c:pt idx="49">
                  <c:v>332.26233823070532</c:v>
                </c:pt>
                <c:pt idx="50">
                  <c:v>332.26233823070532</c:v>
                </c:pt>
                <c:pt idx="51">
                  <c:v>332.26233823070532</c:v>
                </c:pt>
                <c:pt idx="52">
                  <c:v>332.26233823070532</c:v>
                </c:pt>
                <c:pt idx="53">
                  <c:v>332.26233823070532</c:v>
                </c:pt>
                <c:pt idx="54">
                  <c:v>332.26233823070532</c:v>
                </c:pt>
                <c:pt idx="55">
                  <c:v>332.26233823070532</c:v>
                </c:pt>
                <c:pt idx="56">
                  <c:v>332.26233823070532</c:v>
                </c:pt>
                <c:pt idx="57">
                  <c:v>332.26233823070532</c:v>
                </c:pt>
                <c:pt idx="58">
                  <c:v>332.26233823070532</c:v>
                </c:pt>
                <c:pt idx="59">
                  <c:v>332.26233823070532</c:v>
                </c:pt>
                <c:pt idx="60">
                  <c:v>332.26233823070532</c:v>
                </c:pt>
                <c:pt idx="61">
                  <c:v>332.26233823070532</c:v>
                </c:pt>
                <c:pt idx="62">
                  <c:v>332.26233823070532</c:v>
                </c:pt>
                <c:pt idx="63">
                  <c:v>332.26233823070532</c:v>
                </c:pt>
                <c:pt idx="64">
                  <c:v>332.26233823070532</c:v>
                </c:pt>
                <c:pt idx="65">
                  <c:v>332.26233823070532</c:v>
                </c:pt>
                <c:pt idx="66">
                  <c:v>332.26233823070532</c:v>
                </c:pt>
                <c:pt idx="67">
                  <c:v>332.26233823070532</c:v>
                </c:pt>
                <c:pt idx="68">
                  <c:v>332.26233823070532</c:v>
                </c:pt>
                <c:pt idx="69">
                  <c:v>332.26233823070532</c:v>
                </c:pt>
                <c:pt idx="70">
                  <c:v>332.26233823070532</c:v>
                </c:pt>
                <c:pt idx="71">
                  <c:v>332.26233823070532</c:v>
                </c:pt>
                <c:pt idx="72">
                  <c:v>332.26233823070532</c:v>
                </c:pt>
                <c:pt idx="73">
                  <c:v>332.26233823070532</c:v>
                </c:pt>
                <c:pt idx="74">
                  <c:v>332.26233823070532</c:v>
                </c:pt>
                <c:pt idx="75">
                  <c:v>332.26233823070532</c:v>
                </c:pt>
                <c:pt idx="76">
                  <c:v>332.26233823070532</c:v>
                </c:pt>
                <c:pt idx="77">
                  <c:v>332.26233823070532</c:v>
                </c:pt>
                <c:pt idx="78">
                  <c:v>332.26233823070532</c:v>
                </c:pt>
                <c:pt idx="79">
                  <c:v>332.26233823070532</c:v>
                </c:pt>
                <c:pt idx="80">
                  <c:v>332.26233823070532</c:v>
                </c:pt>
                <c:pt idx="81">
                  <c:v>332.26233823070532</c:v>
                </c:pt>
                <c:pt idx="82">
                  <c:v>332.26233823070532</c:v>
                </c:pt>
                <c:pt idx="83">
                  <c:v>332.26233823070532</c:v>
                </c:pt>
                <c:pt idx="84">
                  <c:v>332.26233823070532</c:v>
                </c:pt>
                <c:pt idx="85">
                  <c:v>332.26233823070532</c:v>
                </c:pt>
                <c:pt idx="86">
                  <c:v>332.26233823070532</c:v>
                </c:pt>
                <c:pt idx="87">
                  <c:v>332.26233823070532</c:v>
                </c:pt>
                <c:pt idx="88">
                  <c:v>332.26233823070532</c:v>
                </c:pt>
                <c:pt idx="89">
                  <c:v>332.26233823070532</c:v>
                </c:pt>
                <c:pt idx="90">
                  <c:v>332.26233823070532</c:v>
                </c:pt>
                <c:pt idx="91">
                  <c:v>332.26233823070532</c:v>
                </c:pt>
                <c:pt idx="92">
                  <c:v>332.26233823070532</c:v>
                </c:pt>
                <c:pt idx="93">
                  <c:v>332.26233823070532</c:v>
                </c:pt>
                <c:pt idx="94">
                  <c:v>332.26233823070532</c:v>
                </c:pt>
                <c:pt idx="95">
                  <c:v>332.26233823070532</c:v>
                </c:pt>
                <c:pt idx="96">
                  <c:v>332.26233823070532</c:v>
                </c:pt>
                <c:pt idx="97">
                  <c:v>332.26233823070532</c:v>
                </c:pt>
                <c:pt idx="98">
                  <c:v>332.26233823070532</c:v>
                </c:pt>
                <c:pt idx="99">
                  <c:v>332.26233823070532</c:v>
                </c:pt>
                <c:pt idx="100">
                  <c:v>332.26233823070532</c:v>
                </c:pt>
                <c:pt idx="101">
                  <c:v>332.26233823070532</c:v>
                </c:pt>
                <c:pt idx="102">
                  <c:v>332.26233823070532</c:v>
                </c:pt>
                <c:pt idx="103">
                  <c:v>332.26233823070532</c:v>
                </c:pt>
                <c:pt idx="104">
                  <c:v>332.26233823070532</c:v>
                </c:pt>
                <c:pt idx="105">
                  <c:v>332.26233823070532</c:v>
                </c:pt>
                <c:pt idx="106">
                  <c:v>332.26233823070532</c:v>
                </c:pt>
                <c:pt idx="107">
                  <c:v>332.26233823070532</c:v>
                </c:pt>
                <c:pt idx="108">
                  <c:v>332.26233823070532</c:v>
                </c:pt>
                <c:pt idx="109">
                  <c:v>332.26233823070532</c:v>
                </c:pt>
                <c:pt idx="110">
                  <c:v>332.26233823070532</c:v>
                </c:pt>
                <c:pt idx="111">
                  <c:v>332.26233823070532</c:v>
                </c:pt>
                <c:pt idx="112">
                  <c:v>332.26233823070532</c:v>
                </c:pt>
                <c:pt idx="113">
                  <c:v>332.26233823070532</c:v>
                </c:pt>
                <c:pt idx="114">
                  <c:v>332.26233823070532</c:v>
                </c:pt>
                <c:pt idx="115">
                  <c:v>332.26233823070532</c:v>
                </c:pt>
                <c:pt idx="116">
                  <c:v>332.26233823070532</c:v>
                </c:pt>
                <c:pt idx="117">
                  <c:v>332.26233823070532</c:v>
                </c:pt>
                <c:pt idx="118">
                  <c:v>332.26233823070532</c:v>
                </c:pt>
                <c:pt idx="119">
                  <c:v>332.26233823070532</c:v>
                </c:pt>
                <c:pt idx="120">
                  <c:v>332.26233823070532</c:v>
                </c:pt>
                <c:pt idx="121">
                  <c:v>332.26233823070532</c:v>
                </c:pt>
                <c:pt idx="122">
                  <c:v>332.26233823070532</c:v>
                </c:pt>
                <c:pt idx="123">
                  <c:v>332.26233823070532</c:v>
                </c:pt>
                <c:pt idx="124">
                  <c:v>332.26233823070532</c:v>
                </c:pt>
                <c:pt idx="125">
                  <c:v>332.26233823070532</c:v>
                </c:pt>
                <c:pt idx="126">
                  <c:v>332.26233823070532</c:v>
                </c:pt>
                <c:pt idx="127">
                  <c:v>332.26233823070532</c:v>
                </c:pt>
                <c:pt idx="128">
                  <c:v>332.26233823070532</c:v>
                </c:pt>
                <c:pt idx="129">
                  <c:v>332.26233823070532</c:v>
                </c:pt>
                <c:pt idx="130">
                  <c:v>332.26233823070532</c:v>
                </c:pt>
                <c:pt idx="131">
                  <c:v>332.26233823070532</c:v>
                </c:pt>
                <c:pt idx="132">
                  <c:v>332.26233823070532</c:v>
                </c:pt>
                <c:pt idx="133">
                  <c:v>332.26233823070532</c:v>
                </c:pt>
                <c:pt idx="134">
                  <c:v>332.26233823070532</c:v>
                </c:pt>
                <c:pt idx="135">
                  <c:v>332.26233823070532</c:v>
                </c:pt>
                <c:pt idx="136">
                  <c:v>332.26233823070532</c:v>
                </c:pt>
                <c:pt idx="137">
                  <c:v>332.26233823070532</c:v>
                </c:pt>
                <c:pt idx="138">
                  <c:v>332.26233823070532</c:v>
                </c:pt>
                <c:pt idx="139">
                  <c:v>332.26233823070532</c:v>
                </c:pt>
                <c:pt idx="140">
                  <c:v>332.26233823070532</c:v>
                </c:pt>
                <c:pt idx="141">
                  <c:v>332.26233823070532</c:v>
                </c:pt>
                <c:pt idx="142">
                  <c:v>332.26233823070532</c:v>
                </c:pt>
                <c:pt idx="143">
                  <c:v>332.26233823070532</c:v>
                </c:pt>
                <c:pt idx="144">
                  <c:v>332.26233823070532</c:v>
                </c:pt>
                <c:pt idx="145">
                  <c:v>332.26233823070532</c:v>
                </c:pt>
                <c:pt idx="146">
                  <c:v>332.26233823070532</c:v>
                </c:pt>
                <c:pt idx="147">
                  <c:v>332.26233823070532</c:v>
                </c:pt>
                <c:pt idx="148">
                  <c:v>332.26233823070532</c:v>
                </c:pt>
                <c:pt idx="149">
                  <c:v>332.26233823070532</c:v>
                </c:pt>
                <c:pt idx="150">
                  <c:v>332.26233823070532</c:v>
                </c:pt>
                <c:pt idx="151">
                  <c:v>332.26233823070532</c:v>
                </c:pt>
                <c:pt idx="152">
                  <c:v>332.26233823070532</c:v>
                </c:pt>
                <c:pt idx="153">
                  <c:v>332.26233823070532</c:v>
                </c:pt>
                <c:pt idx="154">
                  <c:v>332.26233823070532</c:v>
                </c:pt>
                <c:pt idx="155">
                  <c:v>332.26233823070532</c:v>
                </c:pt>
                <c:pt idx="156">
                  <c:v>332.26233823070532</c:v>
                </c:pt>
                <c:pt idx="157">
                  <c:v>332.26233823070532</c:v>
                </c:pt>
                <c:pt idx="158">
                  <c:v>332.26233823070532</c:v>
                </c:pt>
                <c:pt idx="159">
                  <c:v>332.26233823070532</c:v>
                </c:pt>
                <c:pt idx="160">
                  <c:v>332.26233823070532</c:v>
                </c:pt>
                <c:pt idx="161">
                  <c:v>332.26233823070532</c:v>
                </c:pt>
                <c:pt idx="162">
                  <c:v>332.26233823070532</c:v>
                </c:pt>
                <c:pt idx="163">
                  <c:v>332.26233823070532</c:v>
                </c:pt>
                <c:pt idx="164">
                  <c:v>332.26233823070532</c:v>
                </c:pt>
                <c:pt idx="165">
                  <c:v>332.26233823070532</c:v>
                </c:pt>
                <c:pt idx="166">
                  <c:v>332.26233823070532</c:v>
                </c:pt>
                <c:pt idx="167">
                  <c:v>332.26233823070532</c:v>
                </c:pt>
                <c:pt idx="168">
                  <c:v>332.26233823070532</c:v>
                </c:pt>
                <c:pt idx="169">
                  <c:v>332.26233823070532</c:v>
                </c:pt>
                <c:pt idx="170">
                  <c:v>332.26233823070532</c:v>
                </c:pt>
                <c:pt idx="171">
                  <c:v>332.26233823070532</c:v>
                </c:pt>
                <c:pt idx="172">
                  <c:v>332.26233823070532</c:v>
                </c:pt>
                <c:pt idx="173">
                  <c:v>332.26233823070532</c:v>
                </c:pt>
                <c:pt idx="174">
                  <c:v>332.26233823070532</c:v>
                </c:pt>
                <c:pt idx="175">
                  <c:v>332.26233823070532</c:v>
                </c:pt>
                <c:pt idx="176">
                  <c:v>332.26233823070532</c:v>
                </c:pt>
                <c:pt idx="177">
                  <c:v>332.26233823070532</c:v>
                </c:pt>
                <c:pt idx="178">
                  <c:v>332.26233823070532</c:v>
                </c:pt>
                <c:pt idx="179">
                  <c:v>332.26233823070532</c:v>
                </c:pt>
                <c:pt idx="180">
                  <c:v>332.26233823070532</c:v>
                </c:pt>
                <c:pt idx="181">
                  <c:v>332.26233823070532</c:v>
                </c:pt>
                <c:pt idx="182">
                  <c:v>332.26233823070532</c:v>
                </c:pt>
                <c:pt idx="183">
                  <c:v>332.26233823070532</c:v>
                </c:pt>
                <c:pt idx="184">
                  <c:v>332.26233823070532</c:v>
                </c:pt>
                <c:pt idx="185">
                  <c:v>332.26233823070532</c:v>
                </c:pt>
                <c:pt idx="186">
                  <c:v>332.26233823070532</c:v>
                </c:pt>
                <c:pt idx="187">
                  <c:v>332.26233823070532</c:v>
                </c:pt>
                <c:pt idx="188">
                  <c:v>332.26233823070532</c:v>
                </c:pt>
                <c:pt idx="189">
                  <c:v>332.26233823070532</c:v>
                </c:pt>
                <c:pt idx="190">
                  <c:v>332.26233823070532</c:v>
                </c:pt>
                <c:pt idx="191">
                  <c:v>332.26233823070532</c:v>
                </c:pt>
                <c:pt idx="192">
                  <c:v>332.26233823070532</c:v>
                </c:pt>
                <c:pt idx="193">
                  <c:v>332.26233823070532</c:v>
                </c:pt>
                <c:pt idx="194">
                  <c:v>332.26233823070532</c:v>
                </c:pt>
                <c:pt idx="195">
                  <c:v>332.26233823070532</c:v>
                </c:pt>
                <c:pt idx="196">
                  <c:v>332.26233823070532</c:v>
                </c:pt>
                <c:pt idx="197">
                  <c:v>332.26233823070532</c:v>
                </c:pt>
                <c:pt idx="198">
                  <c:v>332.26233823070532</c:v>
                </c:pt>
                <c:pt idx="199">
                  <c:v>332.26233823070532</c:v>
                </c:pt>
                <c:pt idx="200">
                  <c:v>332.26233823070532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32704"/>
        <c:axId val="-461141408"/>
      </c:scatterChart>
      <c:valAx>
        <c:axId val="-461132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1408"/>
        <c:crosses val="autoZero"/>
        <c:crossBetween val="midCat"/>
      </c:valAx>
      <c:valAx>
        <c:axId val="-46114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2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3.9807897041582088</c:v>
                </c:pt>
                <c:pt idx="2">
                  <c:v>7.7740285066517094</c:v>
                </c:pt>
                <c:pt idx="3">
                  <c:v>11.506697782373843</c:v>
                </c:pt>
                <c:pt idx="4">
                  <c:v>15.202030592496671</c:v>
                </c:pt>
                <c:pt idx="5">
                  <c:v>18.870556921973499</c:v>
                </c:pt>
                <c:pt idx="6">
                  <c:v>22.518283513860812</c:v>
                </c:pt>
                <c:pt idx="7">
                  <c:v>26.149082683153058</c:v>
                </c:pt>
                <c:pt idx="8">
                  <c:v>29.765651650122749</c:v>
                </c:pt>
                <c:pt idx="9">
                  <c:v>33.369972905981577</c:v>
                </c:pt>
                <c:pt idx="10">
                  <c:v>36.963562543204141</c:v>
                </c:pt>
                <c:pt idx="11">
                  <c:v>40.54761588932616</c:v>
                </c:pt>
                <c:pt idx="12">
                  <c:v>44.123098474139596</c:v>
                </c:pt>
                <c:pt idx="13">
                  <c:v>47.69080572937397</c:v>
                </c:pt>
                <c:pt idx="14">
                  <c:v>51.251403761009549</c:v>
                </c:pt>
                <c:pt idx="15">
                  <c:v>54.805458124928499</c:v>
                </c:pt>
                <c:pt idx="16">
                  <c:v>58.353454703414485</c:v>
                </c:pt>
                <c:pt idx="17">
                  <c:v>61.895815210696178</c:v>
                </c:pt>
                <c:pt idx="18">
                  <c:v>65.43290894486438</c:v>
                </c:pt>
                <c:pt idx="19">
                  <c:v>68.965061853381187</c:v>
                </c:pt>
                <c:pt idx="20">
                  <c:v>72.49256363561517</c:v>
                </c:pt>
                <c:pt idx="21">
                  <c:v>76.015673384500886</c:v>
                </c:pt>
                <c:pt idx="22">
                  <c:v>79.534624123149641</c:v>
                </c:pt>
                <c:pt idx="23">
                  <c:v>83.04962649330561</c:v>
                </c:pt>
                <c:pt idx="24">
                  <c:v>86.560871784230756</c:v>
                </c:pt>
                <c:pt idx="25">
                  <c:v>90.068534442551297</c:v>
                </c:pt>
                <c:pt idx="26">
                  <c:v>93.572774169224388</c:v>
                </c:pt>
                <c:pt idx="27">
                  <c:v>97.073737684820742</c:v>
                </c:pt>
                <c:pt idx="28">
                  <c:v>100.57156022593183</c:v>
                </c:pt>
                <c:pt idx="29">
                  <c:v>104.06636682179756</c:v>
                </c:pt>
                <c:pt idx="30">
                  <c:v>107.55827338990014</c:v>
                </c:pt>
                <c:pt idx="31">
                  <c:v>111.04738768137524</c:v>
                </c:pt>
                <c:pt idx="32">
                  <c:v>114.53381010100793</c:v>
                </c:pt>
                <c:pt idx="33">
                  <c:v>118.01763442184961</c:v>
                </c:pt>
                <c:pt idx="34">
                  <c:v>121.49894841078088</c:v>
                </c:pt>
                <c:pt idx="35">
                  <c:v>124.97783437841112</c:v>
                </c:pt>
                <c:pt idx="36">
                  <c:v>128.4543696643654</c:v>
                </c:pt>
                <c:pt idx="37">
                  <c:v>131.9286270671353</c:v>
                </c:pt>
                <c:pt idx="38">
                  <c:v>135.40067522615212</c:v>
                </c:pt>
                <c:pt idx="39">
                  <c:v>138.87057896251071</c:v>
                </c:pt>
                <c:pt idx="40">
                  <c:v>134.67414702517419</c:v>
                </c:pt>
                <c:pt idx="41">
                  <c:v>156.6726191493473</c:v>
                </c:pt>
                <c:pt idx="42">
                  <c:v>178.59767277069156</c:v>
                </c:pt>
                <c:pt idx="43">
                  <c:v>200.45959776376489</c:v>
                </c:pt>
                <c:pt idx="44">
                  <c:v>222.26625023151846</c:v>
                </c:pt>
                <c:pt idx="45">
                  <c:v>244.02381613322621</c:v>
                </c:pt>
                <c:pt idx="46">
                  <c:v>265.73728700531768</c:v>
                </c:pt>
                <c:pt idx="47">
                  <c:v>241.06629543914914</c:v>
                </c:pt>
                <c:pt idx="48">
                  <c:v>268.09817830649803</c:v>
                </c:pt>
                <c:pt idx="49">
                  <c:v>295.06867105340359</c:v>
                </c:pt>
                <c:pt idx="50">
                  <c:v>321.98417057349968</c:v>
                </c:pt>
                <c:pt idx="51">
                  <c:v>348.84991668704964</c:v>
                </c:pt>
                <c:pt idx="52">
                  <c:v>375.67027633413562</c:v>
                </c:pt>
                <c:pt idx="53">
                  <c:v>402.44894223228738</c:v>
                </c:pt>
                <c:pt idx="54">
                  <c:v>353.10306168957328</c:v>
                </c:pt>
                <c:pt idx="55">
                  <c:v>380.64860016620952</c:v>
                </c:pt>
                <c:pt idx="56">
                  <c:v>408.1507914990288</c:v>
                </c:pt>
                <c:pt idx="57">
                  <c:v>435.61296399946349</c:v>
                </c:pt>
                <c:pt idx="58">
                  <c:v>463.03799239195388</c:v>
                </c:pt>
                <c:pt idx="59">
                  <c:v>490.42838337968595</c:v>
                </c:pt>
                <c:pt idx="60">
                  <c:v>517.78634109619838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37056"/>
        <c:axId val="-461136512"/>
      </c:scatterChart>
      <c:valAx>
        <c:axId val="-461137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6512"/>
        <c:crosses val="autoZero"/>
        <c:crossBetween val="midCat"/>
      </c:valAx>
      <c:valAx>
        <c:axId val="-46113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44672"/>
        <c:axId val="-461138688"/>
      </c:scatterChart>
      <c:valAx>
        <c:axId val="-461144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8688"/>
        <c:crosses val="autoZero"/>
        <c:crossBetween val="midCat"/>
      </c:valAx>
      <c:valAx>
        <c:axId val="-46113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42496"/>
        <c:axId val="-461132160"/>
      </c:scatterChart>
      <c:valAx>
        <c:axId val="-461142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2160"/>
        <c:crosses val="autoZero"/>
        <c:crossBetween val="midCat"/>
      </c:valAx>
      <c:valAx>
        <c:axId val="-46113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2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61135968"/>
        <c:axId val="-461140864"/>
      </c:scatterChart>
      <c:valAx>
        <c:axId val="-461135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40864"/>
        <c:crosses val="autoZero"/>
        <c:crossBetween val="midCat"/>
      </c:valAx>
      <c:valAx>
        <c:axId val="-4611408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6113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E66" sqref="E66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16.05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0.33200000000000002</v>
      </c>
      <c r="D9" s="36">
        <f t="shared" ref="D9:D18" si="0">C9*$C$5</f>
        <v>5.3286000000000007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0.224</v>
      </c>
      <c r="D10" s="36">
        <f t="shared" si="0"/>
        <v>3.5952000000000002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0.14399999999999999</v>
      </c>
      <c r="D11" s="36">
        <f t="shared" si="0"/>
        <v>2.3111999999999999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27</v>
      </c>
      <c r="C12" s="35">
        <v>0.13</v>
      </c>
      <c r="D12" s="36">
        <f t="shared" si="0"/>
        <v>2.0865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81</v>
      </c>
      <c r="C13" s="35">
        <v>1.4E-2</v>
      </c>
      <c r="D13" s="36">
        <f t="shared" si="0"/>
        <v>0.22470000000000001</v>
      </c>
      <c r="E13" s="37">
        <v>42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45</v>
      </c>
      <c r="C14" s="35">
        <v>0.1</v>
      </c>
      <c r="D14" s="36">
        <f t="shared" si="0"/>
        <v>1.6050000000000002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23</v>
      </c>
      <c r="C15" s="35">
        <v>5.6000000000000001E-2</v>
      </c>
      <c r="D15" s="36">
        <f t="shared" si="0"/>
        <v>0.89880000000000004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16.05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19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281+54</f>
        <v>335</v>
      </c>
      <c r="C37" s="63">
        <v>2</v>
      </c>
      <c r="D37" s="63">
        <v>54</v>
      </c>
      <c r="E37" s="54"/>
      <c r="F37" s="54">
        <v>0.1</v>
      </c>
      <c r="G37" s="54">
        <v>0.9</v>
      </c>
      <c r="H37" s="54"/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367+54</f>
        <v>421</v>
      </c>
      <c r="C38" s="63">
        <v>3</v>
      </c>
      <c r="D38" s="63">
        <v>54</v>
      </c>
      <c r="E38" s="54">
        <v>0.1</v>
      </c>
      <c r="F38" s="54">
        <v>0.4</v>
      </c>
      <c r="G38" s="54">
        <v>0.5</v>
      </c>
      <c r="H38" s="54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436+69</f>
        <v>505</v>
      </c>
      <c r="C39" s="63">
        <v>4</v>
      </c>
      <c r="D39" s="63">
        <v>69</v>
      </c>
      <c r="E39" s="54"/>
      <c r="F39" s="54"/>
      <c r="G39" s="54"/>
      <c r="H39" s="54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492+72</f>
        <v>564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540+66</f>
        <v>606</v>
      </c>
      <c r="C41" s="63">
        <v>6</v>
      </c>
      <c r="D41" s="63">
        <v>66</v>
      </c>
      <c r="E41" s="54"/>
      <c r="F41" s="54"/>
      <c r="G41" s="54"/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581+48</f>
        <v>629</v>
      </c>
      <c r="C42" s="63">
        <v>7</v>
      </c>
      <c r="D42" s="63">
        <v>48</v>
      </c>
      <c r="E42" s="54"/>
      <c r="F42" s="54"/>
      <c r="G42" s="54"/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f>615+35</f>
        <v>650</v>
      </c>
      <c r="C43" s="63">
        <v>8</v>
      </c>
      <c r="D43" s="63">
        <v>35</v>
      </c>
      <c r="E43" s="54"/>
      <c r="F43" s="54"/>
      <c r="G43" s="54"/>
      <c r="H43" s="54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f>637+29</f>
        <v>666</v>
      </c>
      <c r="C44" s="63"/>
      <c r="D44" s="63">
        <v>666</v>
      </c>
      <c r="E44" s="54"/>
      <c r="F44" s="54"/>
      <c r="G44" s="54"/>
      <c r="H44" s="54"/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f>42</f>
        <v>42</v>
      </c>
      <c r="C62" s="63">
        <v>1</v>
      </c>
      <c r="D62" s="63">
        <v>0</v>
      </c>
      <c r="E62" s="54"/>
      <c r="F62" s="54"/>
      <c r="G62" s="54"/>
      <c r="H62" s="54">
        <v>1</v>
      </c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76+21</f>
        <v>97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</f>
        <v>137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</f>
        <v>178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f>176+21</f>
        <v>197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f>193+21</f>
        <v>214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f>208+21</f>
        <v>229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f>221+21</f>
        <v>242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f>231+21</f>
        <v>252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f>240+21</f>
        <v>261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f>248+21</f>
        <v>269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f>254+21</f>
        <v>275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f>258+21</f>
        <v>279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f>261+21</f>
        <v>282</v>
      </c>
      <c r="C78" s="53">
        <v>17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f>264+20</f>
        <v>284</v>
      </c>
      <c r="C79" s="53">
        <v>18</v>
      </c>
      <c r="D79" s="53">
        <v>20</v>
      </c>
      <c r="E79" s="54"/>
      <c r="F79" s="54"/>
      <c r="G79" s="54"/>
      <c r="H79" s="54"/>
      <c r="I79" s="52">
        <f t="shared" si="2"/>
        <v>4.5999999999999996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f>266+19</f>
        <v>285</v>
      </c>
      <c r="C80" s="53">
        <v>19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115</v>
      </c>
      <c r="B81" s="53">
        <f>267+18</f>
        <v>285</v>
      </c>
      <c r="C81" s="53"/>
      <c r="D81" s="53">
        <v>285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104</v>
      </c>
      <c r="C88" s="63">
        <v>1</v>
      </c>
      <c r="D88" s="63">
        <v>20</v>
      </c>
      <c r="E88" s="54"/>
      <c r="F88" s="54">
        <v>0.1</v>
      </c>
      <c r="G88" s="54">
        <v>0.9</v>
      </c>
      <c r="H88" s="93"/>
      <c r="I88" s="56">
        <f>IFERROR(B88/A88,"")</f>
        <v>5.7777777777777777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27</v>
      </c>
      <c r="B89" s="63">
        <v>141</v>
      </c>
      <c r="C89" s="63">
        <v>2</v>
      </c>
      <c r="D89" s="63">
        <v>30</v>
      </c>
      <c r="E89" s="54">
        <v>0.1</v>
      </c>
      <c r="F89" s="54">
        <v>0.4</v>
      </c>
      <c r="G89" s="54">
        <v>0.5</v>
      </c>
      <c r="H89" s="93"/>
      <c r="I89" s="56">
        <f t="shared" ref="I89:I107" si="3">IF(A89&lt;&gt;0,(B89-(B88-D88))/(A89-A88),"")</f>
        <v>6.333333333333333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36</v>
      </c>
      <c r="B90" s="63">
        <v>173</v>
      </c>
      <c r="C90" s="63">
        <v>3</v>
      </c>
      <c r="D90" s="63">
        <v>40</v>
      </c>
      <c r="E90" s="93"/>
      <c r="F90" s="93"/>
      <c r="G90" s="93"/>
      <c r="H90" s="93"/>
      <c r="I90" s="56">
        <f t="shared" si="3"/>
        <v>6.8888888888888893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45</v>
      </c>
      <c r="B91" s="63">
        <v>196</v>
      </c>
      <c r="C91" s="63">
        <v>4</v>
      </c>
      <c r="D91" s="63">
        <v>40</v>
      </c>
      <c r="E91" s="93"/>
      <c r="F91" s="93"/>
      <c r="G91" s="93"/>
      <c r="H91" s="93"/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54</v>
      </c>
      <c r="B92" s="63">
        <v>223</v>
      </c>
      <c r="C92" s="63">
        <v>5</v>
      </c>
      <c r="D92" s="63">
        <v>50</v>
      </c>
      <c r="E92" s="93"/>
      <c r="F92" s="93"/>
      <c r="G92" s="93"/>
      <c r="H92" s="93"/>
      <c r="I92" s="56">
        <f t="shared" si="3"/>
        <v>7.4444444444444446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60</v>
      </c>
      <c r="B93" s="63">
        <v>221</v>
      </c>
      <c r="C93" s="63"/>
      <c r="D93" s="63">
        <v>221</v>
      </c>
      <c r="E93" s="93"/>
      <c r="F93" s="93"/>
      <c r="G93" s="93"/>
      <c r="H93" s="93"/>
      <c r="I93" s="56">
        <f t="shared" si="3"/>
        <v>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Mélèze d'Europe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18</v>
      </c>
      <c r="B114" s="63">
        <v>112</v>
      </c>
      <c r="C114" s="53">
        <v>1</v>
      </c>
      <c r="D114" s="63">
        <v>20</v>
      </c>
      <c r="E114" s="54"/>
      <c r="F114" s="54">
        <v>0.1</v>
      </c>
      <c r="G114" s="54">
        <v>0.9</v>
      </c>
      <c r="H114" s="54"/>
      <c r="I114" s="56">
        <f>IFERROR(B114/A114,"")</f>
        <v>6.2222222222222223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21</v>
      </c>
      <c r="B115" s="63">
        <v>146</v>
      </c>
      <c r="C115" s="53">
        <v>2</v>
      </c>
      <c r="D115" s="63">
        <v>26</v>
      </c>
      <c r="E115" s="54">
        <v>0.1</v>
      </c>
      <c r="F115" s="54">
        <v>0.4</v>
      </c>
      <c r="G115" s="54">
        <v>0.5</v>
      </c>
      <c r="H115" s="54"/>
      <c r="I115" s="56">
        <f t="shared" ref="I115:I133" si="4">IF(A115&lt;&gt;0,(B115-(B114-D114))/(A115-A114),"")</f>
        <v>18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24</v>
      </c>
      <c r="B116" s="63">
        <v>168</v>
      </c>
      <c r="C116" s="53">
        <v>3</v>
      </c>
      <c r="D116" s="63">
        <v>29</v>
      </c>
      <c r="E116" s="54">
        <v>0.1</v>
      </c>
      <c r="F116" s="54">
        <v>0.4</v>
      </c>
      <c r="G116" s="54">
        <v>0.5</v>
      </c>
      <c r="H116" s="54"/>
      <c r="I116" s="56">
        <f t="shared" si="4"/>
        <v>16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3">
        <v>224</v>
      </c>
      <c r="C117" s="53">
        <v>4</v>
      </c>
      <c r="D117" s="63">
        <v>53</v>
      </c>
      <c r="E117" s="54">
        <v>0.1</v>
      </c>
      <c r="F117" s="54">
        <v>0.4</v>
      </c>
      <c r="G117" s="54">
        <v>0.5</v>
      </c>
      <c r="H117" s="54"/>
      <c r="I117" s="56">
        <f t="shared" si="4"/>
        <v>14.166666666666666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36</v>
      </c>
      <c r="B118" s="63">
        <v>248</v>
      </c>
      <c r="C118" s="53">
        <v>5</v>
      </c>
      <c r="D118" s="63">
        <v>62</v>
      </c>
      <c r="E118" s="54"/>
      <c r="F118" s="54"/>
      <c r="G118" s="54"/>
      <c r="H118" s="54"/>
      <c r="I118" s="56">
        <f t="shared" si="4"/>
        <v>12.833333333333334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42</v>
      </c>
      <c r="B119" s="63">
        <v>255</v>
      </c>
      <c r="C119" s="53">
        <v>6</v>
      </c>
      <c r="D119" s="63">
        <v>67</v>
      </c>
      <c r="E119" s="54"/>
      <c r="F119" s="54"/>
      <c r="G119" s="54"/>
      <c r="H119" s="54"/>
      <c r="I119" s="56">
        <f t="shared" si="4"/>
        <v>11.5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48</v>
      </c>
      <c r="B120" s="63">
        <v>252</v>
      </c>
      <c r="C120" s="63">
        <v>7</v>
      </c>
      <c r="D120" s="63">
        <v>65</v>
      </c>
      <c r="E120" s="93"/>
      <c r="F120" s="93"/>
      <c r="G120" s="93"/>
      <c r="H120" s="93"/>
      <c r="I120" s="56">
        <f t="shared" si="4"/>
        <v>10.666666666666666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60</v>
      </c>
      <c r="B121" s="63">
        <v>304</v>
      </c>
      <c r="C121" s="63"/>
      <c r="D121" s="63"/>
      <c r="E121" s="93"/>
      <c r="F121" s="93"/>
      <c r="G121" s="93"/>
      <c r="H121" s="93"/>
      <c r="I121" s="56">
        <f t="shared" si="4"/>
        <v>9.75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Mélèze hybride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12</v>
      </c>
      <c r="B140" s="63">
        <v>116</v>
      </c>
      <c r="C140" s="53">
        <v>1</v>
      </c>
      <c r="D140" s="63">
        <v>21</v>
      </c>
      <c r="E140" s="54"/>
      <c r="F140" s="54">
        <v>0.1</v>
      </c>
      <c r="G140" s="54">
        <v>0.9</v>
      </c>
      <c r="H140" s="54"/>
      <c r="I140" s="60">
        <f>IFERROR(B140/A140,"")</f>
        <v>9.6666666666666661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v>168</v>
      </c>
      <c r="C141" s="53">
        <v>2</v>
      </c>
      <c r="D141" s="63">
        <v>47</v>
      </c>
      <c r="E141" s="54"/>
      <c r="F141" s="54">
        <v>0.1</v>
      </c>
      <c r="G141" s="54">
        <v>0.9</v>
      </c>
      <c r="H141" s="54"/>
      <c r="I141" s="60">
        <f t="shared" ref="I141:I159" si="5">IF(A141&lt;&gt;0,(B141-(B140-D140))/(A141-A140),"")</f>
        <v>24.333333333333332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18</v>
      </c>
      <c r="B142" s="63">
        <v>185</v>
      </c>
      <c r="C142" s="53">
        <v>3</v>
      </c>
      <c r="D142" s="63">
        <v>61</v>
      </c>
      <c r="E142" s="54"/>
      <c r="F142" s="54">
        <v>0.1</v>
      </c>
      <c r="G142" s="54">
        <v>0.9</v>
      </c>
      <c r="H142" s="54"/>
      <c r="I142" s="60">
        <f t="shared" si="5"/>
        <v>21.333333333333332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24</v>
      </c>
      <c r="B143" s="63">
        <v>239</v>
      </c>
      <c r="C143" s="53">
        <v>4</v>
      </c>
      <c r="D143" s="63">
        <v>84</v>
      </c>
      <c r="E143" s="54">
        <v>0.1</v>
      </c>
      <c r="F143" s="54">
        <v>0.4</v>
      </c>
      <c r="G143" s="54">
        <v>0.5</v>
      </c>
      <c r="H143" s="54"/>
      <c r="I143" s="60">
        <f t="shared" si="5"/>
        <v>19.166666666666668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v>255</v>
      </c>
      <c r="C144" s="53">
        <v>5</v>
      </c>
      <c r="D144" s="63">
        <v>76</v>
      </c>
      <c r="E144" s="54">
        <v>0.1</v>
      </c>
      <c r="F144" s="54">
        <v>0.4</v>
      </c>
      <c r="G144" s="54">
        <v>0.5</v>
      </c>
      <c r="H144" s="54"/>
      <c r="I144" s="60">
        <f t="shared" si="5"/>
        <v>16.666666666666668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36</v>
      </c>
      <c r="B145" s="63">
        <v>269</v>
      </c>
      <c r="C145" s="53">
        <v>6</v>
      </c>
      <c r="D145" s="63">
        <v>75</v>
      </c>
      <c r="E145" s="54"/>
      <c r="F145" s="54"/>
      <c r="G145" s="54"/>
      <c r="H145" s="54"/>
      <c r="I145" s="60">
        <f t="shared" si="5"/>
        <v>15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42</v>
      </c>
      <c r="B146" s="63">
        <v>278</v>
      </c>
      <c r="C146" s="53"/>
      <c r="D146" s="63"/>
      <c r="E146" s="54"/>
      <c r="F146" s="54"/>
      <c r="G146" s="54"/>
      <c r="H146" s="54"/>
      <c r="I146" s="60">
        <f t="shared" si="5"/>
        <v>14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Sapin de Nordmann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39</v>
      </c>
      <c r="B166" s="63">
        <v>129</v>
      </c>
      <c r="C166" s="63">
        <v>1</v>
      </c>
      <c r="D166" s="63">
        <v>25</v>
      </c>
      <c r="E166" s="54"/>
      <c r="F166" s="54"/>
      <c r="G166" s="54"/>
      <c r="H166" s="54"/>
      <c r="I166" s="52">
        <f>IFERROR(B166/A166,"")</f>
        <v>3.3076923076923075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46</v>
      </c>
      <c r="B167" s="63">
        <v>251</v>
      </c>
      <c r="C167" s="63">
        <v>2</v>
      </c>
      <c r="D167" s="63">
        <v>50</v>
      </c>
      <c r="E167" s="54"/>
      <c r="F167" s="54"/>
      <c r="G167" s="54"/>
      <c r="H167" s="54"/>
      <c r="I167" s="52">
        <f t="shared" ref="I167:I185" si="6">IF(A167&lt;&gt;0,(B167-(B166-D166))/(A167-A166),"")</f>
        <v>21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53</v>
      </c>
      <c r="B168" s="63">
        <v>384</v>
      </c>
      <c r="C168" s="63">
        <v>3</v>
      </c>
      <c r="D168" s="63">
        <v>75</v>
      </c>
      <c r="E168" s="54"/>
      <c r="F168" s="54"/>
      <c r="G168" s="54"/>
      <c r="H168" s="54"/>
      <c r="I168" s="52">
        <f t="shared" si="6"/>
        <v>26.142857142857142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60</v>
      </c>
      <c r="B169" s="63">
        <v>497</v>
      </c>
      <c r="C169" s="63"/>
      <c r="D169" s="63">
        <v>497</v>
      </c>
      <c r="E169" s="54"/>
      <c r="F169" s="54"/>
      <c r="G169" s="54"/>
      <c r="H169" s="54"/>
      <c r="I169" s="52">
        <f t="shared" si="6"/>
        <v>26.857142857142858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Erable sycomore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H13" sqref="H13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Cèdre de l'Atlas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Mélèze d'Europe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Mélèze hybride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Sapin de Nordmann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Erable sycomore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382.55387448074327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269.64423257646359</v>
      </c>
      <c r="AO3" s="62">
        <f>IF('Données projet'!E10&gt;30,$AM$33-$H$33,LOOKUP('Données projet'!$E$10,$A$3:$A$203,AM3:AM203)-LOOKUP('Données projet'!$E$10,$A$3:$A$203,$H$3:$H$203))</f>
        <v>161.0819079811821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90.797383835887558</v>
      </c>
      <c r="BJ3" s="62">
        <f>IF('Données projet'!E11&gt;30,$BH$33-$H$33,LOOKUP('Données projet'!$E$11,$A$3:$A$203,BH3:BH203)-LOOKUP('Données projet'!$E$11,$A$3:$A$203,$H$3:$H$203))</f>
        <v>104.31413437636684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179.44051550872138</v>
      </c>
      <c r="CE3" s="62">
        <f>IF('Données projet'!E12&gt;30,$CC$33-$H$33,LOOKUP('Données projet'!$E$12,$A$3:$A$203,CC3:CC203)-LOOKUP('Données projet'!$E$12,$A$3:$A$203,$H$3:$H$203))</f>
        <v>272.9500808380069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159.92263609041913</v>
      </c>
      <c r="CZ3" s="62">
        <f>IF('Données projet'!E13&gt;30,$CX$33-$H$33,LOOKUP('Données projet'!$E$13,$A$3:$A$203,CX3:CX203)-LOOKUP('Données projet'!$E$13,$A$3:$A$203,$H$3:$H$203))</f>
        <v>271.78119133009307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122.60806128440754</v>
      </c>
      <c r="DU3" s="62">
        <f>IF('Données projet'!E14&gt;30,$DS$33-$H$33,LOOKUP('Données projet'!$E$14,$A$3:$A$203,DS3:DS203)-LOOKUP('Données projet'!$E$14,$A$3:$A$203,$H$3:$H$203))</f>
        <v>73.937252053142004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0</v>
      </c>
      <c r="EP3" s="62">
        <f>IF('Données projet'!E15&gt;30,$EN$33-$H$33,LOOKUP('Données projet'!$E$15,$A$3:$A$203,EN3:EN203)-LOOKUP('Données projet'!$E$15,$A$3:$A$203,$H$3:$H$203))</f>
        <v>0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382.55387448074327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296.09965856715894</v>
      </c>
      <c r="AN4" s="62">
        <f ca="1">AVERAGE(OFFSET($AM$3,0,0,'Données projet'!$E$10+1,1))-AVERAGE(OFFSET($H$3,0,0,'Données projet'!$E$10+1,1))</f>
        <v>269.64423257646359</v>
      </c>
      <c r="AO4" s="62">
        <f>$AO$3</f>
        <v>161.0819079811821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5.7777777777777777</v>
      </c>
      <c r="BD4" s="13">
        <f>IF('Données projet'!$A$88&gt;35,BD3+BC4-BL3,IF(A4&lt;'Données projet'!$A$88,$BA$205^A4,IF(A4='Données projet'!$A$88,'Données projet'!$B$88,BD3+BC4-BL3)))</f>
        <v>1.2943669275923884</v>
      </c>
      <c r="BE4" s="14">
        <f>BD4*VLOOKUP('Données projet'!$B$11,Paramètres!$A$1:$I$89,3,0)*VLOOKUP('Données projet'!$B$11,Paramètres!$A$1:$I$89,5,0)</f>
        <v>0.6057637221132377</v>
      </c>
      <c r="BF4" s="14">
        <f>EXP(-1.0587+0.8836*LN(BE4)+0.284)</f>
        <v>0.29593424653145856</v>
      </c>
      <c r="BG4" s="22">
        <f t="shared" ref="BG4:BG67" si="7">(BE4+BF4)*0.475*44/12</f>
        <v>1.5704572953895124</v>
      </c>
      <c r="BH4" s="62">
        <f t="shared" ref="BH4:BH67" si="8">BG4+(AY4+AZ4)*44/12</f>
        <v>294.90379062872285</v>
      </c>
      <c r="BI4" s="62">
        <f ca="1">AVERAGE(OFFSET($BH$3,0,0,'Données projet'!$E$11+1,1))-AVERAGE(OFFSET($H$3,0,0,'Données projet'!$E$11+1,1))</f>
        <v>90.797383835887558</v>
      </c>
      <c r="BJ4" s="62">
        <f>$BJ$3</f>
        <v>104.31413437636684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6.2222222222222223</v>
      </c>
      <c r="BY4" s="13">
        <f>IF('Données projet'!$A$114&gt;35,BY3+BX4-CG3,IF(A4&lt;'Données projet'!$A$114,$BV$205^A4,IF(A4='Données projet'!$A$114,'Données projet'!$B$114,BY3+BX4-CG3)))</f>
        <v>1.2997069632623315</v>
      </c>
      <c r="BZ4" s="14">
        <f>BY4*VLOOKUP('Données projet'!$B$12,Paramètres!$A$1:$I$89,3,0)*VLOOKUP('Données projet'!$B$12,Paramètres!$A$1:$I$89,5,0)</f>
        <v>0.81101714507569489</v>
      </c>
      <c r="CA4" s="14">
        <f>EXP(-1.0587+0.8836*LN(BZ4)+0.284)</f>
        <v>0.38297551084354686</v>
      </c>
      <c r="CB4" s="22">
        <f t="shared" ref="CB4:CB67" si="10">(BZ4+CA4)*0.475*44/12</f>
        <v>2.0795372090593456</v>
      </c>
      <c r="CC4" s="62">
        <f t="shared" ref="CC4:CC67" si="11">CB4+(BT4+BU4)*44/12</f>
        <v>295.41287054239268</v>
      </c>
      <c r="CD4" s="62">
        <f ca="1">AVERAGE(OFFSET($CC$3,0,0,'Données projet'!$E$12+1,1))-AVERAGE(OFFSET($H$3,0,0,'Données projet'!$E$12+1,1))</f>
        <v>179.44051550872138</v>
      </c>
      <c r="CE4" s="62">
        <f>$CE$3</f>
        <v>272.9500808380069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9.6666666666666661</v>
      </c>
      <c r="CT4" s="13">
        <f>IF('Données projet'!$A$140&gt;35,CT3+CS4-DB3,IF(A4&lt;'Données projet'!$A$140,$CQ$205^A4,IF(A4='Données projet'!$A$140,'Données projet'!$B$140,CT3+CS4-DB3)))</f>
        <v>1.4860662319460807</v>
      </c>
      <c r="CU4" s="18">
        <f>CT4*VLOOKUP('Données projet'!$B$13,Paramètres!$A$1:$I$89,3,0)*VLOOKUP('Données projet'!$B$13,Paramètres!$A$1:$I$89,5,0)</f>
        <v>0.81139216264255998</v>
      </c>
      <c r="CV4" s="14">
        <f>EXP(-1.0587+0.8836*LN(CU4)+0.284)</f>
        <v>0.38313198283208655</v>
      </c>
      <c r="CW4" s="22">
        <f t="shared" ref="CW4:CW67" si="13">(CU4+CV4)*0.475*44/12</f>
        <v>2.0804628867016759</v>
      </c>
      <c r="CX4" s="62">
        <f t="shared" ref="CX4:CX67" si="14">CW4+(CO4+CP4)*44/12</f>
        <v>295.41379622003501</v>
      </c>
      <c r="CY4" s="62">
        <f ca="1">AVERAGE(OFFSET($CX$3,0,0,'Données projet'!$E$13+1,1))-AVERAGE(OFFSET($H$3,0,0,'Données projet'!$E$13+1,1))</f>
        <v>159.92263609041913</v>
      </c>
      <c r="CZ4" s="62">
        <f>$CZ$3</f>
        <v>271.78119133009307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3.3076923076923075</v>
      </c>
      <c r="DO4" s="13">
        <f>IF('Données projet'!$A$166&gt;35,DO3+DN4-DW3,IF(A4&lt;'Données projet'!$A$166,$DL$205^A4,IF(A4='Données projet'!$A$166,'Données projet'!$B$166,DO3+DN4-DW3)))</f>
        <v>3.3076923076923075</v>
      </c>
      <c r="DP4" s="18">
        <f>DO4*VLOOKUP('Données projet'!$B$14,Paramètres!$A$1:$I$89,3,0)*VLOOKUP('Données projet'!$B$14,Paramètres!$A$1:$I$89,5,0)</f>
        <v>1.591</v>
      </c>
      <c r="DQ4" s="14">
        <f>EXP(-1.0587+0.8836*LN(DP4)+0.284)</f>
        <v>0.69462088277026401</v>
      </c>
      <c r="DR4" s="22">
        <f t="shared" ref="DR4:DR67" si="16">(DP4+DQ4)*0.475*44/12</f>
        <v>3.9807897041582088</v>
      </c>
      <c r="DS4" s="62">
        <f t="shared" ref="DS4:DS67" si="17">DR4+(DJ4+DK4)*44/12</f>
        <v>297.31412303749153</v>
      </c>
      <c r="DT4" s="62">
        <f ca="1">AVERAGE(OFFSET($DS$3,0,0,'Données projet'!$E$14+1,1))-AVERAGE(OFFSET($H$3,0,0,'Données projet'!$E$14+1,1))</f>
        <v>122.60806128440754</v>
      </c>
      <c r="DU4" s="62">
        <f>$DU$3</f>
        <v>73.937252053142004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>
        <f>EJ4*VLOOKUP('Données projet'!$B$15,Paramètres!$A$1:$I$89,3,0)*VLOOKUP('Données projet'!$B$15,Paramètres!$A$1:$I$89,5,0)</f>
        <v>0</v>
      </c>
      <c r="EL4" s="14" t="e">
        <f>EXP(-1.0587+0.8836*LN(EK4)+0.284)</f>
        <v>#NUM!</v>
      </c>
      <c r="EM4" s="22" t="e">
        <f t="shared" ref="EM4:EM67" si="19">(EK4+EL4)*0.475*44/12</f>
        <v>#NUM!</v>
      </c>
      <c r="EN4" s="62" t="e">
        <f t="shared" ref="EN4:EN67" si="20">EM4+(EE4+EF4)*44/12</f>
        <v>#NUM!</v>
      </c>
      <c r="EO4" s="62">
        <f ca="1">AVERAGE(OFFSET($EN$3,0,0,'Données projet'!$E$15+1,1))-AVERAGE(OFFSET($H$3,0,0,'Données projet'!$E$15+1,1))</f>
        <v>0</v>
      </c>
      <c r="EP4" s="62">
        <f>$EP$3</f>
        <v>0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382.55387448074327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296.64562104315422</v>
      </c>
      <c r="AN5" s="62">
        <f ca="1">AVERAGE(OFFSET($AM$3,0,0,'Données projet'!$E$10+1,1))-AVERAGE(OFFSET($H$3,0,0,'Données projet'!$E$10+1,1))</f>
        <v>269.64423257646359</v>
      </c>
      <c r="AO5" s="62">
        <f t="shared" ref="AO5:AO68" si="36">$AO$3</f>
        <v>161.0819079811821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5.7777777777777777</v>
      </c>
      <c r="BD5" s="13">
        <f>IF('Données projet'!$A$88&gt;35,BD4+BC5-BL4,IF(A5&lt;'Données projet'!$A$88,$BA$205^A5,IF(A5='Données projet'!$A$88,'Données projet'!$B$88,BD4+BC5-BL4)))</f>
        <v>1.675385743244959</v>
      </c>
      <c r="BE5" s="14">
        <f>BD5*VLOOKUP('Données projet'!$B$11,Paramètres!$A$1:$I$89,3,0)*VLOOKUP('Données projet'!$B$11,Paramètres!$A$1:$I$89,5,0)</f>
        <v>0.7840805278386408</v>
      </c>
      <c r="BF5" s="14">
        <f t="shared" ref="BF5:BF68" si="37">EXP(-1.0587+0.8836*LN(BE5)+0.284)</f>
        <v>0.37171419960231428</v>
      </c>
      <c r="BG5" s="22">
        <f t="shared" si="7"/>
        <v>2.0130091502929965</v>
      </c>
      <c r="BH5" s="62">
        <f t="shared" si="8"/>
        <v>295.3463424836263</v>
      </c>
      <c r="BI5" s="62">
        <f ca="1">AVERAGE(OFFSET($BH$3,0,0,'Données projet'!$E$11+1,1))-AVERAGE(OFFSET($H$3,0,0,'Données projet'!$E$11+1,1))</f>
        <v>90.797383835887558</v>
      </c>
      <c r="BJ5" s="62">
        <f t="shared" ref="BJ5:BJ68" si="38">$BJ$3</f>
        <v>104.31413437636684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6.2222222222222223</v>
      </c>
      <c r="BY5" s="13">
        <f>IF('Données projet'!$A$114&gt;35,BY4+BX5-CG4,IF(A5&lt;'Données projet'!$A$114,$BV$205^A5,IF(A5='Données projet'!$A$114,'Données projet'!$B$114,BY4+BX5-CG4)))</f>
        <v>1.6892381903525915</v>
      </c>
      <c r="BZ5" s="14">
        <f>BY5*VLOOKUP('Données projet'!$B$12,Paramètres!$A$1:$I$89,3,0)*VLOOKUP('Données projet'!$B$12,Paramètres!$A$1:$I$89,5,0)</f>
        <v>1.0540846307800171</v>
      </c>
      <c r="CA5" s="14">
        <f t="shared" ref="CA5:CA68" si="39">EXP(-1.0587+0.8836*LN(BZ5)+0.284)</f>
        <v>0.48279730809434274</v>
      </c>
      <c r="CB5" s="22">
        <f t="shared" si="10"/>
        <v>2.6767360435395098</v>
      </c>
      <c r="CC5" s="62">
        <f t="shared" si="11"/>
        <v>296.01006937687282</v>
      </c>
      <c r="CD5" s="62">
        <f ca="1">AVERAGE(OFFSET($CC$3,0,0,'Données projet'!$E$12+1,1))-AVERAGE(OFFSET($H$3,0,0,'Données projet'!$E$12+1,1))</f>
        <v>179.44051550872138</v>
      </c>
      <c r="CE5" s="62">
        <f t="shared" ref="CE5:CE68" si="40">$CE$3</f>
        <v>272.9500808380069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9.6666666666666661</v>
      </c>
      <c r="CT5" s="13">
        <f>IF('Données projet'!$A$140&gt;35,CT4+CS5-DB4,IF(A5&lt;'Données projet'!$A$140,$CQ$205^A5,IF(A5='Données projet'!$A$140,'Données projet'!$B$140,CT4+CS5-DB4)))</f>
        <v>2.2083928457304225</v>
      </c>
      <c r="CU5" s="18">
        <f>CT5*VLOOKUP('Données projet'!$B$13,Paramètres!$A$1:$I$89,3,0)*VLOOKUP('Données projet'!$B$13,Paramètres!$A$1:$I$89,5,0)</f>
        <v>1.2057824937688106</v>
      </c>
      <c r="CV5" s="14">
        <f t="shared" ref="CV5:CV68" si="41">EXP(-1.0587+0.8836*LN(CU5)+0.284)</f>
        <v>0.54370250071771287</v>
      </c>
      <c r="CW5" s="22">
        <f t="shared" si="13"/>
        <v>3.0470196987306952</v>
      </c>
      <c r="CX5" s="62">
        <f t="shared" si="14"/>
        <v>296.38035303206402</v>
      </c>
      <c r="CY5" s="62">
        <f ca="1">AVERAGE(OFFSET($CX$3,0,0,'Données projet'!$E$13+1,1))-AVERAGE(OFFSET($H$3,0,0,'Données projet'!$E$13+1,1))</f>
        <v>159.92263609041913</v>
      </c>
      <c r="CZ5" s="62">
        <f t="shared" ref="CZ5:CZ68" si="42">$CZ$3</f>
        <v>271.78119133009307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3.3076923076923075</v>
      </c>
      <c r="DO5" s="13">
        <f>IF('Données projet'!$A$166&gt;35,DO4+DN5-DW4,IF(A5&lt;'Données projet'!$A$166,$DL$205^A5,IF(A5='Données projet'!$A$166,'Données projet'!$B$166,DO4+DN5-DW4)))</f>
        <v>6.615384615384615</v>
      </c>
      <c r="DP5" s="18">
        <f>DO5*VLOOKUP('Données projet'!$B$14,Paramètres!$A$1:$I$89,3,0)*VLOOKUP('Données projet'!$B$14,Paramètres!$A$1:$I$89,5,0)</f>
        <v>3.1819999999999999</v>
      </c>
      <c r="DQ5" s="14">
        <f t="shared" ref="DQ5:DQ68" si="43">EXP(-1.0587+0.8836*LN(DP5)+0.284)</f>
        <v>1.2815570373119864</v>
      </c>
      <c r="DR5" s="22">
        <f t="shared" si="16"/>
        <v>7.7740285066517094</v>
      </c>
      <c r="DS5" s="62">
        <f t="shared" si="17"/>
        <v>301.107361839985</v>
      </c>
      <c r="DT5" s="62">
        <f ca="1">AVERAGE(OFFSET($DS$3,0,0,'Données projet'!$E$14+1,1))-AVERAGE(OFFSET($H$3,0,0,'Données projet'!$E$14+1,1))</f>
        <v>122.60806128440754</v>
      </c>
      <c r="DU5" s="62">
        <f t="shared" ref="DU5:DU68" si="44">$DU$3</f>
        <v>73.937252053142004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>
        <f>EJ5*VLOOKUP('Données projet'!$B$15,Paramètres!$A$1:$I$89,3,0)*VLOOKUP('Données projet'!$B$15,Paramètres!$A$1:$I$89,5,0)</f>
        <v>0</v>
      </c>
      <c r="EL5" s="14" t="e">
        <f t="shared" ref="EL5:EL68" si="45">EXP(-1.0587+0.8836*LN(EK5)+0.284)</f>
        <v>#NUM!</v>
      </c>
      <c r="EM5" s="22" t="e">
        <f t="shared" si="19"/>
        <v>#NUM!</v>
      </c>
      <c r="EN5" s="62" t="e">
        <f t="shared" si="20"/>
        <v>#NUM!</v>
      </c>
      <c r="EO5" s="62">
        <f ca="1">AVERAGE(OFFSET($EN$3,0,0,'Données projet'!$E$15+1,1))-AVERAGE(OFFSET($H$3,0,0,'Données projet'!$E$15+1,1))</f>
        <v>0</v>
      </c>
      <c r="EP5" s="62">
        <f t="shared" ref="EP5:EP68" si="46">$EP$3</f>
        <v>0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382.55387448074327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297.29973523978072</v>
      </c>
      <c r="AN6" s="62">
        <f ca="1">AVERAGE(OFFSET($AM$3,0,0,'Données projet'!$E$10+1,1))-AVERAGE(OFFSET($H$3,0,0,'Données projet'!$E$10+1,1))</f>
        <v>269.64423257646359</v>
      </c>
      <c r="AO6" s="62">
        <f t="shared" si="36"/>
        <v>161.0819079811821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5.7777777777777777</v>
      </c>
      <c r="BD6" s="13">
        <f>IF('Données projet'!$A$88&gt;35,BD5+BC6-BL5,IF(A6&lt;'Données projet'!$A$88,$BA$205^A6,IF(A6='Données projet'!$A$88,'Données projet'!$B$88,BD5+BC6-BL5)))</f>
        <v>2.1685638970160674</v>
      </c>
      <c r="BE6" s="14">
        <f>BD6*VLOOKUP('Données projet'!$B$11,Paramètres!$A$1:$I$89,3,0)*VLOOKUP('Données projet'!$B$11,Paramètres!$A$1:$I$89,5,0)</f>
        <v>1.0148879038035197</v>
      </c>
      <c r="BF6" s="14">
        <f t="shared" si="37"/>
        <v>0.46689914332473553</v>
      </c>
      <c r="BG6" s="22">
        <f t="shared" si="7"/>
        <v>2.5807791070817112</v>
      </c>
      <c r="BH6" s="62">
        <f t="shared" si="8"/>
        <v>295.91411244041501</v>
      </c>
      <c r="BI6" s="62">
        <f ca="1">AVERAGE(OFFSET($BH$3,0,0,'Données projet'!$E$11+1,1))-AVERAGE(OFFSET($H$3,0,0,'Données projet'!$E$11+1,1))</f>
        <v>90.797383835887558</v>
      </c>
      <c r="BJ6" s="62">
        <f t="shared" si="38"/>
        <v>104.31413437636684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6.2222222222222223</v>
      </c>
      <c r="BY6" s="13">
        <f>IF('Données projet'!$A$114&gt;35,BY5+BX6-CG5,IF(A6&lt;'Données projet'!$A$114,$BV$205^A6,IF(A6='Données projet'!$A$114,'Données projet'!$B$114,BY5+BX6-CG5)))</f>
        <v>2.1955146386099229</v>
      </c>
      <c r="BZ6" s="14">
        <f>BY6*VLOOKUP('Données projet'!$B$12,Paramètres!$A$1:$I$89,3,0)*VLOOKUP('Données projet'!$B$12,Paramètres!$A$1:$I$89,5,0)</f>
        <v>1.3700011344925918</v>
      </c>
      <c r="CA6" s="14">
        <f t="shared" si="39"/>
        <v>0.60863745619068288</v>
      </c>
      <c r="CB6" s="22">
        <f t="shared" si="10"/>
        <v>3.4461288787733699</v>
      </c>
      <c r="CC6" s="62">
        <f t="shared" si="11"/>
        <v>296.77946221210669</v>
      </c>
      <c r="CD6" s="62">
        <f ca="1">AVERAGE(OFFSET($CC$3,0,0,'Données projet'!$E$12+1,1))-AVERAGE(OFFSET($H$3,0,0,'Données projet'!$E$12+1,1))</f>
        <v>179.44051550872138</v>
      </c>
      <c r="CE6" s="62">
        <f t="shared" si="40"/>
        <v>272.9500808380069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9.6666666666666661</v>
      </c>
      <c r="CT6" s="13">
        <f>IF('Données projet'!$A$140&gt;35,CT5+CS6-DB5,IF(A6&lt;'Données projet'!$A$140,$CQ$205^A6,IF(A6='Données projet'!$A$140,'Données projet'!$B$140,CT5+CS6-DB5)))</f>
        <v>3.2818180349112911</v>
      </c>
      <c r="CU6" s="18">
        <f>CT6*VLOOKUP('Données projet'!$B$13,Paramètres!$A$1:$I$89,3,0)*VLOOKUP('Données projet'!$B$13,Paramètres!$A$1:$I$89,5,0)</f>
        <v>1.7918726470615651</v>
      </c>
      <c r="CV6" s="14">
        <f t="shared" si="41"/>
        <v>0.77156808236563035</v>
      </c>
      <c r="CW6" s="22">
        <f t="shared" si="13"/>
        <v>4.4646592704190313</v>
      </c>
      <c r="CX6" s="62">
        <f t="shared" si="14"/>
        <v>297.79799260375233</v>
      </c>
      <c r="CY6" s="62">
        <f ca="1">AVERAGE(OFFSET($CX$3,0,0,'Données projet'!$E$13+1,1))-AVERAGE(OFFSET($H$3,0,0,'Données projet'!$E$13+1,1))</f>
        <v>159.92263609041913</v>
      </c>
      <c r="CZ6" s="62">
        <f t="shared" si="42"/>
        <v>271.78119133009307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3.3076923076923075</v>
      </c>
      <c r="DO6" s="13">
        <f>IF('Données projet'!$A$166&gt;35,DO5+DN6-DW5,IF(A6&lt;'Données projet'!$A$166,$DL$205^A6,IF(A6='Données projet'!$A$166,'Données projet'!$B$166,DO5+DN6-DW5)))</f>
        <v>9.9230769230769234</v>
      </c>
      <c r="DP6" s="18">
        <f>DO6*VLOOKUP('Données projet'!$B$14,Paramètres!$A$1:$I$89,3,0)*VLOOKUP('Données projet'!$B$14,Paramètres!$A$1:$I$89,5,0)</f>
        <v>4.7730000000000006</v>
      </c>
      <c r="DQ6" s="14">
        <f t="shared" si="43"/>
        <v>1.8337164300711053</v>
      </c>
      <c r="DR6" s="22">
        <f t="shared" si="16"/>
        <v>11.506697782373843</v>
      </c>
      <c r="DS6" s="62">
        <f t="shared" si="17"/>
        <v>304.84003111570718</v>
      </c>
      <c r="DT6" s="62">
        <f ca="1">AVERAGE(OFFSET($DS$3,0,0,'Données projet'!$E$14+1,1))-AVERAGE(OFFSET($H$3,0,0,'Données projet'!$E$14+1,1))</f>
        <v>122.60806128440754</v>
      </c>
      <c r="DU6" s="62">
        <f t="shared" si="44"/>
        <v>73.937252053142004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>
        <f>EJ6*VLOOKUP('Données projet'!$B$15,Paramètres!$A$1:$I$89,3,0)*VLOOKUP('Données projet'!$B$15,Paramètres!$A$1:$I$89,5,0)</f>
        <v>0</v>
      </c>
      <c r="EL6" s="14" t="e">
        <f t="shared" si="45"/>
        <v>#NUM!</v>
      </c>
      <c r="EM6" s="22" t="e">
        <f t="shared" si="19"/>
        <v>#NUM!</v>
      </c>
      <c r="EN6" s="62" t="e">
        <f t="shared" si="20"/>
        <v>#NUM!</v>
      </c>
      <c r="EO6" s="62">
        <f ca="1">AVERAGE(OFFSET($EN$3,0,0,'Données projet'!$E$15+1,1))-AVERAGE(OFFSET($H$3,0,0,'Données projet'!$E$15+1,1))</f>
        <v>0</v>
      </c>
      <c r="EP6" s="62">
        <f t="shared" si="46"/>
        <v>0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382.55387448074327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298.08350019263929</v>
      </c>
      <c r="AN7" s="62">
        <f ca="1">AVERAGE(OFFSET($AM$3,0,0,'Données projet'!$E$10+1,1))-AVERAGE(OFFSET($H$3,0,0,'Données projet'!$E$10+1,1))</f>
        <v>269.64423257646359</v>
      </c>
      <c r="AO7" s="62">
        <f t="shared" si="36"/>
        <v>161.0819079811821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5.7777777777777777</v>
      </c>
      <c r="BD7" s="13">
        <f>IF('Données projet'!$A$88&gt;35,BD6+BC7-BL6,IF(A7&lt;'Données projet'!$A$88,$BA$205^A7,IF(A7='Données projet'!$A$88,'Données projet'!$B$88,BD6+BC7-BL6)))</f>
        <v>2.806917388668464</v>
      </c>
      <c r="BE7" s="14">
        <f>BD7*VLOOKUP('Données projet'!$B$11,Paramètres!$A$1:$I$89,3,0)*VLOOKUP('Données projet'!$B$11,Paramètres!$A$1:$I$89,5,0)</f>
        <v>1.3136373378968411</v>
      </c>
      <c r="BF7" s="14">
        <f t="shared" si="37"/>
        <v>0.58645811828172822</v>
      </c>
      <c r="BG7" s="22">
        <f t="shared" si="7"/>
        <v>3.3093329195110086</v>
      </c>
      <c r="BH7" s="62">
        <f t="shared" si="8"/>
        <v>296.64266625284432</v>
      </c>
      <c r="BI7" s="62">
        <f ca="1">AVERAGE(OFFSET($BH$3,0,0,'Données projet'!$E$11+1,1))-AVERAGE(OFFSET($H$3,0,0,'Données projet'!$E$11+1,1))</f>
        <v>90.797383835887558</v>
      </c>
      <c r="BJ7" s="62">
        <f t="shared" si="38"/>
        <v>104.31413437636684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6.2222222222222223</v>
      </c>
      <c r="BY7" s="13">
        <f>IF('Données projet'!$A$114&gt;35,BY6+BX7-CG6,IF(A7&lt;'Données projet'!$A$114,$BV$205^A7,IF(A7='Données projet'!$A$114,'Données projet'!$B$114,BY6+BX7-CG6)))</f>
        <v>2.8535256637456983</v>
      </c>
      <c r="BZ7" s="14">
        <f>BY7*VLOOKUP('Données projet'!$B$12,Paramètres!$A$1:$I$89,3,0)*VLOOKUP('Données projet'!$B$12,Paramètres!$A$1:$I$89,5,0)</f>
        <v>1.7806000141773157</v>
      </c>
      <c r="CA7" s="14">
        <f t="shared" si="39"/>
        <v>0.76727758599241935</v>
      </c>
      <c r="CB7" s="22">
        <f t="shared" si="10"/>
        <v>4.4375534869622877</v>
      </c>
      <c r="CC7" s="62">
        <f t="shared" si="11"/>
        <v>297.77088682029563</v>
      </c>
      <c r="CD7" s="62">
        <f ca="1">AVERAGE(OFFSET($CC$3,0,0,'Données projet'!$E$12+1,1))-AVERAGE(OFFSET($H$3,0,0,'Données projet'!$E$12+1,1))</f>
        <v>179.44051550872138</v>
      </c>
      <c r="CE7" s="62">
        <f t="shared" si="40"/>
        <v>272.9500808380069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9.6666666666666661</v>
      </c>
      <c r="CT7" s="13">
        <f>IF('Données projet'!$A$140&gt;35,CT6+CS7-DB6,IF(A7&lt;'Données projet'!$A$140,$CQ$205^A7,IF(A7='Données projet'!$A$140,'Données projet'!$B$140,CT6+CS7-DB6)))</f>
        <v>4.8769989610733138</v>
      </c>
      <c r="CU7" s="18">
        <f>CT7*VLOOKUP('Données projet'!$B$13,Paramètres!$A$1:$I$89,3,0)*VLOOKUP('Données projet'!$B$13,Paramètres!$A$1:$I$89,5,0)</f>
        <v>2.6628414327460295</v>
      </c>
      <c r="CV7" s="14">
        <f t="shared" si="41"/>
        <v>1.0949320721157787</v>
      </c>
      <c r="CW7" s="22">
        <f t="shared" si="13"/>
        <v>6.5447888543009825</v>
      </c>
      <c r="CX7" s="62">
        <f t="shared" si="14"/>
        <v>299.87812218763429</v>
      </c>
      <c r="CY7" s="62">
        <f ca="1">AVERAGE(OFFSET($CX$3,0,0,'Données projet'!$E$13+1,1))-AVERAGE(OFFSET($H$3,0,0,'Données projet'!$E$13+1,1))</f>
        <v>159.92263609041913</v>
      </c>
      <c r="CZ7" s="62">
        <f t="shared" si="42"/>
        <v>271.78119133009307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3.3076923076923075</v>
      </c>
      <c r="DO7" s="13">
        <f>IF('Données projet'!$A$166&gt;35,DO6+DN7-DW6,IF(A7&lt;'Données projet'!$A$166,$DL$205^A7,IF(A7='Données projet'!$A$166,'Données projet'!$B$166,DO6+DN7-DW6)))</f>
        <v>13.23076923076923</v>
      </c>
      <c r="DP7" s="18">
        <f>DO7*VLOOKUP('Données projet'!$B$14,Paramètres!$A$1:$I$89,3,0)*VLOOKUP('Données projet'!$B$14,Paramètres!$A$1:$I$89,5,0)</f>
        <v>6.3639999999999999</v>
      </c>
      <c r="DQ7" s="14">
        <f t="shared" si="43"/>
        <v>2.36443861770144</v>
      </c>
      <c r="DR7" s="22">
        <f t="shared" si="16"/>
        <v>15.202030592496671</v>
      </c>
      <c r="DS7" s="62">
        <f t="shared" si="17"/>
        <v>308.53536392582998</v>
      </c>
      <c r="DT7" s="62">
        <f ca="1">AVERAGE(OFFSET($DS$3,0,0,'Données projet'!$E$14+1,1))-AVERAGE(OFFSET($H$3,0,0,'Données projet'!$E$14+1,1))</f>
        <v>122.60806128440754</v>
      </c>
      <c r="DU7" s="62">
        <f t="shared" si="44"/>
        <v>73.937252053142004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>
        <f>EJ7*VLOOKUP('Données projet'!$B$15,Paramètres!$A$1:$I$89,3,0)*VLOOKUP('Données projet'!$B$15,Paramètres!$A$1:$I$89,5,0)</f>
        <v>0</v>
      </c>
      <c r="EL7" s="14" t="e">
        <f t="shared" si="45"/>
        <v>#NUM!</v>
      </c>
      <c r="EM7" s="22" t="e">
        <f t="shared" si="19"/>
        <v>#NUM!</v>
      </c>
      <c r="EN7" s="62" t="e">
        <f t="shared" si="20"/>
        <v>#NUM!</v>
      </c>
      <c r="EO7" s="62">
        <f ca="1">AVERAGE(OFFSET($EN$3,0,0,'Données projet'!$E$15+1,1))-AVERAGE(OFFSET($H$3,0,0,'Données projet'!$E$15+1,1))</f>
        <v>0</v>
      </c>
      <c r="EP7" s="62">
        <f t="shared" si="46"/>
        <v>0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382.55387448074327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299.02270258510697</v>
      </c>
      <c r="AN8" s="62">
        <f ca="1">AVERAGE(OFFSET($AM$3,0,0,'Données projet'!$E$10+1,1))-AVERAGE(OFFSET($H$3,0,0,'Données projet'!$E$10+1,1))</f>
        <v>269.64423257646359</v>
      </c>
      <c r="AO8" s="62">
        <f t="shared" si="36"/>
        <v>161.0819079811821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5.7777777777777777</v>
      </c>
      <c r="BD8" s="13">
        <f>IF('Données projet'!$A$88&gt;35,BD7+BC8-BL7,IF(A8&lt;'Données projet'!$A$88,$BA$205^A8,IF(A8='Données projet'!$A$88,'Données projet'!$B$88,BD7+BC8-BL7)))</f>
        <v>3.6331810363764494</v>
      </c>
      <c r="BE8" s="14">
        <f>BD8*VLOOKUP('Données projet'!$B$11,Paramètres!$A$1:$I$89,3,0)*VLOOKUP('Données projet'!$B$11,Paramètres!$A$1:$I$89,5,0)</f>
        <v>1.7003287250241785</v>
      </c>
      <c r="BF8" s="14">
        <f t="shared" si="37"/>
        <v>0.73663258846318935</v>
      </c>
      <c r="BG8" s="22">
        <f t="shared" si="7"/>
        <v>4.2443742876571653</v>
      </c>
      <c r="BH8" s="62">
        <f t="shared" si="8"/>
        <v>297.57770762099045</v>
      </c>
      <c r="BI8" s="62">
        <f ca="1">AVERAGE(OFFSET($BH$3,0,0,'Données projet'!$E$11+1,1))-AVERAGE(OFFSET($H$3,0,0,'Données projet'!$E$11+1,1))</f>
        <v>90.797383835887558</v>
      </c>
      <c r="BJ8" s="62">
        <f t="shared" si="38"/>
        <v>104.31413437636684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6.2222222222222223</v>
      </c>
      <c r="BY8" s="13">
        <f>IF('Données projet'!$A$114&gt;35,BY7+BX8-CG7,IF(A8&lt;'Données projet'!$A$114,$BV$205^A8,IF(A8='Données projet'!$A$114,'Données projet'!$B$114,BY7+BX8-CG7)))</f>
        <v>3.7087471750180505</v>
      </c>
      <c r="BZ8" s="14">
        <f>BY8*VLOOKUP('Données projet'!$B$12,Paramètres!$A$1:$I$89,3,0)*VLOOKUP('Données projet'!$B$12,Paramètres!$A$1:$I$89,5,0)</f>
        <v>2.3142582372112632</v>
      </c>
      <c r="CA8" s="14">
        <f t="shared" si="39"/>
        <v>0.96726694681425085</v>
      </c>
      <c r="CB8" s="22">
        <f t="shared" si="10"/>
        <v>5.7153230288444377</v>
      </c>
      <c r="CC8" s="62">
        <f t="shared" si="11"/>
        <v>299.04865636217778</v>
      </c>
      <c r="CD8" s="62">
        <f ca="1">AVERAGE(OFFSET($CC$3,0,0,'Données projet'!$E$12+1,1))-AVERAGE(OFFSET($H$3,0,0,'Données projet'!$E$12+1,1))</f>
        <v>179.44051550872138</v>
      </c>
      <c r="CE8" s="62">
        <f t="shared" si="40"/>
        <v>272.9500808380069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9.6666666666666661</v>
      </c>
      <c r="CT8" s="13">
        <f>IF('Données projet'!$A$140&gt;35,CT7+CS8-DB7,IF(A8&lt;'Données projet'!$A$140,$CQ$205^A8,IF(A8='Données projet'!$A$140,'Données projet'!$B$140,CT7+CS8-DB7)))</f>
        <v>7.2475434692871694</v>
      </c>
      <c r="CU8" s="18">
        <f>CT8*VLOOKUP('Données projet'!$B$13,Paramètres!$A$1:$I$89,3,0)*VLOOKUP('Données projet'!$B$13,Paramètres!$A$1:$I$89,5,0)</f>
        <v>3.9571587342307946</v>
      </c>
      <c r="CV8" s="14">
        <f t="shared" si="41"/>
        <v>1.5538178288453746</v>
      </c>
      <c r="CW8" s="22">
        <f t="shared" si="13"/>
        <v>9.5982841806909942</v>
      </c>
      <c r="CX8" s="62">
        <f t="shared" si="14"/>
        <v>302.93161751402431</v>
      </c>
      <c r="CY8" s="62">
        <f ca="1">AVERAGE(OFFSET($CX$3,0,0,'Données projet'!$E$13+1,1))-AVERAGE(OFFSET($H$3,0,0,'Données projet'!$E$13+1,1))</f>
        <v>159.92263609041913</v>
      </c>
      <c r="CZ8" s="62">
        <f t="shared" si="42"/>
        <v>271.78119133009307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3.3076923076923075</v>
      </c>
      <c r="DO8" s="13">
        <f>IF('Données projet'!$A$166&gt;35,DO7+DN8-DW7,IF(A8&lt;'Données projet'!$A$166,$DL$205^A8,IF(A8='Données projet'!$A$166,'Données projet'!$B$166,DO7+DN8-DW7)))</f>
        <v>16.538461538461537</v>
      </c>
      <c r="DP8" s="18">
        <f>DO8*VLOOKUP('Données projet'!$B$14,Paramètres!$A$1:$I$89,3,0)*VLOOKUP('Données projet'!$B$14,Paramètres!$A$1:$I$89,5,0)</f>
        <v>7.9550000000000001</v>
      </c>
      <c r="DQ8" s="14">
        <f t="shared" si="43"/>
        <v>2.8797695245780859</v>
      </c>
      <c r="DR8" s="22">
        <f t="shared" si="16"/>
        <v>18.870556921973499</v>
      </c>
      <c r="DS8" s="62">
        <f t="shared" si="17"/>
        <v>312.20389025530682</v>
      </c>
      <c r="DT8" s="62">
        <f ca="1">AVERAGE(OFFSET($DS$3,0,0,'Données projet'!$E$14+1,1))-AVERAGE(OFFSET($H$3,0,0,'Données projet'!$E$14+1,1))</f>
        <v>122.60806128440754</v>
      </c>
      <c r="DU8" s="62">
        <f t="shared" si="44"/>
        <v>73.937252053142004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>
        <f>EJ8*VLOOKUP('Données projet'!$B$15,Paramètres!$A$1:$I$89,3,0)*VLOOKUP('Données projet'!$B$15,Paramètres!$A$1:$I$89,5,0)</f>
        <v>0</v>
      </c>
      <c r="EL8" s="14" t="e">
        <f t="shared" si="45"/>
        <v>#NUM!</v>
      </c>
      <c r="EM8" s="22" t="e">
        <f t="shared" si="19"/>
        <v>#NUM!</v>
      </c>
      <c r="EN8" s="62" t="e">
        <f t="shared" si="20"/>
        <v>#NUM!</v>
      </c>
      <c r="EO8" s="62">
        <f ca="1">AVERAGE(OFFSET($EN$3,0,0,'Données projet'!$E$15+1,1))-AVERAGE(OFFSET($H$3,0,0,'Données projet'!$E$15+1,1))</f>
        <v>0</v>
      </c>
      <c r="EP8" s="62">
        <f t="shared" si="46"/>
        <v>0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382.55387448074327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300.14827444069743</v>
      </c>
      <c r="AN9" s="62">
        <f ca="1">AVERAGE(OFFSET($AM$3,0,0,'Données projet'!$E$10+1,1))-AVERAGE(OFFSET($H$3,0,0,'Données projet'!$E$10+1,1))</f>
        <v>269.64423257646359</v>
      </c>
      <c r="AO9" s="62">
        <f t="shared" si="36"/>
        <v>161.0819079811821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5.7777777777777777</v>
      </c>
      <c r="BD9" s="13">
        <f>IF('Données projet'!$A$88&gt;35,BD8+BC9-BL8,IF(A9&lt;'Données projet'!$A$88,$BA$205^A9,IF(A9='Données projet'!$A$88,'Données projet'!$B$88,BD8+BC9-BL8)))</f>
        <v>4.7026693754415136</v>
      </c>
      <c r="BE9" s="14">
        <f>BD9*VLOOKUP('Données projet'!$B$11,Paramètres!$A$1:$I$89,3,0)*VLOOKUP('Données projet'!$B$11,Paramètres!$A$1:$I$89,5,0)</f>
        <v>2.2008492677066287</v>
      </c>
      <c r="BF9" s="14">
        <f t="shared" si="37"/>
        <v>0.92526227103110181</v>
      </c>
      <c r="BG9" s="22">
        <f t="shared" si="7"/>
        <v>5.444644263301547</v>
      </c>
      <c r="BH9" s="62">
        <f t="shared" si="8"/>
        <v>298.77797759663486</v>
      </c>
      <c r="BI9" s="62">
        <f ca="1">AVERAGE(OFFSET($BH$3,0,0,'Données projet'!$E$11+1,1))-AVERAGE(OFFSET($H$3,0,0,'Données projet'!$E$11+1,1))</f>
        <v>90.797383835887558</v>
      </c>
      <c r="BJ9" s="62">
        <f t="shared" si="38"/>
        <v>104.31413437636684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6.2222222222222223</v>
      </c>
      <c r="BY9" s="13">
        <f>IF('Données projet'!$A$114&gt;35,BY8+BX9-CG8,IF(A9&lt;'Données projet'!$A$114,$BV$205^A9,IF(A9='Données projet'!$A$114,'Données projet'!$B$114,BY8+BX9-CG8)))</f>
        <v>4.8202845283504612</v>
      </c>
      <c r="BZ9" s="14">
        <f>BY9*VLOOKUP('Données projet'!$B$12,Paramètres!$A$1:$I$89,3,0)*VLOOKUP('Données projet'!$B$12,Paramètres!$A$1:$I$89,5,0)</f>
        <v>3.0078575456906878</v>
      </c>
      <c r="CA9" s="14">
        <f t="shared" si="39"/>
        <v>1.2193831326236693</v>
      </c>
      <c r="CB9" s="22">
        <f t="shared" si="10"/>
        <v>7.3624441813975059</v>
      </c>
      <c r="CC9" s="62">
        <f t="shared" si="11"/>
        <v>300.69577751473082</v>
      </c>
      <c r="CD9" s="62">
        <f ca="1">AVERAGE(OFFSET($CC$3,0,0,'Données projet'!$E$12+1,1))-AVERAGE(OFFSET($H$3,0,0,'Données projet'!$E$12+1,1))</f>
        <v>179.44051550872138</v>
      </c>
      <c r="CE9" s="62">
        <f t="shared" si="40"/>
        <v>272.9500808380069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9.6666666666666661</v>
      </c>
      <c r="CT9" s="13">
        <f>IF('Données projet'!$A$140&gt;35,CT8+CS9-DB8,IF(A9&lt;'Données projet'!$A$140,$CQ$205^A9,IF(A9='Données projet'!$A$140,'Données projet'!$B$140,CT8+CS9-DB8)))</f>
        <v>10.770329614269009</v>
      </c>
      <c r="CU9" s="18">
        <f>CT9*VLOOKUP('Données projet'!$B$13,Paramètres!$A$1:$I$89,3,0)*VLOOKUP('Données projet'!$B$13,Paramètres!$A$1:$I$89,5,0)</f>
        <v>5.8805999693908788</v>
      </c>
      <c r="CV9" s="14">
        <f t="shared" si="41"/>
        <v>2.2050224910961043</v>
      </c>
      <c r="CW9" s="22">
        <f t="shared" si="13"/>
        <v>14.082459118681493</v>
      </c>
      <c r="CX9" s="62">
        <f t="shared" si="14"/>
        <v>307.41579245201478</v>
      </c>
      <c r="CY9" s="62">
        <f ca="1">AVERAGE(OFFSET($CX$3,0,0,'Données projet'!$E$13+1,1))-AVERAGE(OFFSET($H$3,0,0,'Données projet'!$E$13+1,1))</f>
        <v>159.92263609041913</v>
      </c>
      <c r="CZ9" s="62">
        <f t="shared" si="42"/>
        <v>271.78119133009307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3.3076923076923075</v>
      </c>
      <c r="DO9" s="13">
        <f>IF('Données projet'!$A$166&gt;35,DO8+DN9-DW8,IF(A9&lt;'Données projet'!$A$166,$DL$205^A9,IF(A9='Données projet'!$A$166,'Données projet'!$B$166,DO8+DN9-DW8)))</f>
        <v>19.846153846153843</v>
      </c>
      <c r="DP9" s="18">
        <f>DO9*VLOOKUP('Données projet'!$B$14,Paramètres!$A$1:$I$89,3,0)*VLOOKUP('Données projet'!$B$14,Paramètres!$A$1:$I$89,5,0)</f>
        <v>9.5459999999999976</v>
      </c>
      <c r="DQ9" s="14">
        <f t="shared" si="43"/>
        <v>3.3831579983889863</v>
      </c>
      <c r="DR9" s="22">
        <f t="shared" si="16"/>
        <v>22.518283513860812</v>
      </c>
      <c r="DS9" s="62">
        <f t="shared" si="17"/>
        <v>315.85161684719412</v>
      </c>
      <c r="DT9" s="62">
        <f ca="1">AVERAGE(OFFSET($DS$3,0,0,'Données projet'!$E$14+1,1))-AVERAGE(OFFSET($H$3,0,0,'Données projet'!$E$14+1,1))</f>
        <v>122.60806128440754</v>
      </c>
      <c r="DU9" s="62">
        <f t="shared" si="44"/>
        <v>73.937252053142004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>
        <f>EJ9*VLOOKUP('Données projet'!$B$15,Paramètres!$A$1:$I$89,3,0)*VLOOKUP('Données projet'!$B$15,Paramètres!$A$1:$I$89,5,0)</f>
        <v>0</v>
      </c>
      <c r="EL9" s="14" t="e">
        <f t="shared" si="45"/>
        <v>#NUM!</v>
      </c>
      <c r="EM9" s="22" t="e">
        <f t="shared" si="19"/>
        <v>#NUM!</v>
      </c>
      <c r="EN9" s="62" t="e">
        <f t="shared" si="20"/>
        <v>#NUM!</v>
      </c>
      <c r="EO9" s="62">
        <f ca="1">AVERAGE(OFFSET($EN$3,0,0,'Données projet'!$E$15+1,1))-AVERAGE(OFFSET($H$3,0,0,'Données projet'!$E$15+1,1))</f>
        <v>0</v>
      </c>
      <c r="EP9" s="62">
        <f t="shared" si="46"/>
        <v>0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382.55387448074327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301.49732286519185</v>
      </c>
      <c r="AN10" s="62">
        <f ca="1">AVERAGE(OFFSET($AM$3,0,0,'Données projet'!$E$10+1,1))-AVERAGE(OFFSET($H$3,0,0,'Données projet'!$E$10+1,1))</f>
        <v>269.64423257646359</v>
      </c>
      <c r="AO10" s="62">
        <f t="shared" si="36"/>
        <v>161.0819079811821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5.7777777777777777</v>
      </c>
      <c r="BD10" s="13">
        <f>IF('Données projet'!$A$88&gt;35,BD9+BC10-BL9,IF(A10&lt;'Données projet'!$A$88,$BA$205^A10,IF(A10='Données projet'!$A$88,'Données projet'!$B$88,BD9+BC10-BL9)))</f>
        <v>6.0869797109730479</v>
      </c>
      <c r="BE10" s="14">
        <f>BD10*VLOOKUP('Données projet'!$B$11,Paramètres!$A$1:$I$89,3,0)*VLOOKUP('Données projet'!$B$11,Paramètres!$A$1:$I$89,5,0)</f>
        <v>2.8487065047353868</v>
      </c>
      <c r="BF10" s="14">
        <f t="shared" si="37"/>
        <v>1.1621944013903931</v>
      </c>
      <c r="BG10" s="22">
        <f t="shared" si="7"/>
        <v>6.9856524115024001</v>
      </c>
      <c r="BH10" s="62">
        <f t="shared" si="8"/>
        <v>300.31898574483569</v>
      </c>
      <c r="BI10" s="62">
        <f ca="1">AVERAGE(OFFSET($BH$3,0,0,'Données projet'!$E$11+1,1))-AVERAGE(OFFSET($H$3,0,0,'Données projet'!$E$11+1,1))</f>
        <v>90.797383835887558</v>
      </c>
      <c r="BJ10" s="62">
        <f t="shared" si="38"/>
        <v>104.31413437636684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6.2222222222222223</v>
      </c>
      <c r="BY10" s="13">
        <f>IF('Données projet'!$A$114&gt;35,BY9+BX10-CG9,IF(A10&lt;'Données projet'!$A$114,$BV$205^A10,IF(A10='Données projet'!$A$114,'Données projet'!$B$114,BY9+BX10-CG9)))</f>
        <v>6.2649573664027773</v>
      </c>
      <c r="BZ10" s="14">
        <f>BY10*VLOOKUP('Données projet'!$B$12,Paramètres!$A$1:$I$89,3,0)*VLOOKUP('Données projet'!$B$12,Paramètres!$A$1:$I$89,5,0)</f>
        <v>3.9093333966353332</v>
      </c>
      <c r="CA10" s="14">
        <f t="shared" si="39"/>
        <v>1.5372128955964925</v>
      </c>
      <c r="CB10" s="22">
        <f t="shared" si="10"/>
        <v>9.4860681256370967</v>
      </c>
      <c r="CC10" s="62">
        <f t="shared" si="11"/>
        <v>302.81940145897039</v>
      </c>
      <c r="CD10" s="62">
        <f ca="1">AVERAGE(OFFSET($CC$3,0,0,'Données projet'!$E$12+1,1))-AVERAGE(OFFSET($H$3,0,0,'Données projet'!$E$12+1,1))</f>
        <v>179.44051550872138</v>
      </c>
      <c r="CE10" s="62">
        <f t="shared" si="40"/>
        <v>272.9500808380069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9.6666666666666661</v>
      </c>
      <c r="CT10" s="13">
        <f>IF('Données projet'!$A$140&gt;35,CT9+CS10-DB9,IF(A10&lt;'Données projet'!$A$140,$CQ$205^A10,IF(A10='Données projet'!$A$140,'Données projet'!$B$140,CT9+CS10-DB9)))</f>
        <v>16.005423146694032</v>
      </c>
      <c r="CU10" s="18">
        <f>CT10*VLOOKUP('Données projet'!$B$13,Paramètres!$A$1:$I$89,3,0)*VLOOKUP('Données projet'!$B$13,Paramètres!$A$1:$I$89,5,0)</f>
        <v>8.7389610380949421</v>
      </c>
      <c r="CV10" s="14">
        <f t="shared" si="41"/>
        <v>3.1291468639233355</v>
      </c>
      <c r="CW10" s="22">
        <f t="shared" si="13"/>
        <v>20.6702879293485</v>
      </c>
      <c r="CX10" s="62">
        <f t="shared" si="14"/>
        <v>314.0036212626818</v>
      </c>
      <c r="CY10" s="62">
        <f ca="1">AVERAGE(OFFSET($CX$3,0,0,'Données projet'!$E$13+1,1))-AVERAGE(OFFSET($H$3,0,0,'Données projet'!$E$13+1,1))</f>
        <v>159.92263609041913</v>
      </c>
      <c r="CZ10" s="62">
        <f t="shared" si="42"/>
        <v>271.78119133009307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3.3076923076923075</v>
      </c>
      <c r="DO10" s="13">
        <f>IF('Données projet'!$A$166&gt;35,DO9+DN10-DW9,IF(A10&lt;'Données projet'!$A$166,$DL$205^A10,IF(A10='Données projet'!$A$166,'Données projet'!$B$166,DO9+DN10-DW9)))</f>
        <v>23.15384615384615</v>
      </c>
      <c r="DP10" s="18">
        <f>DO10*VLOOKUP('Données projet'!$B$14,Paramètres!$A$1:$I$89,3,0)*VLOOKUP('Données projet'!$B$14,Paramètres!$A$1:$I$89,5,0)</f>
        <v>11.136999999999999</v>
      </c>
      <c r="DQ10" s="14">
        <f t="shared" si="43"/>
        <v>3.8768273778869271</v>
      </c>
      <c r="DR10" s="22">
        <f t="shared" si="16"/>
        <v>26.149082683153058</v>
      </c>
      <c r="DS10" s="62">
        <f t="shared" si="17"/>
        <v>319.48241601648635</v>
      </c>
      <c r="DT10" s="62">
        <f ca="1">AVERAGE(OFFSET($DS$3,0,0,'Données projet'!$E$14+1,1))-AVERAGE(OFFSET($H$3,0,0,'Données projet'!$E$14+1,1))</f>
        <v>122.60806128440754</v>
      </c>
      <c r="DU10" s="62">
        <f t="shared" si="44"/>
        <v>73.937252053142004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>
        <f>EJ10*VLOOKUP('Données projet'!$B$15,Paramètres!$A$1:$I$89,3,0)*VLOOKUP('Données projet'!$B$15,Paramètres!$A$1:$I$89,5,0)</f>
        <v>0</v>
      </c>
      <c r="EL10" s="14" t="e">
        <f t="shared" si="45"/>
        <v>#NUM!</v>
      </c>
      <c r="EM10" s="22" t="e">
        <f t="shared" si="19"/>
        <v>#NUM!</v>
      </c>
      <c r="EN10" s="62" t="e">
        <f t="shared" si="20"/>
        <v>#NUM!</v>
      </c>
      <c r="EO10" s="62">
        <f ca="1">AVERAGE(OFFSET($EN$3,0,0,'Données projet'!$E$15+1,1))-AVERAGE(OFFSET($H$3,0,0,'Données projet'!$E$15+1,1))</f>
        <v>0</v>
      </c>
      <c r="EP10" s="62">
        <f t="shared" si="46"/>
        <v>0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382.55387448074327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303.11436643935451</v>
      </c>
      <c r="AN11" s="62">
        <f ca="1">AVERAGE(OFFSET($AM$3,0,0,'Données projet'!$E$10+1,1))-AVERAGE(OFFSET($H$3,0,0,'Données projet'!$E$10+1,1))</f>
        <v>269.64423257646359</v>
      </c>
      <c r="AO11" s="62">
        <f t="shared" si="36"/>
        <v>161.0819079811821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5.7777777777777777</v>
      </c>
      <c r="BD11" s="13">
        <f>IF('Données projet'!$A$88&gt;35,BD10+BC11-BL10,IF(A11&lt;'Données projet'!$A$88,$BA$205^A11,IF(A11='Données projet'!$A$88,'Données projet'!$B$88,BD10+BC11-BL10)))</f>
        <v>7.8787852268093888</v>
      </c>
      <c r="BE11" s="14">
        <f>BD11*VLOOKUP('Données projet'!$B$11,Paramètres!$A$1:$I$89,3,0)*VLOOKUP('Données projet'!$B$11,Paramètres!$A$1:$I$89,5,0)</f>
        <v>3.6872714861467943</v>
      </c>
      <c r="BF11" s="14">
        <f t="shared" si="37"/>
        <v>1.4597977988640713</v>
      </c>
      <c r="BG11" s="22">
        <f t="shared" si="7"/>
        <v>8.9644790047272576</v>
      </c>
      <c r="BH11" s="62">
        <f t="shared" si="8"/>
        <v>302.29781233806057</v>
      </c>
      <c r="BI11" s="62">
        <f ca="1">AVERAGE(OFFSET($BH$3,0,0,'Données projet'!$E$11+1,1))-AVERAGE(OFFSET($H$3,0,0,'Données projet'!$E$11+1,1))</f>
        <v>90.797383835887558</v>
      </c>
      <c r="BJ11" s="62">
        <f t="shared" si="38"/>
        <v>104.31413437636684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6.2222222222222223</v>
      </c>
      <c r="BY11" s="13">
        <f>IF('Données projet'!$A$114&gt;35,BY10+BX11-CG10,IF(A11&lt;'Données projet'!$A$114,$BV$205^A11,IF(A11='Données projet'!$A$114,'Données projet'!$B$114,BY10+BX11-CG10)))</f>
        <v>8.1426087136553278</v>
      </c>
      <c r="BZ11" s="14">
        <f>BY11*VLOOKUP('Données projet'!$B$12,Paramètres!$A$1:$I$89,3,0)*VLOOKUP('Données projet'!$B$12,Paramètres!$A$1:$I$89,5,0)</f>
        <v>5.080987837320925</v>
      </c>
      <c r="CA11" s="14">
        <f t="shared" si="39"/>
        <v>1.9378843475584122</v>
      </c>
      <c r="CB11" s="22">
        <f t="shared" si="10"/>
        <v>12.224535721998178</v>
      </c>
      <c r="CC11" s="62">
        <f t="shared" si="11"/>
        <v>305.55786905533148</v>
      </c>
      <c r="CD11" s="62">
        <f ca="1">AVERAGE(OFFSET($CC$3,0,0,'Données projet'!$E$12+1,1))-AVERAGE(OFFSET($H$3,0,0,'Données projet'!$E$12+1,1))</f>
        <v>179.44051550872138</v>
      </c>
      <c r="CE11" s="62">
        <f t="shared" si="40"/>
        <v>272.9500808380069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9.6666666666666661</v>
      </c>
      <c r="CT11" s="13">
        <f>IF('Données projet'!$A$140&gt;35,CT10+CS11-DB10,IF(A11&lt;'Données projet'!$A$140,$CQ$205^A11,IF(A11='Données projet'!$A$140,'Données projet'!$B$140,CT10+CS11-DB10)))</f>
        <v>23.785118866310182</v>
      </c>
      <c r="CU11" s="18">
        <f>CT11*VLOOKUP('Données projet'!$B$13,Paramètres!$A$1:$I$89,3,0)*VLOOKUP('Données projet'!$B$13,Paramètres!$A$1:$I$89,5,0)</f>
        <v>12.98667490100536</v>
      </c>
      <c r="CV11" s="14">
        <f t="shared" si="41"/>
        <v>4.4405715295601897</v>
      </c>
      <c r="CW11" s="22">
        <f t="shared" si="13"/>
        <v>30.352454199901668</v>
      </c>
      <c r="CX11" s="62">
        <f t="shared" si="14"/>
        <v>323.68578753323499</v>
      </c>
      <c r="CY11" s="62">
        <f ca="1">AVERAGE(OFFSET($CX$3,0,0,'Données projet'!$E$13+1,1))-AVERAGE(OFFSET($H$3,0,0,'Données projet'!$E$13+1,1))</f>
        <v>159.92263609041913</v>
      </c>
      <c r="CZ11" s="62">
        <f t="shared" si="42"/>
        <v>271.78119133009307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3.3076923076923075</v>
      </c>
      <c r="DO11" s="13">
        <f>IF('Données projet'!$A$166&gt;35,DO10+DN11-DW10,IF(A11&lt;'Données projet'!$A$166,$DL$205^A11,IF(A11='Données projet'!$A$166,'Données projet'!$B$166,DO10+DN11-DW10)))</f>
        <v>26.461538461538456</v>
      </c>
      <c r="DP11" s="18">
        <f>DO11*VLOOKUP('Données projet'!$B$14,Paramètres!$A$1:$I$89,3,0)*VLOOKUP('Données projet'!$B$14,Paramètres!$A$1:$I$89,5,0)</f>
        <v>12.727999999999998</v>
      </c>
      <c r="DQ11" s="14">
        <f t="shared" si="43"/>
        <v>4.3623263062905773</v>
      </c>
      <c r="DR11" s="22">
        <f t="shared" si="16"/>
        <v>29.765651650122749</v>
      </c>
      <c r="DS11" s="62">
        <f t="shared" si="17"/>
        <v>323.09898498345603</v>
      </c>
      <c r="DT11" s="62">
        <f ca="1">AVERAGE(OFFSET($DS$3,0,0,'Données projet'!$E$14+1,1))-AVERAGE(OFFSET($H$3,0,0,'Données projet'!$E$14+1,1))</f>
        <v>122.60806128440754</v>
      </c>
      <c r="DU11" s="62">
        <f t="shared" si="44"/>
        <v>73.937252053142004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>
        <f>EJ11*VLOOKUP('Données projet'!$B$15,Paramètres!$A$1:$I$89,3,0)*VLOOKUP('Données projet'!$B$15,Paramètres!$A$1:$I$89,5,0)</f>
        <v>0</v>
      </c>
      <c r="EL11" s="14" t="e">
        <f t="shared" si="45"/>
        <v>#NUM!</v>
      </c>
      <c r="EM11" s="22" t="e">
        <f t="shared" si="19"/>
        <v>#NUM!</v>
      </c>
      <c r="EN11" s="62" t="e">
        <f t="shared" si="20"/>
        <v>#NUM!</v>
      </c>
      <c r="EO11" s="62">
        <f ca="1">AVERAGE(OFFSET($EN$3,0,0,'Données projet'!$E$15+1,1))-AVERAGE(OFFSET($H$3,0,0,'Données projet'!$E$15+1,1))</f>
        <v>0</v>
      </c>
      <c r="EP11" s="62">
        <f t="shared" si="46"/>
        <v>0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382.55387448074327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305.05281983783436</v>
      </c>
      <c r="AN12" s="62">
        <f ca="1">AVERAGE(OFFSET($AM$3,0,0,'Données projet'!$E$10+1,1))-AVERAGE(OFFSET($H$3,0,0,'Données projet'!$E$10+1,1))</f>
        <v>269.64423257646359</v>
      </c>
      <c r="AO12" s="62">
        <f t="shared" si="36"/>
        <v>161.0819079811821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5.7777777777777777</v>
      </c>
      <c r="BD12" s="13">
        <f>IF('Données projet'!$A$88&gt;35,BD11+BC12-BL11,IF(A12&lt;'Données projet'!$A$88,$BA$205^A12,IF(A12='Données projet'!$A$88,'Données projet'!$B$88,BD11+BC12-BL11)))</f>
        <v>10.198039027185567</v>
      </c>
      <c r="BE12" s="14">
        <f>BD12*VLOOKUP('Données projet'!$B$11,Paramètres!$A$1:$I$89,3,0)*VLOOKUP('Données projet'!$B$11,Paramètres!$A$1:$I$89,5,0)</f>
        <v>4.7726822647228451</v>
      </c>
      <c r="BF12" s="14">
        <f t="shared" si="37"/>
        <v>1.8336085692883657</v>
      </c>
      <c r="BG12" s="22">
        <f t="shared" si="7"/>
        <v>11.505956535902859</v>
      </c>
      <c r="BH12" s="62">
        <f t="shared" si="8"/>
        <v>304.83928986923615</v>
      </c>
      <c r="BI12" s="62">
        <f ca="1">AVERAGE(OFFSET($BH$3,0,0,'Données projet'!$E$11+1,1))-AVERAGE(OFFSET($H$3,0,0,'Données projet'!$E$11+1,1))</f>
        <v>90.797383835887558</v>
      </c>
      <c r="BJ12" s="62">
        <f t="shared" si="38"/>
        <v>104.31413437636684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6.2222222222222223</v>
      </c>
      <c r="BY12" s="13">
        <f>IF('Données projet'!$A$114&gt;35,BY11+BX12-CG11,IF(A12&lt;'Données projet'!$A$114,$BV$205^A12,IF(A12='Données projet'!$A$114,'Données projet'!$B$114,BY11+BX12-CG11)))</f>
        <v>10.583005244258365</v>
      </c>
      <c r="BZ12" s="14">
        <f>BY12*VLOOKUP('Données projet'!$B$12,Paramètres!$A$1:$I$89,3,0)*VLOOKUP('Données projet'!$B$12,Paramètres!$A$1:$I$89,5,0)</f>
        <v>6.6037952724172193</v>
      </c>
      <c r="CA12" s="14">
        <f t="shared" si="39"/>
        <v>2.4429900082608067</v>
      </c>
      <c r="CB12" s="22">
        <f t="shared" si="10"/>
        <v>15.75648436384756</v>
      </c>
      <c r="CC12" s="62">
        <f t="shared" si="11"/>
        <v>309.08981769718088</v>
      </c>
      <c r="CD12" s="62">
        <f ca="1">AVERAGE(OFFSET($CC$3,0,0,'Données projet'!$E$12+1,1))-AVERAGE(OFFSET($H$3,0,0,'Données projet'!$E$12+1,1))</f>
        <v>179.44051550872138</v>
      </c>
      <c r="CE12" s="62">
        <f t="shared" si="40"/>
        <v>272.9500808380069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9.6666666666666661</v>
      </c>
      <c r="CT12" s="13">
        <f>IF('Données projet'!$A$140&gt;35,CT11+CS12-DB11,IF(A12&lt;'Données projet'!$A$140,$CQ$205^A12,IF(A12='Données projet'!$A$140,'Données projet'!$B$140,CT11+CS12-DB11)))</f>
        <v>35.346261970047209</v>
      </c>
      <c r="CU12" s="18">
        <f>CT12*VLOOKUP('Données projet'!$B$13,Paramètres!$A$1:$I$89,3,0)*VLOOKUP('Données projet'!$B$13,Paramètres!$A$1:$I$89,5,0)</f>
        <v>19.299059035645776</v>
      </c>
      <c r="CV12" s="14">
        <f t="shared" si="41"/>
        <v>6.301613943558138</v>
      </c>
      <c r="CW12" s="22">
        <f t="shared" si="13"/>
        <v>44.587838772113486</v>
      </c>
      <c r="CX12" s="62">
        <f t="shared" si="14"/>
        <v>337.92117210544677</v>
      </c>
      <c r="CY12" s="62">
        <f ca="1">AVERAGE(OFFSET($CX$3,0,0,'Données projet'!$E$13+1,1))-AVERAGE(OFFSET($H$3,0,0,'Données projet'!$E$13+1,1))</f>
        <v>159.92263609041913</v>
      </c>
      <c r="CZ12" s="62">
        <f t="shared" si="42"/>
        <v>271.78119133009307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3.3076923076923075</v>
      </c>
      <c r="DO12" s="13">
        <f>IF('Données projet'!$A$166&gt;35,DO11+DN12-DW11,IF(A12&lt;'Données projet'!$A$166,$DL$205^A12,IF(A12='Données projet'!$A$166,'Données projet'!$B$166,DO11+DN12-DW11)))</f>
        <v>29.769230769230763</v>
      </c>
      <c r="DP12" s="18">
        <f>DO12*VLOOKUP('Données projet'!$B$14,Paramètres!$A$1:$I$89,3,0)*VLOOKUP('Données projet'!$B$14,Paramètres!$A$1:$I$89,5,0)</f>
        <v>14.318999999999997</v>
      </c>
      <c r="DQ12" s="14">
        <f t="shared" si="43"/>
        <v>4.8407930560659835</v>
      </c>
      <c r="DR12" s="22">
        <f t="shared" si="16"/>
        <v>33.369972905981577</v>
      </c>
      <c r="DS12" s="62">
        <f t="shared" si="17"/>
        <v>326.70330623931488</v>
      </c>
      <c r="DT12" s="62">
        <f ca="1">AVERAGE(OFFSET($DS$3,0,0,'Données projet'!$E$14+1,1))-AVERAGE(OFFSET($H$3,0,0,'Données projet'!$E$14+1,1))</f>
        <v>122.60806128440754</v>
      </c>
      <c r="DU12" s="62">
        <f t="shared" si="44"/>
        <v>73.937252053142004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>
        <f>EJ12*VLOOKUP('Données projet'!$B$15,Paramètres!$A$1:$I$89,3,0)*VLOOKUP('Données projet'!$B$15,Paramètres!$A$1:$I$89,5,0)</f>
        <v>0</v>
      </c>
      <c r="EL12" s="14" t="e">
        <f t="shared" si="45"/>
        <v>#NUM!</v>
      </c>
      <c r="EM12" s="22" t="e">
        <f t="shared" si="19"/>
        <v>#NUM!</v>
      </c>
      <c r="EN12" s="62" t="e">
        <f t="shared" si="20"/>
        <v>#NUM!</v>
      </c>
      <c r="EO12" s="62">
        <f ca="1">AVERAGE(OFFSET($EN$3,0,0,'Données projet'!$E$15+1,1))-AVERAGE(OFFSET($H$3,0,0,'Données projet'!$E$15+1,1))</f>
        <v>0</v>
      </c>
      <c r="EP12" s="62">
        <f t="shared" si="46"/>
        <v>0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382.55387448074327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307.37677663358653</v>
      </c>
      <c r="AN13" s="62">
        <f ca="1">AVERAGE(OFFSET($AM$3,0,0,'Données projet'!$E$10+1,1))-AVERAGE(OFFSET($H$3,0,0,'Données projet'!$E$10+1,1))</f>
        <v>269.64423257646359</v>
      </c>
      <c r="AO13" s="62">
        <f t="shared" si="36"/>
        <v>161.0819079811821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5.7777777777777777</v>
      </c>
      <c r="BD13" s="13">
        <f>IF('Données projet'!$A$88&gt;35,BD12+BC13-BL12,IF(A13&lt;'Données projet'!$A$88,$BA$205^A13,IF(A13='Données projet'!$A$88,'Données projet'!$B$88,BD12+BC13-BL12)))</f>
        <v>13.200004443085451</v>
      </c>
      <c r="BE13" s="14">
        <f>BD13*VLOOKUP('Données projet'!$B$11,Paramètres!$A$1:$I$89,3,0)*VLOOKUP('Données projet'!$B$11,Paramètres!$A$1:$I$89,5,0)</f>
        <v>6.1776020793639903</v>
      </c>
      <c r="BF13" s="14">
        <f t="shared" si="37"/>
        <v>2.3031411528253649</v>
      </c>
      <c r="BG13" s="22">
        <f t="shared" si="7"/>
        <v>14.770627796063126</v>
      </c>
      <c r="BH13" s="62">
        <f t="shared" si="8"/>
        <v>308.10396112939645</v>
      </c>
      <c r="BI13" s="62">
        <f ca="1">AVERAGE(OFFSET($BH$3,0,0,'Données projet'!$E$11+1,1))-AVERAGE(OFFSET($H$3,0,0,'Données projet'!$E$11+1,1))</f>
        <v>90.797383835887558</v>
      </c>
      <c r="BJ13" s="62">
        <f t="shared" si="38"/>
        <v>104.31413437636684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6.2222222222222223</v>
      </c>
      <c r="BY13" s="13">
        <f>IF('Données projet'!$A$114&gt;35,BY12+BX13-CG12,IF(A13&lt;'Données projet'!$A$114,$BV$205^A13,IF(A13='Données projet'!$A$114,'Données projet'!$B$114,BY12+BX13-CG12)))</f>
        <v>13.754805608204368</v>
      </c>
      <c r="BZ13" s="14">
        <f>BY13*VLOOKUP('Données projet'!$B$12,Paramètres!$A$1:$I$89,3,0)*VLOOKUP('Données projet'!$B$12,Paramètres!$A$1:$I$89,5,0)</f>
        <v>8.5829986995195267</v>
      </c>
      <c r="CA13" s="14">
        <f t="shared" si="39"/>
        <v>3.0797504443346257</v>
      </c>
      <c r="CB13" s="22">
        <f t="shared" si="10"/>
        <v>20.312621425545984</v>
      </c>
      <c r="CC13" s="62">
        <f t="shared" si="11"/>
        <v>313.64595475887927</v>
      </c>
      <c r="CD13" s="62">
        <f ca="1">AVERAGE(OFFSET($CC$3,0,0,'Données projet'!$E$12+1,1))-AVERAGE(OFFSET($H$3,0,0,'Données projet'!$E$12+1,1))</f>
        <v>179.44051550872138</v>
      </c>
      <c r="CE13" s="62">
        <f t="shared" si="40"/>
        <v>272.9500808380069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9.6666666666666661</v>
      </c>
      <c r="CT13" s="13">
        <f>IF('Données projet'!$A$140&gt;35,CT12+CS13-DB12,IF(A13&lt;'Données projet'!$A$140,$CQ$205^A13,IF(A13='Données projet'!$A$140,'Données projet'!$B$140,CT12+CS13-DB12)))</f>
        <v>52.526886339207103</v>
      </c>
      <c r="CU13" s="18">
        <f>CT13*VLOOKUP('Données projet'!$B$13,Paramètres!$A$1:$I$89,3,0)*VLOOKUP('Données projet'!$B$13,Paramètres!$A$1:$I$89,5,0)</f>
        <v>28.679679941207077</v>
      </c>
      <c r="CV13" s="14">
        <f t="shared" si="41"/>
        <v>8.9426187663684367</v>
      </c>
      <c r="CW13" s="22">
        <f t="shared" si="13"/>
        <v>65.525503582360685</v>
      </c>
      <c r="CX13" s="62">
        <f t="shared" si="14"/>
        <v>358.85883691569398</v>
      </c>
      <c r="CY13" s="62">
        <f ca="1">AVERAGE(OFFSET($CX$3,0,0,'Données projet'!$E$13+1,1))-AVERAGE(OFFSET($H$3,0,0,'Données projet'!$E$13+1,1))</f>
        <v>159.92263609041913</v>
      </c>
      <c r="CZ13" s="62">
        <f t="shared" si="42"/>
        <v>271.78119133009307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3.3076923076923075</v>
      </c>
      <c r="DO13" s="13">
        <f>IF('Données projet'!$A$166&gt;35,DO12+DN13-DW12,IF(A13&lt;'Données projet'!$A$166,$DL$205^A13,IF(A13='Données projet'!$A$166,'Données projet'!$B$166,DO12+DN13-DW12)))</f>
        <v>33.076923076923073</v>
      </c>
      <c r="DP13" s="18">
        <f>DO13*VLOOKUP('Données projet'!$B$14,Paramètres!$A$1:$I$89,3,0)*VLOOKUP('Données projet'!$B$14,Paramètres!$A$1:$I$89,5,0)</f>
        <v>15.91</v>
      </c>
      <c r="DQ13" s="14">
        <f t="shared" si="43"/>
        <v>5.3130981109306052</v>
      </c>
      <c r="DR13" s="22">
        <f t="shared" si="16"/>
        <v>36.963562543204141</v>
      </c>
      <c r="DS13" s="62">
        <f t="shared" si="17"/>
        <v>330.29689587653746</v>
      </c>
      <c r="DT13" s="62">
        <f ca="1">AVERAGE(OFFSET($DS$3,0,0,'Données projet'!$E$14+1,1))-AVERAGE(OFFSET($H$3,0,0,'Données projet'!$E$14+1,1))</f>
        <v>122.60806128440754</v>
      </c>
      <c r="DU13" s="62">
        <f t="shared" si="44"/>
        <v>73.937252053142004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>
        <f>EJ13*VLOOKUP('Données projet'!$B$15,Paramètres!$A$1:$I$89,3,0)*VLOOKUP('Données projet'!$B$15,Paramètres!$A$1:$I$89,5,0)</f>
        <v>0</v>
      </c>
      <c r="EL13" s="14" t="e">
        <f t="shared" si="45"/>
        <v>#NUM!</v>
      </c>
      <c r="EM13" s="22" t="e">
        <f t="shared" si="19"/>
        <v>#NUM!</v>
      </c>
      <c r="EN13" s="62" t="e">
        <f t="shared" si="20"/>
        <v>#NUM!</v>
      </c>
      <c r="EO13" s="62">
        <f ca="1">AVERAGE(OFFSET($EN$3,0,0,'Données projet'!$E$15+1,1))-AVERAGE(OFFSET($H$3,0,0,'Données projet'!$E$15+1,1))</f>
        <v>0</v>
      </c>
      <c r="EP13" s="62">
        <f t="shared" si="46"/>
        <v>0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382.55387448074327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310.1631503249921</v>
      </c>
      <c r="AN14" s="62">
        <f ca="1">AVERAGE(OFFSET($AM$3,0,0,'Données projet'!$E$10+1,1))-AVERAGE(OFFSET($H$3,0,0,'Données projet'!$E$10+1,1))</f>
        <v>269.64423257646359</v>
      </c>
      <c r="AO14" s="62">
        <f t="shared" si="36"/>
        <v>161.0819079811821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5.7777777777777777</v>
      </c>
      <c r="BD14" s="13">
        <f>IF('Données projet'!$A$88&gt;35,BD13+BC14-BL13,IF(A14&lt;'Données projet'!$A$88,$BA$205^A14,IF(A14='Données projet'!$A$88,'Données projet'!$B$88,BD13+BC14-BL13)))</f>
        <v>17.085649195202389</v>
      </c>
      <c r="BE14" s="14">
        <f>BD14*VLOOKUP('Données projet'!$B$11,Paramètres!$A$1:$I$89,3,0)*VLOOKUP('Données projet'!$B$11,Paramètres!$A$1:$I$89,5,0)</f>
        <v>7.9960838233547182</v>
      </c>
      <c r="BF14" s="14">
        <f t="shared" si="37"/>
        <v>2.8929070569824207</v>
      </c>
      <c r="BG14" s="22">
        <f t="shared" si="7"/>
        <v>18.964992449920519</v>
      </c>
      <c r="BH14" s="62">
        <f t="shared" si="8"/>
        <v>312.29832578325386</v>
      </c>
      <c r="BI14" s="62">
        <f ca="1">AVERAGE(OFFSET($BH$3,0,0,'Données projet'!$E$11+1,1))-AVERAGE(OFFSET($H$3,0,0,'Données projet'!$E$11+1,1))</f>
        <v>90.797383835887558</v>
      </c>
      <c r="BJ14" s="62">
        <f t="shared" si="38"/>
        <v>104.31413437636684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6.2222222222222223</v>
      </c>
      <c r="BY14" s="13">
        <f>IF('Données projet'!$A$114&gt;35,BY13+BX14-CG13,IF(A14&lt;'Données projet'!$A$114,$BV$205^A14,IF(A14='Données projet'!$A$114,'Données projet'!$B$114,BY13+BX14-CG13)))</f>
        <v>17.877216627302985</v>
      </c>
      <c r="BZ14" s="14">
        <f>BY14*VLOOKUP('Données projet'!$B$12,Paramètres!$A$1:$I$89,3,0)*VLOOKUP('Données projet'!$B$12,Paramètres!$A$1:$I$89,5,0)</f>
        <v>11.155383175437063</v>
      </c>
      <c r="CA14" s="14">
        <f t="shared" si="39"/>
        <v>3.8824812083990929</v>
      </c>
      <c r="CB14" s="22">
        <f t="shared" si="10"/>
        <v>26.1909471351813</v>
      </c>
      <c r="CC14" s="62">
        <f t="shared" si="11"/>
        <v>319.52428046851463</v>
      </c>
      <c r="CD14" s="62">
        <f ca="1">AVERAGE(OFFSET($CC$3,0,0,'Données projet'!$E$12+1,1))-AVERAGE(OFFSET($H$3,0,0,'Données projet'!$E$12+1,1))</f>
        <v>179.44051550872138</v>
      </c>
      <c r="CE14" s="62">
        <f t="shared" si="40"/>
        <v>272.9500808380069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9.6666666666666661</v>
      </c>
      <c r="CT14" s="13">
        <f>IF('Données projet'!$A$140&gt;35,CT13+CS14-DB13,IF(A14&lt;'Données projet'!$A$140,$CQ$205^A14,IF(A14='Données projet'!$A$140,'Données projet'!$B$140,CT13+CS14-DB13)))</f>
        <v>78.058432057965561</v>
      </c>
      <c r="CU14" s="18">
        <f>CT14*VLOOKUP('Données projet'!$B$13,Paramètres!$A$1:$I$89,3,0)*VLOOKUP('Données projet'!$B$13,Paramètres!$A$1:$I$89,5,0)</f>
        <v>42.619903903649202</v>
      </c>
      <c r="CV14" s="14">
        <f t="shared" si="41"/>
        <v>12.690468047849112</v>
      </c>
      <c r="CW14" s="22">
        <f t="shared" si="13"/>
        <v>96.332231148859549</v>
      </c>
      <c r="CX14" s="62">
        <f t="shared" si="14"/>
        <v>389.66556448219285</v>
      </c>
      <c r="CY14" s="62">
        <f ca="1">AVERAGE(OFFSET($CX$3,0,0,'Données projet'!$E$13+1,1))-AVERAGE(OFFSET($H$3,0,0,'Données projet'!$E$13+1,1))</f>
        <v>159.92263609041913</v>
      </c>
      <c r="CZ14" s="62">
        <f t="shared" si="42"/>
        <v>271.78119133009307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3.3076923076923075</v>
      </c>
      <c r="DO14" s="13">
        <f>IF('Données projet'!$A$166&gt;35,DO13+DN14-DW13,IF(A14&lt;'Données projet'!$A$166,$DL$205^A14,IF(A14='Données projet'!$A$166,'Données projet'!$B$166,DO13+DN14-DW13)))</f>
        <v>36.38461538461538</v>
      </c>
      <c r="DP14" s="18">
        <f>DO14*VLOOKUP('Données projet'!$B$14,Paramètres!$A$1:$I$89,3,0)*VLOOKUP('Données projet'!$B$14,Paramètres!$A$1:$I$89,5,0)</f>
        <v>17.500999999999998</v>
      </c>
      <c r="DQ14" s="14">
        <f t="shared" si="43"/>
        <v>5.7799277833451663</v>
      </c>
      <c r="DR14" s="22">
        <f t="shared" si="16"/>
        <v>40.54761588932616</v>
      </c>
      <c r="DS14" s="62">
        <f t="shared" si="17"/>
        <v>333.88094922265947</v>
      </c>
      <c r="DT14" s="62">
        <f ca="1">AVERAGE(OFFSET($DS$3,0,0,'Données projet'!$E$14+1,1))-AVERAGE(OFFSET($H$3,0,0,'Données projet'!$E$14+1,1))</f>
        <v>122.60806128440754</v>
      </c>
      <c r="DU14" s="62">
        <f t="shared" si="44"/>
        <v>73.937252053142004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>
        <f>EJ14*VLOOKUP('Données projet'!$B$15,Paramètres!$A$1:$I$89,3,0)*VLOOKUP('Données projet'!$B$15,Paramètres!$A$1:$I$89,5,0)</f>
        <v>0</v>
      </c>
      <c r="EL14" s="14" t="e">
        <f t="shared" si="45"/>
        <v>#NUM!</v>
      </c>
      <c r="EM14" s="22" t="e">
        <f t="shared" si="19"/>
        <v>#NUM!</v>
      </c>
      <c r="EN14" s="62" t="e">
        <f t="shared" si="20"/>
        <v>#NUM!</v>
      </c>
      <c r="EO14" s="62">
        <f ca="1">AVERAGE(OFFSET($EN$3,0,0,'Données projet'!$E$15+1,1))-AVERAGE(OFFSET($H$3,0,0,'Données projet'!$E$15+1,1))</f>
        <v>0</v>
      </c>
      <c r="EP14" s="62">
        <f t="shared" si="46"/>
        <v>0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382.55387448074327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313.50424573777804</v>
      </c>
      <c r="AN15" s="62">
        <f ca="1">AVERAGE(OFFSET($AM$3,0,0,'Données projet'!$E$10+1,1))-AVERAGE(OFFSET($H$3,0,0,'Données projet'!$E$10+1,1))</f>
        <v>269.64423257646359</v>
      </c>
      <c r="AO15" s="62">
        <f t="shared" si="36"/>
        <v>161.0819079811821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5.7777777777777777</v>
      </c>
      <c r="BD15" s="13">
        <f>IF('Données projet'!$A$88&gt;35,BD14+BC15-BL14,IF(A15&lt;'Données projet'!$A$88,$BA$205^A15,IF(A15='Données projet'!$A$88,'Données projet'!$B$88,BD14+BC15-BL14)))</f>
        <v>22.115099254715481</v>
      </c>
      <c r="BE15" s="14">
        <f>BD15*VLOOKUP('Données projet'!$B$11,Paramètres!$A$1:$I$89,3,0)*VLOOKUP('Données projet'!$B$11,Paramètres!$A$1:$I$89,5,0)</f>
        <v>10.349866451206847</v>
      </c>
      <c r="BF15" s="14">
        <f t="shared" si="37"/>
        <v>3.6336944568387297</v>
      </c>
      <c r="BG15" s="22">
        <f t="shared" si="7"/>
        <v>24.354701914846043</v>
      </c>
      <c r="BH15" s="62">
        <f t="shared" si="8"/>
        <v>317.68803524817935</v>
      </c>
      <c r="BI15" s="62">
        <f ca="1">AVERAGE(OFFSET($BH$3,0,0,'Données projet'!$E$11+1,1))-AVERAGE(OFFSET($H$3,0,0,'Données projet'!$E$11+1,1))</f>
        <v>90.797383835887558</v>
      </c>
      <c r="BJ15" s="62">
        <f t="shared" si="38"/>
        <v>104.31413437636684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6.2222222222222223</v>
      </c>
      <c r="BY15" s="13">
        <f>IF('Données projet'!$A$114&gt;35,BY14+BX15-CG14,IF(A15&lt;'Données projet'!$A$114,$BV$205^A15,IF(A15='Données projet'!$A$114,'Données projet'!$B$114,BY14+BX15-CG14)))</f>
        <v>23.235142934254824</v>
      </c>
      <c r="BZ15" s="14">
        <f>BY15*VLOOKUP('Données projet'!$B$12,Paramètres!$A$1:$I$89,3,0)*VLOOKUP('Données projet'!$B$12,Paramètres!$A$1:$I$89,5,0)</f>
        <v>14.498729190975009</v>
      </c>
      <c r="CA15" s="14">
        <f t="shared" si="39"/>
        <v>4.8944421329010357</v>
      </c>
      <c r="CB15" s="22">
        <f t="shared" si="10"/>
        <v>33.776440055750776</v>
      </c>
      <c r="CC15" s="62">
        <f t="shared" si="11"/>
        <v>327.10977338908407</v>
      </c>
      <c r="CD15" s="62">
        <f ca="1">AVERAGE(OFFSET($CC$3,0,0,'Données projet'!$E$12+1,1))-AVERAGE(OFFSET($H$3,0,0,'Données projet'!$E$12+1,1))</f>
        <v>179.44051550872138</v>
      </c>
      <c r="CE15" s="62">
        <f t="shared" si="40"/>
        <v>272.9500808380069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>
        <f>VLOOKUP(A15,'Données projet'!$A$139:$I$159,2,0)</f>
        <v>116</v>
      </c>
      <c r="CR15" s="13">
        <f>VLOOKUP(A15,'Données projet'!$A$139:$I$159,9,0)</f>
        <v>9.6666666666666661</v>
      </c>
      <c r="CS15" s="13">
        <f t="array" ref="CS15">INDEX(CR:CR,MIN(IF(ISNUMBER(CR15:CR211),ROW(CR15:CR211),"")))</f>
        <v>9.6666666666666661</v>
      </c>
      <c r="CT15" s="13">
        <f>IF('Données projet'!$A$140&gt;35,CT14+CS15-DB14,IF(A15&lt;'Données projet'!$A$140,$CQ$205^A15,IF(A15='Données projet'!$A$140,'Données projet'!$B$140,CT14+CS15-DB14)))</f>
        <v>116</v>
      </c>
      <c r="CU15" s="18">
        <f>CT15*VLOOKUP('Données projet'!$B$13,Paramètres!$A$1:$I$89,3,0)*VLOOKUP('Données projet'!$B$13,Paramètres!$A$1:$I$89,5,0)</f>
        <v>63.335999999999999</v>
      </c>
      <c r="CV15" s="14">
        <f t="shared" si="41"/>
        <v>18.009040022946227</v>
      </c>
      <c r="CW15" s="22">
        <f t="shared" si="13"/>
        <v>141.67594470663133</v>
      </c>
      <c r="CX15" s="62">
        <f t="shared" si="14"/>
        <v>435.00927803996467</v>
      </c>
      <c r="CY15" s="62">
        <f ca="1">AVERAGE(OFFSET($CX$3,0,0,'Données projet'!$E$13+1,1))-AVERAGE(OFFSET($H$3,0,0,'Données projet'!$E$13+1,1))</f>
        <v>159.92263609041913</v>
      </c>
      <c r="CZ15" s="62">
        <f t="shared" si="42"/>
        <v>271.78119133009307</v>
      </c>
      <c r="DA15" s="16">
        <f>IF(ISNA(VLOOKUP(A15,'Données projet'!$A$139:$I$159,3,0)),0,VLOOKUP(A15,'Données projet'!$A$139:$I$159,3,0))</f>
        <v>1</v>
      </c>
      <c r="DB15" s="16">
        <f>IF(ISNA(VLOOKUP(A15,'Données projet'!$A$139:$I$159,4,0)),0,VLOOKUP(A15,'Données projet'!$A$139:$I$159,4,0))</f>
        <v>21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0.06</v>
      </c>
      <c r="DE15" s="17">
        <f>IF(ISNA(VLOOKUP(A15,'Données projet'!$A$139:$I$159,7,0)),0%,VLOOKUP(A15,'Données projet'!$A$139:$I$159,7,0))</f>
        <v>0.9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0.90902993716321057</v>
      </c>
      <c r="DH15" s="23">
        <f>EXP(-LN(2)/2)*DH14+(1-EXP(-LN(2)/2))/(LN(2)/2)*DB15*DE15*VLOOKUP('Données projet'!$B$13,Paramètres!$A$1:$I$89,3,0)*0.475*44/12</f>
        <v>11.683957971094612</v>
      </c>
      <c r="DI15" s="24">
        <f t="shared" si="15"/>
        <v>12.592987908257824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3.3076923076923075</v>
      </c>
      <c r="DO15" s="13">
        <f>IF('Données projet'!$A$166&gt;35,DO14+DN15-DW14,IF(A15&lt;'Données projet'!$A$166,$DL$205^A15,IF(A15='Données projet'!$A$166,'Données projet'!$B$166,DO14+DN15-DW14)))</f>
        <v>39.692307692307686</v>
      </c>
      <c r="DP15" s="18">
        <f>DO15*VLOOKUP('Données projet'!$B$14,Paramètres!$A$1:$I$89,3,0)*VLOOKUP('Données projet'!$B$14,Paramètres!$A$1:$I$89,5,0)</f>
        <v>19.091999999999995</v>
      </c>
      <c r="DQ15" s="14">
        <f t="shared" si="43"/>
        <v>6.24183644448207</v>
      </c>
      <c r="DR15" s="22">
        <f t="shared" si="16"/>
        <v>44.123098474139596</v>
      </c>
      <c r="DS15" s="62">
        <f t="shared" si="17"/>
        <v>337.45643180747288</v>
      </c>
      <c r="DT15" s="62">
        <f ca="1">AVERAGE(OFFSET($DS$3,0,0,'Données projet'!$E$14+1,1))-AVERAGE(OFFSET($H$3,0,0,'Données projet'!$E$14+1,1))</f>
        <v>122.60806128440754</v>
      </c>
      <c r="DU15" s="62">
        <f t="shared" si="44"/>
        <v>73.937252053142004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>
        <f>EJ15*VLOOKUP('Données projet'!$B$15,Paramètres!$A$1:$I$89,3,0)*VLOOKUP('Données projet'!$B$15,Paramètres!$A$1:$I$89,5,0)</f>
        <v>0</v>
      </c>
      <c r="EL15" s="14" t="e">
        <f t="shared" si="45"/>
        <v>#NUM!</v>
      </c>
      <c r="EM15" s="22" t="e">
        <f t="shared" si="19"/>
        <v>#NUM!</v>
      </c>
      <c r="EN15" s="62" t="e">
        <f t="shared" si="20"/>
        <v>#NUM!</v>
      </c>
      <c r="EO15" s="62">
        <f ca="1">AVERAGE(OFFSET($EN$3,0,0,'Données projet'!$E$15+1,1))-AVERAGE(OFFSET($H$3,0,0,'Données projet'!$E$15+1,1))</f>
        <v>0</v>
      </c>
      <c r="EP15" s="62">
        <f t="shared" si="46"/>
        <v>0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382.55387448074327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317.51084751837828</v>
      </c>
      <c r="AN16" s="62">
        <f ca="1">AVERAGE(OFFSET($AM$3,0,0,'Données projet'!$E$10+1,1))-AVERAGE(OFFSET($H$3,0,0,'Données projet'!$E$10+1,1))</f>
        <v>269.64423257646359</v>
      </c>
      <c r="AO16" s="62">
        <f t="shared" si="36"/>
        <v>161.0819079811821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5.7777777777777777</v>
      </c>
      <c r="BD16" s="13">
        <f>IF('Données projet'!$A$88&gt;35,BD15+BC16-BL15,IF(A16&lt;'Données projet'!$A$88,$BA$205^A16,IF(A16='Données projet'!$A$88,'Données projet'!$B$88,BD15+BC16-BL15)))</f>
        <v>28.625053075726793</v>
      </c>
      <c r="BE16" s="14">
        <f>BD16*VLOOKUP('Données projet'!$B$11,Paramètres!$A$1:$I$89,3,0)*VLOOKUP('Données projet'!$B$11,Paramètres!$A$1:$I$89,5,0)</f>
        <v>13.396524839440138</v>
      </c>
      <c r="BF16" s="14">
        <f t="shared" si="37"/>
        <v>4.5641754628070448</v>
      </c>
      <c r="BG16" s="22">
        <f t="shared" si="7"/>
        <v>31.281553026413842</v>
      </c>
      <c r="BH16" s="62">
        <f t="shared" si="8"/>
        <v>324.61488635974717</v>
      </c>
      <c r="BI16" s="62">
        <f ca="1">AVERAGE(OFFSET($BH$3,0,0,'Données projet'!$E$11+1,1))-AVERAGE(OFFSET($H$3,0,0,'Données projet'!$E$11+1,1))</f>
        <v>90.797383835887558</v>
      </c>
      <c r="BJ16" s="62">
        <f t="shared" si="38"/>
        <v>104.31413437636684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6.2222222222222223</v>
      </c>
      <c r="BY16" s="13">
        <f>IF('Données projet'!$A$114&gt;35,BY15+BX16-CG15,IF(A16&lt;'Données projet'!$A$114,$BV$205^A16,IF(A16='Données projet'!$A$114,'Données projet'!$B$114,BY15+BX16-CG15)))</f>
        <v>30.19887706404656</v>
      </c>
      <c r="BZ16" s="14">
        <f>BY16*VLOOKUP('Données projet'!$B$12,Paramètres!$A$1:$I$89,3,0)*VLOOKUP('Données projet'!$B$12,Paramètres!$A$1:$I$89,5,0)</f>
        <v>18.844099287965054</v>
      </c>
      <c r="CA16" s="14">
        <f t="shared" si="39"/>
        <v>6.1701686386769925</v>
      </c>
      <c r="CB16" s="22">
        <f t="shared" si="10"/>
        <v>43.566516638901568</v>
      </c>
      <c r="CC16" s="62">
        <f t="shared" si="11"/>
        <v>336.8998499722349</v>
      </c>
      <c r="CD16" s="62">
        <f ca="1">AVERAGE(OFFSET($CC$3,0,0,'Données projet'!$E$12+1,1))-AVERAGE(OFFSET($H$3,0,0,'Données projet'!$E$12+1,1))</f>
        <v>179.44051550872138</v>
      </c>
      <c r="CE16" s="62">
        <f t="shared" si="40"/>
        <v>272.9500808380069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24.333333333333332</v>
      </c>
      <c r="CT16" s="13">
        <f>IF('Données projet'!$A$140&gt;35,CT15+CS16-DB15,IF(A16&lt;'Données projet'!$A$140,$CQ$205^A16,IF(A16='Données projet'!$A$140,'Données projet'!$B$140,CT15+CS16-DB15)))</f>
        <v>119.33333333333334</v>
      </c>
      <c r="CU16" s="18">
        <f>CT16*VLOOKUP('Données projet'!$B$13,Paramètres!$A$1:$I$89,3,0)*VLOOKUP('Données projet'!$B$13,Paramètres!$A$1:$I$89,5,0)</f>
        <v>65.156000000000006</v>
      </c>
      <c r="CV16" s="14">
        <f t="shared" si="41"/>
        <v>18.465547360043153</v>
      </c>
      <c r="CW16" s="22">
        <f t="shared" si="13"/>
        <v>145.64086165207519</v>
      </c>
      <c r="CX16" s="62">
        <f t="shared" si="14"/>
        <v>438.97419498540853</v>
      </c>
      <c r="CY16" s="62">
        <f ca="1">AVERAGE(OFFSET($CX$3,0,0,'Données projet'!$E$13+1,1))-AVERAGE(OFFSET($H$3,0,0,'Données projet'!$E$13+1,1))</f>
        <v>159.92263609041913</v>
      </c>
      <c r="CZ16" s="62">
        <f t="shared" si="42"/>
        <v>271.78119133009307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0.88417246572767583</v>
      </c>
      <c r="DH16" s="23">
        <f>EXP(-LN(2)/2)*DH15+(1-EXP(-LN(2)/2))/(LN(2)/2)*DB16*DE16*VLOOKUP('Données projet'!$B$13,Paramètres!$A$1:$I$89,3,0)*0.475*44/12</f>
        <v>8.2618059124596162</v>
      </c>
      <c r="DI16" s="24">
        <f t="shared" si="15"/>
        <v>9.1459783781872925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3.3076923076923075</v>
      </c>
      <c r="DO16" s="13">
        <f>IF('Données projet'!$A$166&gt;35,DO15+DN16-DW15,IF(A16&lt;'Données projet'!$A$166,$DL$205^A16,IF(A16='Données projet'!$A$166,'Données projet'!$B$166,DO15+DN16-DW15)))</f>
        <v>42.999999999999993</v>
      </c>
      <c r="DP16" s="18">
        <f>DO16*VLOOKUP('Données projet'!$B$14,Paramètres!$A$1:$I$89,3,0)*VLOOKUP('Données projet'!$B$14,Paramètres!$A$1:$I$89,5,0)</f>
        <v>20.682999999999996</v>
      </c>
      <c r="DQ16" s="14">
        <f t="shared" si="43"/>
        <v>6.6992808015544352</v>
      </c>
      <c r="DR16" s="22">
        <f t="shared" si="16"/>
        <v>47.69080572937397</v>
      </c>
      <c r="DS16" s="62">
        <f t="shared" si="17"/>
        <v>341.02413906270726</v>
      </c>
      <c r="DT16" s="62">
        <f ca="1">AVERAGE(OFFSET($DS$3,0,0,'Données projet'!$E$14+1,1))-AVERAGE(OFFSET($H$3,0,0,'Données projet'!$E$14+1,1))</f>
        <v>122.60806128440754</v>
      </c>
      <c r="DU16" s="62">
        <f t="shared" si="44"/>
        <v>73.937252053142004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>
        <f>EJ16*VLOOKUP('Données projet'!$B$15,Paramètres!$A$1:$I$89,3,0)*VLOOKUP('Données projet'!$B$15,Paramètres!$A$1:$I$89,5,0)</f>
        <v>0</v>
      </c>
      <c r="EL16" s="14" t="e">
        <f t="shared" si="45"/>
        <v>#NUM!</v>
      </c>
      <c r="EM16" s="22" t="e">
        <f t="shared" si="19"/>
        <v>#NUM!</v>
      </c>
      <c r="EN16" s="62" t="e">
        <f t="shared" si="20"/>
        <v>#NUM!</v>
      </c>
      <c r="EO16" s="62">
        <f ca="1">AVERAGE(OFFSET($EN$3,0,0,'Données projet'!$E$15+1,1))-AVERAGE(OFFSET($H$3,0,0,'Données projet'!$E$15+1,1))</f>
        <v>0</v>
      </c>
      <c r="EP16" s="62">
        <f t="shared" si="46"/>
        <v>0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382.55387448074327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322.31592994573543</v>
      </c>
      <c r="AN17" s="62">
        <f ca="1">AVERAGE(OFFSET($AM$3,0,0,'Données projet'!$E$10+1,1))-AVERAGE(OFFSET($H$3,0,0,'Données projet'!$E$10+1,1))</f>
        <v>269.64423257646359</v>
      </c>
      <c r="AO17" s="62">
        <f t="shared" si="36"/>
        <v>161.0819079811821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5.7777777777777777</v>
      </c>
      <c r="BD17" s="13">
        <f>IF('Données projet'!$A$88&gt;35,BD16+BC17-BL16,IF(A17&lt;'Données projet'!$A$88,$BA$205^A17,IF(A17='Données projet'!$A$88,'Données projet'!$B$88,BD16+BC17-BL16)))</f>
        <v>37.05132200179753</v>
      </c>
      <c r="BE17" s="14">
        <f>BD17*VLOOKUP('Données projet'!$B$11,Paramètres!$A$1:$I$89,3,0)*VLOOKUP('Données projet'!$B$11,Paramètres!$A$1:$I$89,5,0)</f>
        <v>17.340018696841241</v>
      </c>
      <c r="BF17" s="14">
        <f t="shared" si="37"/>
        <v>5.7329249618343594</v>
      </c>
      <c r="BG17" s="22">
        <f t="shared" si="7"/>
        <v>40.185376872193338</v>
      </c>
      <c r="BH17" s="62">
        <f t="shared" si="8"/>
        <v>333.51871020552665</v>
      </c>
      <c r="BI17" s="62">
        <f ca="1">AVERAGE(OFFSET($BH$3,0,0,'Données projet'!$E$11+1,1))-AVERAGE(OFFSET($H$3,0,0,'Données projet'!$E$11+1,1))</f>
        <v>90.797383835887558</v>
      </c>
      <c r="BJ17" s="62">
        <f t="shared" si="38"/>
        <v>104.31413437636684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6.2222222222222223</v>
      </c>
      <c r="BY17" s="13">
        <f>IF('Données projet'!$A$114&gt;35,BY16+BX17-CG16,IF(A17&lt;'Données projet'!$A$114,$BV$205^A17,IF(A17='Données projet'!$A$114,'Données projet'!$B$114,BY16+BX17-CG16)))</f>
        <v>39.249690802844427</v>
      </c>
      <c r="BZ17" s="14">
        <f>BY17*VLOOKUP('Données projet'!$B$12,Paramètres!$A$1:$I$89,3,0)*VLOOKUP('Données projet'!$B$12,Paramètres!$A$1:$I$89,5,0)</f>
        <v>24.491807060974921</v>
      </c>
      <c r="CA17" s="14">
        <f t="shared" si="39"/>
        <v>7.7784106944068903</v>
      </c>
      <c r="CB17" s="22">
        <f t="shared" si="10"/>
        <v>56.203962590623313</v>
      </c>
      <c r="CC17" s="62">
        <f t="shared" si="11"/>
        <v>349.53729592395661</v>
      </c>
      <c r="CD17" s="62">
        <f ca="1">AVERAGE(OFFSET($CC$3,0,0,'Données projet'!$E$12+1,1))-AVERAGE(OFFSET($H$3,0,0,'Données projet'!$E$12+1,1))</f>
        <v>179.44051550872138</v>
      </c>
      <c r="CE17" s="62">
        <f t="shared" si="40"/>
        <v>272.9500808380069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24.333333333333332</v>
      </c>
      <c r="CT17" s="13">
        <f>IF('Données projet'!$A$140&gt;35,CT16+CS17-DB16,IF(A17&lt;'Données projet'!$A$140,$CQ$205^A17,IF(A17='Données projet'!$A$140,'Données projet'!$B$140,CT16+CS17-DB16)))</f>
        <v>143.66666666666669</v>
      </c>
      <c r="CU17" s="18">
        <f>CT17*VLOOKUP('Données projet'!$B$13,Paramètres!$A$1:$I$89,3,0)*VLOOKUP('Données projet'!$B$13,Paramètres!$A$1:$I$89,5,0)</f>
        <v>78.442000000000007</v>
      </c>
      <c r="CV17" s="14">
        <f t="shared" si="41"/>
        <v>21.755810093736013</v>
      </c>
      <c r="CW17" s="22">
        <f t="shared" si="13"/>
        <v>174.5111859132569</v>
      </c>
      <c r="CX17" s="62">
        <f t="shared" si="14"/>
        <v>467.84451924659021</v>
      </c>
      <c r="CY17" s="62">
        <f ca="1">AVERAGE(OFFSET($CX$3,0,0,'Données projet'!$E$13+1,1))-AVERAGE(OFFSET($H$3,0,0,'Données projet'!$E$13+1,1))</f>
        <v>159.92263609041913</v>
      </c>
      <c r="CZ17" s="62">
        <f t="shared" si="42"/>
        <v>271.78119133009307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0.85999472315574332</v>
      </c>
      <c r="DH17" s="23">
        <f>EXP(-LN(2)/2)*DH16+(1-EXP(-LN(2)/2))/(LN(2)/2)*DB17*DE17*VLOOKUP('Données projet'!$B$13,Paramètres!$A$1:$I$89,3,0)*0.475*44/12</f>
        <v>5.841978985547307</v>
      </c>
      <c r="DI17" s="24">
        <f t="shared" si="15"/>
        <v>6.7019737087030506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3.3076923076923075</v>
      </c>
      <c r="DO17" s="13">
        <f>IF('Données projet'!$A$166&gt;35,DO16+DN17-DW16,IF(A17&lt;'Données projet'!$A$166,$DL$205^A17,IF(A17='Données projet'!$A$166,'Données projet'!$B$166,DO16+DN17-DW16)))</f>
        <v>46.307692307692299</v>
      </c>
      <c r="DP17" s="18">
        <f>DO17*VLOOKUP('Données projet'!$B$14,Paramètres!$A$1:$I$89,3,0)*VLOOKUP('Données projet'!$B$14,Paramètres!$A$1:$I$89,5,0)</f>
        <v>22.273999999999997</v>
      </c>
      <c r="DQ17" s="14">
        <f t="shared" si="43"/>
        <v>7.1526433077566827</v>
      </c>
      <c r="DR17" s="22">
        <f t="shared" si="16"/>
        <v>51.251403761009549</v>
      </c>
      <c r="DS17" s="62">
        <f t="shared" si="17"/>
        <v>344.58473709434287</v>
      </c>
      <c r="DT17" s="62">
        <f ca="1">AVERAGE(OFFSET($DS$3,0,0,'Données projet'!$E$14+1,1))-AVERAGE(OFFSET($H$3,0,0,'Données projet'!$E$14+1,1))</f>
        <v>122.60806128440754</v>
      </c>
      <c r="DU17" s="62">
        <f t="shared" si="44"/>
        <v>73.937252053142004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>
        <f>EJ17*VLOOKUP('Données projet'!$B$15,Paramètres!$A$1:$I$89,3,0)*VLOOKUP('Données projet'!$B$15,Paramètres!$A$1:$I$89,5,0)</f>
        <v>0</v>
      </c>
      <c r="EL17" s="14" t="e">
        <f t="shared" si="45"/>
        <v>#NUM!</v>
      </c>
      <c r="EM17" s="22" t="e">
        <f t="shared" si="19"/>
        <v>#NUM!</v>
      </c>
      <c r="EN17" s="62" t="e">
        <f t="shared" si="20"/>
        <v>#NUM!</v>
      </c>
      <c r="EO17" s="62">
        <f ca="1">AVERAGE(OFFSET($EN$3,0,0,'Données projet'!$E$15+1,1))-AVERAGE(OFFSET($H$3,0,0,'Données projet'!$E$15+1,1))</f>
        <v>0</v>
      </c>
      <c r="EP17" s="62">
        <f t="shared" si="46"/>
        <v>0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382.55387448074327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328.07911334160997</v>
      </c>
      <c r="AN18" s="62">
        <f ca="1">AVERAGE(OFFSET($AM$3,0,0,'Données projet'!$E$10+1,1))-AVERAGE(OFFSET($H$3,0,0,'Données projet'!$E$10+1,1))</f>
        <v>269.64423257646359</v>
      </c>
      <c r="AO18" s="62">
        <f t="shared" si="36"/>
        <v>161.0819079811821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5.7777777777777777</v>
      </c>
      <c r="BD18" s="13">
        <f>IF('Données projet'!$A$88&gt;35,BD17+BC18-BL17,IF(A18&lt;'Données projet'!$A$88,$BA$205^A18,IF(A18='Données projet'!$A$88,'Données projet'!$B$88,BD17+BC18-BL17)))</f>
        <v>47.95800582270293</v>
      </c>
      <c r="BE18" s="14">
        <f>BD18*VLOOKUP('Données projet'!$B$11,Paramètres!$A$1:$I$89,3,0)*VLOOKUP('Données projet'!$B$11,Paramètres!$A$1:$I$89,5,0)</f>
        <v>22.444346725024971</v>
      </c>
      <c r="BF18" s="14">
        <f t="shared" si="37"/>
        <v>7.2009564237502186</v>
      </c>
      <c r="BG18" s="22">
        <f t="shared" si="7"/>
        <v>51.632236317450122</v>
      </c>
      <c r="BH18" s="62">
        <f t="shared" si="8"/>
        <v>344.96556965078344</v>
      </c>
      <c r="BI18" s="62">
        <f ca="1">AVERAGE(OFFSET($BH$3,0,0,'Données projet'!$E$11+1,1))-AVERAGE(OFFSET($H$3,0,0,'Données projet'!$E$11+1,1))</f>
        <v>90.797383835887558</v>
      </c>
      <c r="BJ18" s="62">
        <f t="shared" si="38"/>
        <v>104.31413437636684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6.2222222222222223</v>
      </c>
      <c r="BY18" s="13">
        <f>IF('Données projet'!$A$114&gt;35,BY17+BX18-CG17,IF(A18&lt;'Données projet'!$A$114,$BV$205^A18,IF(A18='Données projet'!$A$114,'Données projet'!$B$114,BY17+BX18-CG17)))</f>
        <v>51.013096442350388</v>
      </c>
      <c r="BZ18" s="14">
        <f>BY18*VLOOKUP('Données projet'!$B$12,Paramètres!$A$1:$I$89,3,0)*VLOOKUP('Données projet'!$B$12,Paramètres!$A$1:$I$89,5,0)</f>
        <v>31.832172180026642</v>
      </c>
      <c r="CA18" s="14">
        <f t="shared" si="39"/>
        <v>9.8058378099430179</v>
      </c>
      <c r="CB18" s="22">
        <f t="shared" si="10"/>
        <v>72.519534065863823</v>
      </c>
      <c r="CC18" s="62">
        <f t="shared" si="11"/>
        <v>365.85286739919712</v>
      </c>
      <c r="CD18" s="62">
        <f ca="1">AVERAGE(OFFSET($CC$3,0,0,'Données projet'!$E$12+1,1))-AVERAGE(OFFSET($H$3,0,0,'Données projet'!$E$12+1,1))</f>
        <v>179.44051550872138</v>
      </c>
      <c r="CE18" s="62">
        <f t="shared" si="40"/>
        <v>272.9500808380069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168</v>
      </c>
      <c r="CR18" s="13">
        <f>VLOOKUP(A18,'Données projet'!$A$139:$I$159,9,0)</f>
        <v>24.333333333333332</v>
      </c>
      <c r="CS18" s="13">
        <f t="array" ref="CS18">INDEX(CR:CR,MIN(IF(ISNUMBER(CR18:CR214),ROW(CR18:CR214),"")))</f>
        <v>24.333333333333332</v>
      </c>
      <c r="CT18" s="13">
        <f>IF('Données projet'!$A$140&gt;35,CT17+CS18-DB17,IF(A18&lt;'Données projet'!$A$140,$CQ$205^A18,IF(A18='Données projet'!$A$140,'Données projet'!$B$140,CT17+CS18-DB17)))</f>
        <v>168.00000000000003</v>
      </c>
      <c r="CU18" s="18">
        <f>CT18*VLOOKUP('Données projet'!$B$13,Paramètres!$A$1:$I$89,3,0)*VLOOKUP('Données projet'!$B$13,Paramètres!$A$1:$I$89,5,0)</f>
        <v>91.728000000000009</v>
      </c>
      <c r="CV18" s="14">
        <f t="shared" si="41"/>
        <v>24.981514582386563</v>
      </c>
      <c r="CW18" s="22">
        <f t="shared" si="13"/>
        <v>203.26907123098991</v>
      </c>
      <c r="CX18" s="62">
        <f t="shared" si="14"/>
        <v>496.60240456432325</v>
      </c>
      <c r="CY18" s="62">
        <f ca="1">AVERAGE(OFFSET($CX$3,0,0,'Données projet'!$E$13+1,1))-AVERAGE(OFFSET($H$3,0,0,'Données projet'!$E$13+1,1))</f>
        <v>159.92263609041913</v>
      </c>
      <c r="CZ18" s="62">
        <f t="shared" si="42"/>
        <v>271.78119133009307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47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0.06</v>
      </c>
      <c r="DE18" s="17">
        <f>IF(ISNA(VLOOKUP(A18,'Données projet'!$A$139:$I$159,7,0)),0%,VLOOKUP(A18,'Données projet'!$A$139:$I$159,7,0))</f>
        <v>0.9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2.8709736958768879</v>
      </c>
      <c r="DH18" s="23">
        <f>EXP(-LN(2)/2)*DH17+(1-EXP(-LN(2)/2))/(LN(2)/2)*DB18*DE18*VLOOKUP('Données projet'!$B$13,Paramètres!$A$1:$I$89,3,0)*0.475*44/12</f>
        <v>30.280713653441559</v>
      </c>
      <c r="DI18" s="24">
        <f t="shared" si="15"/>
        <v>33.151687349318451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3.3076923076923075</v>
      </c>
      <c r="DO18" s="13">
        <f>IF('Données projet'!$A$166&gt;35,DO17+DN18-DW17,IF(A18&lt;'Données projet'!$A$166,$DL$205^A18,IF(A18='Données projet'!$A$166,'Données projet'!$B$166,DO17+DN18-DW17)))</f>
        <v>49.615384615384606</v>
      </c>
      <c r="DP18" s="18">
        <f>DO18*VLOOKUP('Données projet'!$B$14,Paramètres!$A$1:$I$89,3,0)*VLOOKUP('Données projet'!$B$14,Paramètres!$A$1:$I$89,5,0)</f>
        <v>23.864999999999995</v>
      </c>
      <c r="DQ18" s="14">
        <f t="shared" si="43"/>
        <v>7.602248684169485</v>
      </c>
      <c r="DR18" s="22">
        <f t="shared" si="16"/>
        <v>54.805458124928499</v>
      </c>
      <c r="DS18" s="62">
        <f t="shared" si="17"/>
        <v>348.13879145826184</v>
      </c>
      <c r="DT18" s="62">
        <f ca="1">AVERAGE(OFFSET($DS$3,0,0,'Données projet'!$E$14+1,1))-AVERAGE(OFFSET($H$3,0,0,'Données projet'!$E$14+1,1))</f>
        <v>122.60806128440754</v>
      </c>
      <c r="DU18" s="62">
        <f t="shared" si="44"/>
        <v>73.937252053142004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>
        <f>EJ18*VLOOKUP('Données projet'!$B$15,Paramètres!$A$1:$I$89,3,0)*VLOOKUP('Données projet'!$B$15,Paramètres!$A$1:$I$89,5,0)</f>
        <v>0</v>
      </c>
      <c r="EL18" s="14" t="e">
        <f t="shared" si="45"/>
        <v>#NUM!</v>
      </c>
      <c r="EM18" s="22" t="e">
        <f t="shared" si="19"/>
        <v>#NUM!</v>
      </c>
      <c r="EN18" s="62" t="e">
        <f t="shared" si="20"/>
        <v>#NUM!</v>
      </c>
      <c r="EO18" s="62">
        <f ca="1">AVERAGE(OFFSET($EN$3,0,0,'Données projet'!$E$15+1,1))-AVERAGE(OFFSET($H$3,0,0,'Données projet'!$E$15+1,1))</f>
        <v>0</v>
      </c>
      <c r="EP18" s="62">
        <f t="shared" si="46"/>
        <v>0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382.55387448074327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334.992017673269</v>
      </c>
      <c r="AN19" s="62">
        <f ca="1">AVERAGE(OFFSET($AM$3,0,0,'Données projet'!$E$10+1,1))-AVERAGE(OFFSET($H$3,0,0,'Données projet'!$E$10+1,1))</f>
        <v>269.64423257646359</v>
      </c>
      <c r="AO19" s="62">
        <f t="shared" si="36"/>
        <v>161.0819079811821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5.7777777777777777</v>
      </c>
      <c r="BD19" s="13">
        <f>IF('Données projet'!$A$88&gt;35,BD18+BC19-BL18,IF(A19&lt;'Données projet'!$A$88,$BA$205^A19,IF(A19='Données projet'!$A$88,'Données projet'!$B$88,BD18+BC19-BL18)))</f>
        <v>62.075256650189871</v>
      </c>
      <c r="BE19" s="14">
        <f>BD19*VLOOKUP('Données projet'!$B$11,Paramètres!$A$1:$I$89,3,0)*VLOOKUP('Données projet'!$B$11,Paramètres!$A$1:$I$89,5,0)</f>
        <v>29.051220112288856</v>
      </c>
      <c r="BF19" s="14">
        <f t="shared" si="37"/>
        <v>9.0449070521512436</v>
      </c>
      <c r="BG19" s="22">
        <f t="shared" si="7"/>
        <v>66.350754811399838</v>
      </c>
      <c r="BH19" s="62">
        <f t="shared" si="8"/>
        <v>359.68408814473315</v>
      </c>
      <c r="BI19" s="62">
        <f ca="1">AVERAGE(OFFSET($BH$3,0,0,'Données projet'!$E$11+1,1))-AVERAGE(OFFSET($H$3,0,0,'Données projet'!$E$11+1,1))</f>
        <v>90.797383835887558</v>
      </c>
      <c r="BJ19" s="62">
        <f t="shared" si="38"/>
        <v>104.31413437636684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6.2222222222222223</v>
      </c>
      <c r="BY19" s="13">
        <f>IF('Données projet'!$A$114&gt;35,BY18+BX19-CG18,IF(A19&lt;'Données projet'!$A$114,$BV$205^A19,IF(A19='Données projet'!$A$114,'Données projet'!$B$114,BY18+BX19-CG18)))</f>
        <v>66.302076663695672</v>
      </c>
      <c r="BZ19" s="14">
        <f>BY19*VLOOKUP('Données projet'!$B$12,Paramètres!$A$1:$I$89,3,0)*VLOOKUP('Données projet'!$B$12,Paramètres!$A$1:$I$89,5,0)</f>
        <v>41.372495838146101</v>
      </c>
      <c r="CA19" s="14">
        <f t="shared" si="39"/>
        <v>12.361709728704412</v>
      </c>
      <c r="CB19" s="22">
        <f t="shared" si="10"/>
        <v>93.587074695597963</v>
      </c>
      <c r="CC19" s="62">
        <f t="shared" si="11"/>
        <v>386.92040802893126</v>
      </c>
      <c r="CD19" s="62">
        <f ca="1">AVERAGE(OFFSET($CC$3,0,0,'Données projet'!$E$12+1,1))-AVERAGE(OFFSET($H$3,0,0,'Données projet'!$E$12+1,1))</f>
        <v>179.44051550872138</v>
      </c>
      <c r="CE19" s="62">
        <f t="shared" si="40"/>
        <v>272.9500808380069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21.333333333333332</v>
      </c>
      <c r="CT19" s="13">
        <f>IF('Données projet'!$A$140&gt;35,CT18+CS19-DB18,IF(A19&lt;'Données projet'!$A$140,$CQ$205^A19,IF(A19='Données projet'!$A$140,'Données projet'!$B$140,CT18+CS19-DB18)))</f>
        <v>142.33333333333337</v>
      </c>
      <c r="CU19" s="18">
        <f>CT19*VLOOKUP('Données projet'!$B$13,Paramètres!$A$1:$I$89,3,0)*VLOOKUP('Données projet'!$B$13,Paramètres!$A$1:$I$89,5,0)</f>
        <v>77.714000000000027</v>
      </c>
      <c r="CV19" s="14">
        <f t="shared" si="41"/>
        <v>21.577305655991772</v>
      </c>
      <c r="CW19" s="22">
        <f t="shared" si="13"/>
        <v>172.93235735085239</v>
      </c>
      <c r="CX19" s="62">
        <f t="shared" si="14"/>
        <v>466.2656906841857</v>
      </c>
      <c r="CY19" s="62">
        <f ca="1">AVERAGE(OFFSET($CX$3,0,0,'Données projet'!$E$13+1,1))-AVERAGE(OFFSET($H$3,0,0,'Données projet'!$E$13+1,1))</f>
        <v>159.92263609041913</v>
      </c>
      <c r="CZ19" s="62">
        <f t="shared" si="42"/>
        <v>271.78119133009307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2.7924667691851894</v>
      </c>
      <c r="DH19" s="23">
        <f>EXP(-LN(2)/2)*DH18+(1-EXP(-LN(2)/2))/(LN(2)/2)*DB19*DE19*VLOOKUP('Données projet'!$B$13,Paramètres!$A$1:$I$89,3,0)*0.475*44/12</f>
        <v>21.411697963516605</v>
      </c>
      <c r="DI19" s="24">
        <f t="shared" si="15"/>
        <v>24.204164732701795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3.3076923076923075</v>
      </c>
      <c r="DO19" s="13">
        <f>IF('Données projet'!$A$166&gt;35,DO18+DN19-DW18,IF(A19&lt;'Données projet'!$A$166,$DL$205^A19,IF(A19='Données projet'!$A$166,'Données projet'!$B$166,DO18+DN19-DW18)))</f>
        <v>52.923076923076913</v>
      </c>
      <c r="DP19" s="18">
        <f>DO19*VLOOKUP('Données projet'!$B$14,Paramètres!$A$1:$I$89,3,0)*VLOOKUP('Données projet'!$B$14,Paramètres!$A$1:$I$89,5,0)</f>
        <v>25.455999999999996</v>
      </c>
      <c r="DQ19" s="14">
        <f t="shared" si="43"/>
        <v>8.048375906266692</v>
      </c>
      <c r="DR19" s="22">
        <f t="shared" si="16"/>
        <v>58.353454703414485</v>
      </c>
      <c r="DS19" s="62">
        <f t="shared" si="17"/>
        <v>351.68678803674777</v>
      </c>
      <c r="DT19" s="62">
        <f ca="1">AVERAGE(OFFSET($DS$3,0,0,'Données projet'!$E$14+1,1))-AVERAGE(OFFSET($H$3,0,0,'Données projet'!$E$14+1,1))</f>
        <v>122.60806128440754</v>
      </c>
      <c r="DU19" s="62">
        <f t="shared" si="44"/>
        <v>73.937252053142004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>
        <f>EJ19*VLOOKUP('Données projet'!$B$15,Paramètres!$A$1:$I$89,3,0)*VLOOKUP('Données projet'!$B$15,Paramètres!$A$1:$I$89,5,0)</f>
        <v>0</v>
      </c>
      <c r="EL19" s="14" t="e">
        <f t="shared" si="45"/>
        <v>#NUM!</v>
      </c>
      <c r="EM19" s="22" t="e">
        <f t="shared" si="19"/>
        <v>#NUM!</v>
      </c>
      <c r="EN19" s="62" t="e">
        <f t="shared" si="20"/>
        <v>#NUM!</v>
      </c>
      <c r="EO19" s="62">
        <f ca="1">AVERAGE(OFFSET($EN$3,0,0,'Données projet'!$E$15+1,1))-AVERAGE(OFFSET($H$3,0,0,'Données projet'!$E$15+1,1))</f>
        <v>0</v>
      </c>
      <c r="EP19" s="62">
        <f t="shared" si="46"/>
        <v>0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382.55387448074327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343.28469438075035</v>
      </c>
      <c r="AN20" s="62">
        <f ca="1">AVERAGE(OFFSET($AM$3,0,0,'Données projet'!$E$10+1,1))-AVERAGE(OFFSET($H$3,0,0,'Données projet'!$E$10+1,1))</f>
        <v>269.64423257646359</v>
      </c>
      <c r="AO20" s="62">
        <f t="shared" si="36"/>
        <v>161.0819079811821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5.7777777777777777</v>
      </c>
      <c r="BD20" s="13">
        <f>IF('Données projet'!$A$88&gt;35,BD19+BC20-BL19,IF(A20&lt;'Données projet'!$A$88,$BA$205^A20,IF(A20='Données projet'!$A$88,'Données projet'!$B$88,BD19+BC20-BL19)))</f>
        <v>80.348159229815238</v>
      </c>
      <c r="BE20" s="14">
        <f>BD20*VLOOKUP('Données projet'!$B$11,Paramètres!$A$1:$I$89,3,0)*VLOOKUP('Données projet'!$B$11,Paramètres!$A$1:$I$89,5,0)</f>
        <v>37.602938519553533</v>
      </c>
      <c r="BF20" s="14">
        <f t="shared" si="37"/>
        <v>11.361038557632181</v>
      </c>
      <c r="BG20" s="22">
        <f t="shared" si="7"/>
        <v>85.278926742765123</v>
      </c>
      <c r="BH20" s="62">
        <f t="shared" si="8"/>
        <v>378.61226007609844</v>
      </c>
      <c r="BI20" s="62">
        <f ca="1">AVERAGE(OFFSET($BH$3,0,0,'Données projet'!$E$11+1,1))-AVERAGE(OFFSET($H$3,0,0,'Données projet'!$E$11+1,1))</f>
        <v>90.797383835887558</v>
      </c>
      <c r="BJ20" s="62">
        <f t="shared" si="38"/>
        <v>104.31413437636684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6.2222222222222223</v>
      </c>
      <c r="BY20" s="13">
        <f>IF('Données projet'!$A$114&gt;35,BY19+BX20-CG19,IF(A20&lt;'Données projet'!$A$114,$BV$205^A20,IF(A20='Données projet'!$A$114,'Données projet'!$B$114,BY19+BX20-CG19)))</f>
        <v>86.1732707185582</v>
      </c>
      <c r="BZ20" s="14">
        <f>BY20*VLOOKUP('Données projet'!$B$12,Paramètres!$A$1:$I$89,3,0)*VLOOKUP('Données projet'!$B$12,Paramètres!$A$1:$I$89,5,0)</f>
        <v>53.772120928380318</v>
      </c>
      <c r="CA20" s="14">
        <f t="shared" si="39"/>
        <v>15.583764526657339</v>
      </c>
      <c r="CB20" s="22">
        <f t="shared" si="10"/>
        <v>120.79483383419057</v>
      </c>
      <c r="CC20" s="62">
        <f t="shared" si="11"/>
        <v>414.12816716752388</v>
      </c>
      <c r="CD20" s="62">
        <f ca="1">AVERAGE(OFFSET($CC$3,0,0,'Données projet'!$E$12+1,1))-AVERAGE(OFFSET($H$3,0,0,'Données projet'!$E$12+1,1))</f>
        <v>179.44051550872138</v>
      </c>
      <c r="CE20" s="62">
        <f t="shared" si="40"/>
        <v>272.9500808380069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21.333333333333332</v>
      </c>
      <c r="CT20" s="13">
        <f>IF('Données projet'!$A$140&gt;35,CT19+CS20-DB19,IF(A20&lt;'Données projet'!$A$140,$CQ$205^A20,IF(A20='Données projet'!$A$140,'Données projet'!$B$140,CT19+CS20-DB19)))</f>
        <v>163.66666666666671</v>
      </c>
      <c r="CU20" s="18">
        <f>CT20*VLOOKUP('Données projet'!$B$13,Paramètres!$A$1:$I$89,3,0)*VLOOKUP('Données projet'!$B$13,Paramètres!$A$1:$I$89,5,0)</f>
        <v>89.362000000000037</v>
      </c>
      <c r="CV20" s="14">
        <f t="shared" si="41"/>
        <v>24.411291106060958</v>
      </c>
      <c r="CW20" s="22">
        <f t="shared" si="13"/>
        <v>198.15514867638956</v>
      </c>
      <c r="CX20" s="62">
        <f t="shared" si="14"/>
        <v>491.48848200972287</v>
      </c>
      <c r="CY20" s="62">
        <f ca="1">AVERAGE(OFFSET($CX$3,0,0,'Données projet'!$E$13+1,1))-AVERAGE(OFFSET($H$3,0,0,'Données projet'!$E$13+1,1))</f>
        <v>159.92263609041913</v>
      </c>
      <c r="CZ20" s="62">
        <f t="shared" si="42"/>
        <v>271.78119133009307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2.7161066185323754</v>
      </c>
      <c r="DH20" s="23">
        <f>EXP(-LN(2)/2)*DH19+(1-EXP(-LN(2)/2))/(LN(2)/2)*DB20*DE20*VLOOKUP('Données projet'!$B$13,Paramètres!$A$1:$I$89,3,0)*0.475*44/12</f>
        <v>15.140356826720783</v>
      </c>
      <c r="DI20" s="24">
        <f t="shared" si="15"/>
        <v>17.856463445253159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3.3076923076923075</v>
      </c>
      <c r="DO20" s="13">
        <f>IF('Données projet'!$A$166&gt;35,DO19+DN20-DW19,IF(A20&lt;'Données projet'!$A$166,$DL$205^A20,IF(A20='Données projet'!$A$166,'Données projet'!$B$166,DO19+DN20-DW19)))</f>
        <v>56.230769230769219</v>
      </c>
      <c r="DP20" s="18">
        <f>DO20*VLOOKUP('Données projet'!$B$14,Paramètres!$A$1:$I$89,3,0)*VLOOKUP('Données projet'!$B$14,Paramètres!$A$1:$I$89,5,0)</f>
        <v>27.046999999999993</v>
      </c>
      <c r="DQ20" s="14">
        <f t="shared" si="43"/>
        <v>8.4912671066198193</v>
      </c>
      <c r="DR20" s="22">
        <f t="shared" si="16"/>
        <v>61.895815210696178</v>
      </c>
      <c r="DS20" s="62">
        <f t="shared" si="17"/>
        <v>355.2291485440295</v>
      </c>
      <c r="DT20" s="62">
        <f ca="1">AVERAGE(OFFSET($DS$3,0,0,'Données projet'!$E$14+1,1))-AVERAGE(OFFSET($H$3,0,0,'Données projet'!$E$14+1,1))</f>
        <v>122.60806128440754</v>
      </c>
      <c r="DU20" s="62">
        <f t="shared" si="44"/>
        <v>73.937252053142004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>
        <f>EJ20*VLOOKUP('Données projet'!$B$15,Paramètres!$A$1:$I$89,3,0)*VLOOKUP('Données projet'!$B$15,Paramètres!$A$1:$I$89,5,0)</f>
        <v>0</v>
      </c>
      <c r="EL20" s="14" t="e">
        <f t="shared" si="45"/>
        <v>#NUM!</v>
      </c>
      <c r="EM20" s="22" t="e">
        <f t="shared" si="19"/>
        <v>#NUM!</v>
      </c>
      <c r="EN20" s="62" t="e">
        <f t="shared" si="20"/>
        <v>#NUM!</v>
      </c>
      <c r="EO20" s="62">
        <f ca="1">AVERAGE(OFFSET($EN$3,0,0,'Données projet'!$E$15+1,1))-AVERAGE(OFFSET($H$3,0,0,'Données projet'!$E$15+1,1))</f>
        <v>0</v>
      </c>
      <c r="EP20" s="62">
        <f t="shared" si="46"/>
        <v>0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382.55387448074327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353.23335406291386</v>
      </c>
      <c r="AN21" s="62">
        <f ca="1">AVERAGE(OFFSET($AM$3,0,0,'Données projet'!$E$10+1,1))-AVERAGE(OFFSET($H$3,0,0,'Données projet'!$E$10+1,1))</f>
        <v>269.64423257646359</v>
      </c>
      <c r="AO21" s="62">
        <f t="shared" si="36"/>
        <v>161.0819079811821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104</v>
      </c>
      <c r="BB21" s="13">
        <f>VLOOKUP(A21,'Données projet'!$A$87:$I$107,9,0)</f>
        <v>5.7777777777777777</v>
      </c>
      <c r="BC21" s="13">
        <f t="array" ref="BC21">INDEX(BB:BB,MIN(IF(ISNUMBER(BB21:BB217),ROW(BB21:BB217),"")))</f>
        <v>5.7777777777777777</v>
      </c>
      <c r="BD21" s="13">
        <f>IF('Données projet'!$A$88&gt;35,BD20+BC21-BL20,IF(A21&lt;'Données projet'!$A$88,$BA$205^A21,IF(A21='Données projet'!$A$88,'Données projet'!$B$88,BD20+BC21-BL20)))</f>
        <v>104</v>
      </c>
      <c r="BE21" s="14">
        <f>BD21*VLOOKUP('Données projet'!$B$11,Paramètres!$A$1:$I$89,3,0)*VLOOKUP('Données projet'!$B$11,Paramètres!$A$1:$I$89,5,0)</f>
        <v>48.671999999999997</v>
      </c>
      <c r="BF21" s="14">
        <f t="shared" si="37"/>
        <v>14.270262409972053</v>
      </c>
      <c r="BG21" s="22">
        <f t="shared" si="7"/>
        <v>109.62444036403467</v>
      </c>
      <c r="BH21" s="62">
        <f t="shared" si="8"/>
        <v>402.957773697368</v>
      </c>
      <c r="BI21" s="62">
        <f ca="1">AVERAGE(OFFSET($BH$3,0,0,'Données projet'!$E$11+1,1))-AVERAGE(OFFSET($H$3,0,0,'Données projet'!$E$11+1,1))</f>
        <v>90.797383835887558</v>
      </c>
      <c r="BJ21" s="62">
        <f t="shared" si="38"/>
        <v>104.31413437636684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5.5000000000000007E-2</v>
      </c>
      <c r="BO21" s="17">
        <f>IF(ISNA(VLOOKUP(A21,'Données projet'!$A$87:$I$107,7,0)),0%,VLOOKUP(A21,'Données projet'!$A$87:$I$107,7,0))</f>
        <v>0.9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0.68022648359151827</v>
      </c>
      <c r="BR21" s="23">
        <f>EXP(-LN(2)/2)*BR20+(1-EXP(-LN(2)/2))/(LN(2)/2)*BL21*BO21*VLOOKUP('Données projet'!$B$11,Paramètres!$A$1:$I$89,3,0)*0.475*44/12</f>
        <v>9.5379248743629486</v>
      </c>
      <c r="BS21" s="24">
        <f t="shared" si="9"/>
        <v>10.218151357954467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>
        <f>VLOOKUP(A21,'Données projet'!$A$113:$I$133,2,0)</f>
        <v>112</v>
      </c>
      <c r="BW21" s="13">
        <f>VLOOKUP(A21,'Données projet'!$A$113:$I$133,9,0)</f>
        <v>6.2222222222222223</v>
      </c>
      <c r="BX21" s="13">
        <f t="array" ref="BX21">INDEX(BW:BW,MIN(IF(ISNUMBER(BW21:BW217),ROW(BW21:BW217),"")))</f>
        <v>6.2222222222222223</v>
      </c>
      <c r="BY21" s="13">
        <f>IF('Données projet'!$A$114&gt;35,BY20+BX21-CG20,IF(A21&lt;'Données projet'!$A$114,$BV$205^A21,IF(A21='Données projet'!$A$114,'Données projet'!$B$114,BY20+BX21-CG20)))</f>
        <v>112</v>
      </c>
      <c r="BZ21" s="14">
        <f>BY21*VLOOKUP('Données projet'!$B$12,Paramètres!$A$1:$I$89,3,0)*VLOOKUP('Données projet'!$B$12,Paramètres!$A$1:$I$89,5,0)</f>
        <v>69.888000000000005</v>
      </c>
      <c r="CA21" s="14">
        <f t="shared" si="39"/>
        <v>19.645641432461961</v>
      </c>
      <c r="CB21" s="22">
        <f t="shared" si="10"/>
        <v>155.93775882820458</v>
      </c>
      <c r="CC21" s="62">
        <f t="shared" si="11"/>
        <v>449.27109216153792</v>
      </c>
      <c r="CD21" s="62">
        <f ca="1">AVERAGE(OFFSET($CC$3,0,0,'Données projet'!$E$12+1,1))-AVERAGE(OFFSET($H$3,0,0,'Données projet'!$E$12+1,1))</f>
        <v>179.44051550872138</v>
      </c>
      <c r="CE21" s="62">
        <f t="shared" si="40"/>
        <v>272.9500808380069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20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0.06</v>
      </c>
      <c r="CJ21" s="17">
        <f>IF(ISNA(VLOOKUP(A21,'Données projet'!$A$113:$I$133,7,0)),0%,VLOOKUP(A21,'Données projet'!$A$113:$I$133,7,0))</f>
        <v>0.9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0.98942033976948085</v>
      </c>
      <c r="CM21" s="23">
        <f>EXP(-LN(2)/2)*CM20+(1-EXP(-LN(2)/2))/(LN(2)/2)*CG21*CJ21*VLOOKUP('Données projet'!$B$12,Paramètres!$A$1:$I$89,3,0)*0.475*44/12</f>
        <v>12.717233165817264</v>
      </c>
      <c r="CN21" s="24">
        <f t="shared" si="12"/>
        <v>13.706653505586745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>
        <f>VLOOKUP(A21,'Données projet'!$A$139:$I$159,2,0)</f>
        <v>185</v>
      </c>
      <c r="CR21" s="13">
        <f>VLOOKUP(A21,'Données projet'!$A$139:$I$159,9,0)</f>
        <v>21.333333333333332</v>
      </c>
      <c r="CS21" s="13">
        <f t="array" ref="CS21">INDEX(CR:CR,MIN(IF(ISNUMBER(CR21:CR217),ROW(CR21:CR217),"")))</f>
        <v>21.333333333333332</v>
      </c>
      <c r="CT21" s="13">
        <f>IF('Données projet'!$A$140&gt;35,CT20+CS21-DB20,IF(A21&lt;'Données projet'!$A$140,$CQ$205^A21,IF(A21='Données projet'!$A$140,'Données projet'!$B$140,CT20+CS21-DB20)))</f>
        <v>185.00000000000006</v>
      </c>
      <c r="CU21" s="18">
        <f>CT21*VLOOKUP('Données projet'!$B$13,Paramètres!$A$1:$I$89,3,0)*VLOOKUP('Données projet'!$B$13,Paramètres!$A$1:$I$89,5,0)</f>
        <v>101.01000000000002</v>
      </c>
      <c r="CV21" s="14">
        <f t="shared" si="41"/>
        <v>27.202475209169602</v>
      </c>
      <c r="CW21" s="22">
        <f t="shared" si="13"/>
        <v>223.30339432263705</v>
      </c>
      <c r="CX21" s="62">
        <f t="shared" si="14"/>
        <v>516.63672765597039</v>
      </c>
      <c r="CY21" s="62">
        <f ca="1">AVERAGE(OFFSET($CX$3,0,0,'Données projet'!$E$13+1,1))-AVERAGE(OFFSET($H$3,0,0,'Données projet'!$E$13+1,1))</f>
        <v>159.92263609041913</v>
      </c>
      <c r="CZ21" s="62">
        <f t="shared" si="42"/>
        <v>271.78119133009307</v>
      </c>
      <c r="DA21" s="16">
        <f>IF(ISNA(VLOOKUP(A21,'Données projet'!$A$139:$I$159,3,0)),0,VLOOKUP(A21,'Données projet'!$A$139:$I$159,3,0))</f>
        <v>3</v>
      </c>
      <c r="DB21" s="16">
        <f>IF(ISNA(VLOOKUP(A21,'Données projet'!$A$139:$I$159,4,0)),0,VLOOKUP(A21,'Données projet'!$A$139:$I$159,4,0))</f>
        <v>61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0.06</v>
      </c>
      <c r="DE21" s="17">
        <f>IF(ISNA(VLOOKUP(A21,'Données projet'!$A$139:$I$159,7,0)),0%,VLOOKUP(A21,'Données projet'!$A$139:$I$159,7,0))</f>
        <v>0.9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5.2823500719745713</v>
      </c>
      <c r="DH21" s="23">
        <f>EXP(-LN(2)/2)*DH20+(1-EXP(-LN(2)/2))/(LN(2)/2)*DB21*DE21*VLOOKUP('Données projet'!$B$13,Paramètres!$A$1:$I$89,3,0)*0.475*44/12</f>
        <v>44.644964993033128</v>
      </c>
      <c r="DI21" s="24">
        <f t="shared" si="15"/>
        <v>49.927315065007697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3.3076923076923075</v>
      </c>
      <c r="DO21" s="13">
        <f>IF('Données projet'!$A$166&gt;35,DO20+DN21-DW20,IF(A21&lt;'Données projet'!$A$166,$DL$205^A21,IF(A21='Données projet'!$A$166,'Données projet'!$B$166,DO20+DN21-DW20)))</f>
        <v>59.538461538461526</v>
      </c>
      <c r="DP21" s="18">
        <f>DO21*VLOOKUP('Données projet'!$B$14,Paramètres!$A$1:$I$89,3,0)*VLOOKUP('Données projet'!$B$14,Paramètres!$A$1:$I$89,5,0)</f>
        <v>28.637999999999995</v>
      </c>
      <c r="DQ21" s="14">
        <f t="shared" si="43"/>
        <v>8.9311343224101751</v>
      </c>
      <c r="DR21" s="22">
        <f t="shared" si="16"/>
        <v>65.43290894486438</v>
      </c>
      <c r="DS21" s="62">
        <f t="shared" si="17"/>
        <v>358.76624227819769</v>
      </c>
      <c r="DT21" s="62">
        <f ca="1">AVERAGE(OFFSET($DS$3,0,0,'Données projet'!$E$14+1,1))-AVERAGE(OFFSET($H$3,0,0,'Données projet'!$E$14+1,1))</f>
        <v>122.60806128440754</v>
      </c>
      <c r="DU21" s="62">
        <f t="shared" si="44"/>
        <v>73.937252053142004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>
        <f>EJ21*VLOOKUP('Données projet'!$B$15,Paramètres!$A$1:$I$89,3,0)*VLOOKUP('Données projet'!$B$15,Paramètres!$A$1:$I$89,5,0)</f>
        <v>0</v>
      </c>
      <c r="EL21" s="14" t="e">
        <f t="shared" si="45"/>
        <v>#NUM!</v>
      </c>
      <c r="EM21" s="22" t="e">
        <f t="shared" si="19"/>
        <v>#NUM!</v>
      </c>
      <c r="EN21" s="62" t="e">
        <f t="shared" si="20"/>
        <v>#NUM!</v>
      </c>
      <c r="EO21" s="62">
        <f ca="1">AVERAGE(OFFSET($EN$3,0,0,'Données projet'!$E$15+1,1))-AVERAGE(OFFSET($H$3,0,0,'Données projet'!$E$15+1,1))</f>
        <v>0</v>
      </c>
      <c r="EP21" s="62">
        <f t="shared" si="46"/>
        <v>0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382.55387448074327</v>
      </c>
      <c r="T22" s="62">
        <f t="shared" si="34"/>
        <v>476.29465646955543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365.16965167242461</v>
      </c>
      <c r="AN22" s="62">
        <f ca="1">AVERAGE(OFFSET($AM$3,0,0,'Données projet'!$E$10+1,1))-AVERAGE(OFFSET($H$3,0,0,'Données projet'!$E$10+1,1))</f>
        <v>269.64423257646359</v>
      </c>
      <c r="AO22" s="62">
        <f t="shared" si="36"/>
        <v>161.0819079811821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6.333333333333333</v>
      </c>
      <c r="BD22" s="13">
        <f>IF('Données projet'!$A$88&gt;35,BD21+BC22-BL21,IF(A22&lt;'Données projet'!$A$88,$BA$205^A22,IF(A22='Données projet'!$A$88,'Données projet'!$B$88,BD21+BC22-BL21)))</f>
        <v>90.333333333333329</v>
      </c>
      <c r="BE22" s="14">
        <f>BD22*VLOOKUP('Données projet'!$B$11,Paramètres!$A$1:$I$89,3,0)*VLOOKUP('Données projet'!$B$11,Paramètres!$A$1:$I$89,5,0)</f>
        <v>42.275999999999996</v>
      </c>
      <c r="BF22" s="14">
        <f t="shared" si="37"/>
        <v>12.599944303951819</v>
      </c>
      <c r="BG22" s="22">
        <f t="shared" si="7"/>
        <v>95.575602996049398</v>
      </c>
      <c r="BH22" s="62">
        <f t="shared" si="8"/>
        <v>388.9089363293827</v>
      </c>
      <c r="BI22" s="62">
        <f ca="1">AVERAGE(OFFSET($BH$3,0,0,'Données projet'!$E$11+1,1))-AVERAGE(OFFSET($H$3,0,0,'Données projet'!$E$11+1,1))</f>
        <v>90.797383835887558</v>
      </c>
      <c r="BJ22" s="62">
        <f t="shared" si="38"/>
        <v>104.31413437636684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0.66162565462615208</v>
      </c>
      <c r="BR22" s="23">
        <f>EXP(-LN(2)/2)*BR21+(1-EXP(-LN(2)/2))/(LN(2)/2)*BL22*BO22*VLOOKUP('Données projet'!$B$11,Paramètres!$A$1:$I$89,3,0)*0.475*44/12</f>
        <v>6.7443313571098908</v>
      </c>
      <c r="BS22" s="24">
        <f t="shared" si="9"/>
        <v>7.4059570117360431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18</v>
      </c>
      <c r="BY22" s="13">
        <f>IF('Données projet'!$A$114&gt;35,BY21+BX22-CG21,IF(A22&lt;'Données projet'!$A$114,$BV$205^A22,IF(A22='Données projet'!$A$114,'Données projet'!$B$114,BY21+BX22-CG21)))</f>
        <v>110</v>
      </c>
      <c r="BZ22" s="14">
        <f>BY22*VLOOKUP('Données projet'!$B$12,Paramètres!$A$1:$I$89,3,0)*VLOOKUP('Données projet'!$B$12,Paramètres!$A$1:$I$89,5,0)</f>
        <v>68.64</v>
      </c>
      <c r="CA22" s="14">
        <f t="shared" si="39"/>
        <v>19.335336956640202</v>
      </c>
      <c r="CB22" s="22">
        <f t="shared" si="10"/>
        <v>153.22371186614836</v>
      </c>
      <c r="CC22" s="62">
        <f t="shared" si="11"/>
        <v>446.55704519948165</v>
      </c>
      <c r="CD22" s="62">
        <f ca="1">AVERAGE(OFFSET($CC$3,0,0,'Données projet'!$E$12+1,1))-AVERAGE(OFFSET($H$3,0,0,'Données projet'!$E$12+1,1))</f>
        <v>179.44051550872138</v>
      </c>
      <c r="CE22" s="62">
        <f t="shared" si="40"/>
        <v>272.9500808380069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0.96236458854713003</v>
      </c>
      <c r="CM22" s="23">
        <f>EXP(-LN(2)/2)*CM21+(1-EXP(-LN(2)/2))/(LN(2)/2)*CG22*CJ22*VLOOKUP('Données projet'!$B$12,Paramètres!$A$1:$I$89,3,0)*0.475*44/12</f>
        <v>8.9924418094798533</v>
      </c>
      <c r="CN22" s="24">
        <f t="shared" si="12"/>
        <v>9.9548063980269834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19.166666666666668</v>
      </c>
      <c r="CT22" s="13">
        <f>IF('Données projet'!$A$140&gt;35,CT21+CS22-DB21,IF(A22&lt;'Données projet'!$A$140,$CQ$205^A22,IF(A22='Données projet'!$A$140,'Données projet'!$B$140,CT21+CS22-DB21)))</f>
        <v>143.16666666666671</v>
      </c>
      <c r="CU22" s="18">
        <f>CT22*VLOOKUP('Données projet'!$B$13,Paramètres!$A$1:$I$89,3,0)*VLOOKUP('Données projet'!$B$13,Paramètres!$A$1:$I$89,5,0)</f>
        <v>78.169000000000025</v>
      </c>
      <c r="CV22" s="14">
        <f t="shared" si="41"/>
        <v>21.688893622970639</v>
      </c>
      <c r="CW22" s="22">
        <f t="shared" si="13"/>
        <v>173.9191647266739</v>
      </c>
      <c r="CX22" s="62">
        <f t="shared" si="14"/>
        <v>467.25249806000721</v>
      </c>
      <c r="CY22" s="62">
        <f ca="1">AVERAGE(OFFSET($CX$3,0,0,'Données projet'!$E$13+1,1))-AVERAGE(OFFSET($H$3,0,0,'Données projet'!$E$13+1,1))</f>
        <v>159.92263609041913</v>
      </c>
      <c r="CZ22" s="62">
        <f t="shared" si="42"/>
        <v>271.78119133009307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5.137903931469709</v>
      </c>
      <c r="DH22" s="23">
        <f>EXP(-LN(2)/2)*DH21+(1-EXP(-LN(2)/2))/(LN(2)/2)*DB22*DE22*VLOOKUP('Données projet'!$B$13,Paramètres!$A$1:$I$89,3,0)*0.475*44/12</f>
        <v>31.568757492409752</v>
      </c>
      <c r="DI22" s="24">
        <f t="shared" si="15"/>
        <v>36.70666142387946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3.3076923076923075</v>
      </c>
      <c r="DO22" s="13">
        <f>IF('Données projet'!$A$166&gt;35,DO21+DN22-DW21,IF(A22&lt;'Données projet'!$A$166,$DL$205^A22,IF(A22='Données projet'!$A$166,'Données projet'!$B$166,DO21+DN22-DW21)))</f>
        <v>62.846153846153832</v>
      </c>
      <c r="DP22" s="18">
        <f>DO22*VLOOKUP('Données projet'!$B$14,Paramètres!$A$1:$I$89,3,0)*VLOOKUP('Données projet'!$B$14,Paramètres!$A$1:$I$89,5,0)</f>
        <v>30.228999999999996</v>
      </c>
      <c r="DQ22" s="14">
        <f t="shared" si="43"/>
        <v>9.3681647005059503</v>
      </c>
      <c r="DR22" s="22">
        <f t="shared" si="16"/>
        <v>68.965061853381187</v>
      </c>
      <c r="DS22" s="62">
        <f t="shared" si="17"/>
        <v>362.29839518671452</v>
      </c>
      <c r="DT22" s="62">
        <f ca="1">AVERAGE(OFFSET($DS$3,0,0,'Données projet'!$E$14+1,1))-AVERAGE(OFFSET($H$3,0,0,'Données projet'!$E$14+1,1))</f>
        <v>122.60806128440754</v>
      </c>
      <c r="DU22" s="62">
        <f t="shared" si="44"/>
        <v>73.937252053142004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>
        <f>EJ22*VLOOKUP('Données projet'!$B$15,Paramètres!$A$1:$I$89,3,0)*VLOOKUP('Données projet'!$B$15,Paramètres!$A$1:$I$89,5,0)</f>
        <v>0</v>
      </c>
      <c r="EL22" s="14" t="e">
        <f t="shared" si="45"/>
        <v>#NUM!</v>
      </c>
      <c r="EM22" s="22" t="e">
        <f t="shared" si="19"/>
        <v>#NUM!</v>
      </c>
      <c r="EN22" s="62" t="e">
        <f t="shared" si="20"/>
        <v>#NUM!</v>
      </c>
      <c r="EO22" s="62">
        <f ca="1">AVERAGE(OFFSET($EN$3,0,0,'Données projet'!$E$15+1,1))-AVERAGE(OFFSET($H$3,0,0,'Données projet'!$E$15+1,1))</f>
        <v>0</v>
      </c>
      <c r="EP22" s="62">
        <f t="shared" si="46"/>
        <v>0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382.55387448074327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379.49184380384929</v>
      </c>
      <c r="AN23" s="62">
        <f ca="1">AVERAGE(OFFSET($AM$3,0,0,'Données projet'!$E$10+1,1))-AVERAGE(OFFSET($H$3,0,0,'Données projet'!$E$10+1,1))</f>
        <v>269.64423257646359</v>
      </c>
      <c r="AO23" s="62">
        <f t="shared" si="36"/>
        <v>161.0819079811821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6.333333333333333</v>
      </c>
      <c r="BD23" s="13">
        <f>IF('Données projet'!$A$88&gt;35,BD22+BC23-BL22,IF(A23&lt;'Données projet'!$A$88,$BA$205^A23,IF(A23='Données projet'!$A$88,'Données projet'!$B$88,BD22+BC23-BL22)))</f>
        <v>96.666666666666657</v>
      </c>
      <c r="BE23" s="14">
        <f>BD23*VLOOKUP('Données projet'!$B$11,Paramètres!$A$1:$I$89,3,0)*VLOOKUP('Données projet'!$B$11,Paramètres!$A$1:$I$89,5,0)</f>
        <v>45.239999999999995</v>
      </c>
      <c r="BF23" s="14">
        <f t="shared" si="37"/>
        <v>13.377403626687906</v>
      </c>
      <c r="BG23" s="22">
        <f t="shared" si="7"/>
        <v>102.09197798314808</v>
      </c>
      <c r="BH23" s="62">
        <f t="shared" si="8"/>
        <v>395.42531131648138</v>
      </c>
      <c r="BI23" s="62">
        <f ca="1">AVERAGE(OFFSET($BH$3,0,0,'Données projet'!$E$11+1,1))-AVERAGE(OFFSET($H$3,0,0,'Données projet'!$E$11+1,1))</f>
        <v>90.797383835887558</v>
      </c>
      <c r="BJ23" s="62">
        <f t="shared" si="38"/>
        <v>104.31413437636684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0.64353346630701891</v>
      </c>
      <c r="BR23" s="23">
        <f>EXP(-LN(2)/2)*BR22+(1-EXP(-LN(2)/2))/(LN(2)/2)*BL23*BO23*VLOOKUP('Données projet'!$B$11,Paramètres!$A$1:$I$89,3,0)*0.475*44/12</f>
        <v>4.7689624371814752</v>
      </c>
      <c r="BS23" s="24">
        <f t="shared" si="9"/>
        <v>5.4124959034884945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18</v>
      </c>
      <c r="BY23" s="13">
        <f>IF('Données projet'!$A$114&gt;35,BY22+BX23-CG22,IF(A23&lt;'Données projet'!$A$114,$BV$205^A23,IF(A23='Données projet'!$A$114,'Données projet'!$B$114,BY22+BX23-CG22)))</f>
        <v>128</v>
      </c>
      <c r="BZ23" s="14">
        <f>BY23*VLOOKUP('Données projet'!$B$12,Paramètres!$A$1:$I$89,3,0)*VLOOKUP('Données projet'!$B$12,Paramètres!$A$1:$I$89,5,0)</f>
        <v>79.872</v>
      </c>
      <c r="CA23" s="14">
        <f t="shared" si="39"/>
        <v>22.105884547145418</v>
      </c>
      <c r="CB23" s="22">
        <f t="shared" si="10"/>
        <v>177.61148225294494</v>
      </c>
      <c r="CC23" s="62">
        <f t="shared" si="11"/>
        <v>470.94481558627825</v>
      </c>
      <c r="CD23" s="62">
        <f ca="1">AVERAGE(OFFSET($CC$3,0,0,'Données projet'!$E$12+1,1))-AVERAGE(OFFSET($H$3,0,0,'Données projet'!$E$12+1,1))</f>
        <v>179.44051550872138</v>
      </c>
      <c r="CE23" s="62">
        <f t="shared" si="40"/>
        <v>272.9500808380069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0.93604867826475457</v>
      </c>
      <c r="CM23" s="23">
        <f>EXP(-LN(2)/2)*CM22+(1-EXP(-LN(2)/2))/(LN(2)/2)*CG23*CJ23*VLOOKUP('Données projet'!$B$12,Paramètres!$A$1:$I$89,3,0)*0.475*44/12</f>
        <v>6.358616582908633</v>
      </c>
      <c r="CN23" s="24">
        <f t="shared" si="12"/>
        <v>7.2946652611733871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19.166666666666668</v>
      </c>
      <c r="CT23" s="13">
        <f>IF('Données projet'!$A$140&gt;35,CT22+CS23-DB22,IF(A23&lt;'Données projet'!$A$140,$CQ$205^A23,IF(A23='Données projet'!$A$140,'Données projet'!$B$140,CT22+CS23-DB22)))</f>
        <v>162.33333333333337</v>
      </c>
      <c r="CU23" s="18">
        <f>CT23*VLOOKUP('Données projet'!$B$13,Paramètres!$A$1:$I$89,3,0)*VLOOKUP('Données projet'!$B$13,Paramètres!$A$1:$I$89,5,0)</f>
        <v>88.634000000000015</v>
      </c>
      <c r="CV23" s="14">
        <f t="shared" si="41"/>
        <v>24.235486014796273</v>
      </c>
      <c r="CW23" s="22">
        <f t="shared" si="13"/>
        <v>196.58102147577017</v>
      </c>
      <c r="CX23" s="62">
        <f t="shared" si="14"/>
        <v>489.91435480910349</v>
      </c>
      <c r="CY23" s="62">
        <f ca="1">AVERAGE(OFFSET($CX$3,0,0,'Données projet'!$E$13+1,1))-AVERAGE(OFFSET($H$3,0,0,'Données projet'!$E$13+1,1))</f>
        <v>159.92263609041913</v>
      </c>
      <c r="CZ23" s="62">
        <f t="shared" si="42"/>
        <v>271.78119133009307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4.9974076782730448</v>
      </c>
      <c r="DH23" s="23">
        <f>EXP(-LN(2)/2)*DH22+(1-EXP(-LN(2)/2))/(LN(2)/2)*DB23*DE23*VLOOKUP('Données projet'!$B$13,Paramètres!$A$1:$I$89,3,0)*0.475*44/12</f>
        <v>22.322482496516567</v>
      </c>
      <c r="DI23" s="24">
        <f t="shared" si="15"/>
        <v>27.319890174789613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3.3076923076923075</v>
      </c>
      <c r="DO23" s="13">
        <f>IF('Données projet'!$A$166&gt;35,DO22+DN23-DW22,IF(A23&lt;'Données projet'!$A$166,$DL$205^A23,IF(A23='Données projet'!$A$166,'Données projet'!$B$166,DO22+DN23-DW22)))</f>
        <v>66.153846153846146</v>
      </c>
      <c r="DP23" s="18">
        <f>DO23*VLOOKUP('Données projet'!$B$14,Paramètres!$A$1:$I$89,3,0)*VLOOKUP('Données projet'!$B$14,Paramètres!$A$1:$I$89,5,0)</f>
        <v>31.82</v>
      </c>
      <c r="DQ23" s="14">
        <f t="shared" si="43"/>
        <v>9.8025245754728214</v>
      </c>
      <c r="DR23" s="22">
        <f t="shared" si="16"/>
        <v>72.49256363561517</v>
      </c>
      <c r="DS23" s="62">
        <f t="shared" si="17"/>
        <v>365.82589696894848</v>
      </c>
      <c r="DT23" s="62">
        <f ca="1">AVERAGE(OFFSET($DS$3,0,0,'Données projet'!$E$14+1,1))-AVERAGE(OFFSET($H$3,0,0,'Données projet'!$E$14+1,1))</f>
        <v>122.60806128440754</v>
      </c>
      <c r="DU23" s="62">
        <f t="shared" si="44"/>
        <v>73.937252053142004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>
        <f>EJ23*VLOOKUP('Données projet'!$B$15,Paramètres!$A$1:$I$89,3,0)*VLOOKUP('Données projet'!$B$15,Paramètres!$A$1:$I$89,5,0)</f>
        <v>0</v>
      </c>
      <c r="EL23" s="14" t="e">
        <f t="shared" si="45"/>
        <v>#NUM!</v>
      </c>
      <c r="EM23" s="22" t="e">
        <f t="shared" si="19"/>
        <v>#NUM!</v>
      </c>
      <c r="EN23" s="62" t="e">
        <f t="shared" si="20"/>
        <v>#NUM!</v>
      </c>
      <c r="EO23" s="62">
        <f ca="1">AVERAGE(OFFSET($EN$3,0,0,'Données projet'!$E$15+1,1))-AVERAGE(OFFSET($H$3,0,0,'Données projet'!$E$15+1,1))</f>
        <v>0</v>
      </c>
      <c r="EP23" s="62">
        <f t="shared" si="46"/>
        <v>0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382.55387448074327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390.65226125630295</v>
      </c>
      <c r="AN24" s="62">
        <f ca="1">AVERAGE(OFFSET($AM$3,0,0,'Données projet'!$E$10+1,1))-AVERAGE(OFFSET($H$3,0,0,'Données projet'!$E$10+1,1))</f>
        <v>269.64423257646359</v>
      </c>
      <c r="AO24" s="62">
        <f t="shared" si="36"/>
        <v>161.0819079811821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6.333333333333333</v>
      </c>
      <c r="BD24" s="13">
        <f>IF('Données projet'!$A$88&gt;35,BD23+BC24-BL23,IF(A24&lt;'Données projet'!$A$88,$BA$205^A24,IF(A24='Données projet'!$A$88,'Données projet'!$B$88,BD23+BC24-BL23)))</f>
        <v>102.99999999999999</v>
      </c>
      <c r="BE24" s="14">
        <f>BD24*VLOOKUP('Données projet'!$B$11,Paramètres!$A$1:$I$89,3,0)*VLOOKUP('Données projet'!$B$11,Paramètres!$A$1:$I$89,5,0)</f>
        <v>48.203999999999994</v>
      </c>
      <c r="BF24" s="14">
        <f t="shared" si="37"/>
        <v>14.148951972009977</v>
      </c>
      <c r="BG24" s="22">
        <f t="shared" si="7"/>
        <v>108.59805801791737</v>
      </c>
      <c r="BH24" s="62">
        <f t="shared" si="8"/>
        <v>401.93139135125068</v>
      </c>
      <c r="BI24" s="62">
        <f ca="1">AVERAGE(OFFSET($BH$3,0,0,'Données projet'!$E$11+1,1))-AVERAGE(OFFSET($H$3,0,0,'Données projet'!$E$11+1,1))</f>
        <v>90.797383835887558</v>
      </c>
      <c r="BJ24" s="62">
        <f t="shared" si="38"/>
        <v>104.31413437636684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0.6259360098288993</v>
      </c>
      <c r="BR24" s="23">
        <f>EXP(-LN(2)/2)*BR23+(1-EXP(-LN(2)/2))/(LN(2)/2)*BL24*BO24*VLOOKUP('Données projet'!$B$11,Paramètres!$A$1:$I$89,3,0)*0.475*44/12</f>
        <v>3.3721656785549459</v>
      </c>
      <c r="BS24" s="24">
        <f t="shared" si="9"/>
        <v>3.9981016883838452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>
        <f>VLOOKUP(A24,'Données projet'!$A$113:$I$133,2,0)</f>
        <v>146</v>
      </c>
      <c r="BW24" s="13">
        <f>VLOOKUP(A24,'Données projet'!$A$113:$I$133,9,0)</f>
        <v>18</v>
      </c>
      <c r="BX24" s="13">
        <f t="array" ref="BX24">INDEX(BW:BW,MIN(IF(ISNUMBER(BW24:BW220),ROW(BW24:BW220),"")))</f>
        <v>18</v>
      </c>
      <c r="BY24" s="13">
        <f>IF('Données projet'!$A$114&gt;35,BY23+BX24-CG23,IF(A24&lt;'Données projet'!$A$114,$BV$205^A24,IF(A24='Données projet'!$A$114,'Données projet'!$B$114,BY23+BX24-CG23)))</f>
        <v>146</v>
      </c>
      <c r="BZ24" s="14">
        <f>BY24*VLOOKUP('Données projet'!$B$12,Paramètres!$A$1:$I$89,3,0)*VLOOKUP('Données projet'!$B$12,Paramètres!$A$1:$I$89,5,0)</f>
        <v>91.103999999999999</v>
      </c>
      <c r="CA24" s="14">
        <f t="shared" si="39"/>
        <v>24.831293984707884</v>
      </c>
      <c r="CB24" s="22">
        <f t="shared" si="10"/>
        <v>201.92063702336623</v>
      </c>
      <c r="CC24" s="62">
        <f t="shared" si="11"/>
        <v>495.25397035669954</v>
      </c>
      <c r="CD24" s="62">
        <f ca="1">AVERAGE(OFFSET($CC$3,0,0,'Données projet'!$E$12+1,1))-AVERAGE(OFFSET($H$3,0,0,'Données projet'!$E$12+1,1))</f>
        <v>179.44051550872138</v>
      </c>
      <c r="CE24" s="62">
        <f t="shared" si="40"/>
        <v>272.9500808380069</v>
      </c>
      <c r="CF24" s="16">
        <f>IF(ISNA(VLOOKUP(A24,'Données projet'!$A$113:$I$133,3,0)),0,VLOOKUP(A24,'Données projet'!$A$113:$I$133,3,0))</f>
        <v>2</v>
      </c>
      <c r="CG24" s="16">
        <f>IF(ISNA(VLOOKUP(A24,'Données projet'!$A$113:$I$133,4,0)),0,VLOOKUP(A24,'Données projet'!$A$113:$I$133,4,0))</f>
        <v>26</v>
      </c>
      <c r="CH24" s="17">
        <f>IF(ISNA(VLOOKUP(A24,'Données projet'!$A$113:$I$133,5,0)),0%,VLOOKUP(A24,'Données projet'!$A$113:$I$133,5,0)*VLOOKUP('Données projet'!$B$12,Paramètres!$A$1:$I$89,7,0))</f>
        <v>0.06</v>
      </c>
      <c r="CI24" s="17">
        <f>IF(ISNA(VLOOKUP(A24,'Données projet'!$A$113:$I$133,6,0)),0%,VLOOKUP(A24,'Données projet'!$A$113:$I$133,6,0)*VLOOKUP('Données projet'!$B$12,Paramètres!$A$1:$I$89,7,0))</f>
        <v>0.24</v>
      </c>
      <c r="CJ24" s="17">
        <f>IF(ISNA(VLOOKUP(A24,'Données projet'!$A$113:$I$133,7,0)),0%,VLOOKUP(A24,'Données projet'!$A$113:$I$133,7,0))</f>
        <v>0.5</v>
      </c>
      <c r="CK24" s="23">
        <f>EXP(-LN(2)/35)*CK23+(1-EXP(-LN(2)/35))/(LN(2)/35)*CG24*CH24*VLOOKUP('Données projet'!$B$12,Paramètres!$A$1:$I$89,3,0)*0.475*44/12</f>
        <v>1.291330903503066</v>
      </c>
      <c r="CL24" s="23">
        <f>EXP(-LN(2)/25)*CL23+(1-EXP(-LN(2)/25))/(LN(2)/25)*Calculateur!CG24*Calculateur!CI24*VLOOKUP('Données projet'!$B$12,Paramètres!$A$1:$I$89,3,0)*0.475*44/12</f>
        <v>6.0554381447342447</v>
      </c>
      <c r="CM24" s="23">
        <f>EXP(-LN(2)/2)*CM23+(1-EXP(-LN(2)/2))/(LN(2)/2)*CG24*CJ24*VLOOKUP('Données projet'!$B$12,Paramètres!$A$1:$I$89,3,0)*0.475*44/12</f>
        <v>13.680889302274618</v>
      </c>
      <c r="CN24" s="24">
        <f t="shared" si="12"/>
        <v>21.027658350511928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19.166666666666668</v>
      </c>
      <c r="CT24" s="13">
        <f>IF('Données projet'!$A$140&gt;35,CT23+CS24-DB23,IF(A24&lt;'Données projet'!$A$140,$CQ$205^A24,IF(A24='Données projet'!$A$140,'Données projet'!$B$140,CT23+CS24-DB23)))</f>
        <v>181.50000000000003</v>
      </c>
      <c r="CU24" s="18">
        <f>CT24*VLOOKUP('Données projet'!$B$13,Paramètres!$A$1:$I$89,3,0)*VLOOKUP('Données projet'!$B$13,Paramètres!$A$1:$I$89,5,0)</f>
        <v>99.099000000000004</v>
      </c>
      <c r="CV24" s="14">
        <f t="shared" si="41"/>
        <v>26.747233784597075</v>
      </c>
      <c r="CW24" s="22">
        <f t="shared" si="13"/>
        <v>219.18219050817322</v>
      </c>
      <c r="CX24" s="62">
        <f t="shared" si="14"/>
        <v>512.51552384150659</v>
      </c>
      <c r="CY24" s="62">
        <f ca="1">AVERAGE(OFFSET($CX$3,0,0,'Données projet'!$E$13+1,1))-AVERAGE(OFFSET($H$3,0,0,'Données projet'!$E$13+1,1))</f>
        <v>159.92263609041913</v>
      </c>
      <c r="CZ24" s="62">
        <f t="shared" si="42"/>
        <v>271.78119133009307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4.86075330250842</v>
      </c>
      <c r="DH24" s="23">
        <f>EXP(-LN(2)/2)*DH23+(1-EXP(-LN(2)/2))/(LN(2)/2)*DB24*DE24*VLOOKUP('Données projet'!$B$13,Paramètres!$A$1:$I$89,3,0)*0.475*44/12</f>
        <v>15.784378746204879</v>
      </c>
      <c r="DI24" s="24">
        <f t="shared" si="15"/>
        <v>20.6451320487133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3.3076923076923075</v>
      </c>
      <c r="DO24" s="13">
        <f>IF('Données projet'!$A$166&gt;35,DO23+DN24-DW23,IF(A24&lt;'Données projet'!$A$166,$DL$205^A24,IF(A24='Données projet'!$A$166,'Données projet'!$B$166,DO23+DN24-DW23)))</f>
        <v>69.461538461538453</v>
      </c>
      <c r="DP24" s="18">
        <f>DO24*VLOOKUP('Données projet'!$B$14,Paramètres!$A$1:$I$89,3,0)*VLOOKUP('Données projet'!$B$14,Paramètres!$A$1:$I$89,5,0)</f>
        <v>33.411000000000001</v>
      </c>
      <c r="DQ24" s="14">
        <f t="shared" si="43"/>
        <v>10.234362708804337</v>
      </c>
      <c r="DR24" s="22">
        <f t="shared" si="16"/>
        <v>76.015673384500886</v>
      </c>
      <c r="DS24" s="62">
        <f t="shared" si="17"/>
        <v>369.34900671783419</v>
      </c>
      <c r="DT24" s="62">
        <f ca="1">AVERAGE(OFFSET($DS$3,0,0,'Données projet'!$E$14+1,1))-AVERAGE(OFFSET($H$3,0,0,'Données projet'!$E$14+1,1))</f>
        <v>122.60806128440754</v>
      </c>
      <c r="DU24" s="62">
        <f t="shared" si="44"/>
        <v>73.937252053142004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>
        <f>EJ24*VLOOKUP('Données projet'!$B$15,Paramètres!$A$1:$I$89,3,0)*VLOOKUP('Données projet'!$B$15,Paramètres!$A$1:$I$89,5,0)</f>
        <v>0</v>
      </c>
      <c r="EL24" s="14" t="e">
        <f t="shared" si="45"/>
        <v>#NUM!</v>
      </c>
      <c r="EM24" s="22" t="e">
        <f t="shared" si="19"/>
        <v>#NUM!</v>
      </c>
      <c r="EN24" s="62" t="e">
        <f t="shared" si="20"/>
        <v>#NUM!</v>
      </c>
      <c r="EO24" s="62">
        <f ca="1">AVERAGE(OFFSET($EN$3,0,0,'Données projet'!$E$15+1,1))-AVERAGE(OFFSET($H$3,0,0,'Données projet'!$E$15+1,1))</f>
        <v>0</v>
      </c>
      <c r="EP24" s="62">
        <f t="shared" si="46"/>
        <v>0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382.55387448074327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401.7808352462539</v>
      </c>
      <c r="AN25" s="62">
        <f ca="1">AVERAGE(OFFSET($AM$3,0,0,'Données projet'!$E$10+1,1))-AVERAGE(OFFSET($H$3,0,0,'Données projet'!$E$10+1,1))</f>
        <v>269.64423257646359</v>
      </c>
      <c r="AO25" s="62">
        <f t="shared" si="36"/>
        <v>161.0819079811821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6.333333333333333</v>
      </c>
      <c r="BD25" s="13">
        <f>IF('Données projet'!$A$88&gt;35,BD24+BC25-BL24,IF(A25&lt;'Données projet'!$A$88,$BA$205^A25,IF(A25='Données projet'!$A$88,'Données projet'!$B$88,BD24+BC25-BL24)))</f>
        <v>109.33333333333331</v>
      </c>
      <c r="BE25" s="14">
        <f>BD25*VLOOKUP('Données projet'!$B$11,Paramètres!$A$1:$I$89,3,0)*VLOOKUP('Données projet'!$B$11,Paramètres!$A$1:$I$89,5,0)</f>
        <v>51.167999999999992</v>
      </c>
      <c r="BF25" s="14">
        <f t="shared" si="37"/>
        <v>14.914994181638637</v>
      </c>
      <c r="BG25" s="22">
        <f t="shared" si="7"/>
        <v>115.09454819968727</v>
      </c>
      <c r="BH25" s="62">
        <f t="shared" si="8"/>
        <v>408.42788153302058</v>
      </c>
      <c r="BI25" s="62">
        <f ca="1">AVERAGE(OFFSET($BH$3,0,0,'Données projet'!$E$11+1,1))-AVERAGE(OFFSET($H$3,0,0,'Données projet'!$E$11+1,1))</f>
        <v>90.797383835887558</v>
      </c>
      <c r="BJ25" s="62">
        <f t="shared" si="38"/>
        <v>104.31413437636684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0.6088197567235839</v>
      </c>
      <c r="BR25" s="23">
        <f>EXP(-LN(2)/2)*BR24+(1-EXP(-LN(2)/2))/(LN(2)/2)*BL25*BO25*VLOOKUP('Données projet'!$B$11,Paramètres!$A$1:$I$89,3,0)*0.475*44/12</f>
        <v>2.384481218590738</v>
      </c>
      <c r="BS25" s="24">
        <f t="shared" si="9"/>
        <v>2.9933009753143218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</v>
      </c>
      <c r="BY25" s="13">
        <f>IF('Données projet'!$A$114&gt;35,BY24+BX25-CG24,IF(A25&lt;'Données projet'!$A$114,$BV$205^A25,IF(A25='Données projet'!$A$114,'Données projet'!$B$114,BY24+BX25-CG24)))</f>
        <v>136</v>
      </c>
      <c r="BZ25" s="14">
        <f>BY25*VLOOKUP('Données projet'!$B$12,Paramètres!$A$1:$I$89,3,0)*VLOOKUP('Données projet'!$B$12,Paramètres!$A$1:$I$89,5,0)</f>
        <v>84.864000000000004</v>
      </c>
      <c r="CA25" s="14">
        <f t="shared" si="39"/>
        <v>23.322341364766192</v>
      </c>
      <c r="CB25" s="22">
        <f t="shared" si="10"/>
        <v>188.42454454363443</v>
      </c>
      <c r="CC25" s="62">
        <f t="shared" si="11"/>
        <v>481.75787787696777</v>
      </c>
      <c r="CD25" s="62">
        <f ca="1">AVERAGE(OFFSET($CC$3,0,0,'Données projet'!$E$12+1,1))-AVERAGE(OFFSET($H$3,0,0,'Données projet'!$E$12+1,1))</f>
        <v>179.44051550872138</v>
      </c>
      <c r="CE25" s="62">
        <f t="shared" si="40"/>
        <v>272.9500808380069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1.2660086921194496</v>
      </c>
      <c r="CL25" s="23">
        <f>EXP(-LN(2)/25)*CL24+(1-EXP(-LN(2)/25))/(LN(2)/25)*Calculateur!CG25*Calculateur!CI25*VLOOKUP('Données projet'!$B$12,Paramètres!$A$1:$I$89,3,0)*0.475*44/12</f>
        <v>5.8898518702248346</v>
      </c>
      <c r="CM25" s="23">
        <f>EXP(-LN(2)/2)*CM24+(1-EXP(-LN(2)/2))/(LN(2)/2)*CG25*CJ25*VLOOKUP('Données projet'!$B$12,Paramètres!$A$1:$I$89,3,0)*0.475*44/12</f>
        <v>9.6738495983008779</v>
      </c>
      <c r="CN25" s="24">
        <f t="shared" si="12"/>
        <v>16.829710160645163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19.166666666666668</v>
      </c>
      <c r="CT25" s="13">
        <f>IF('Données projet'!$A$140&gt;35,CT24+CS25-DB24,IF(A25&lt;'Données projet'!$A$140,$CQ$205^A25,IF(A25='Données projet'!$A$140,'Données projet'!$B$140,CT24+CS25-DB24)))</f>
        <v>200.66666666666669</v>
      </c>
      <c r="CU25" s="18">
        <f>CT25*VLOOKUP('Données projet'!$B$13,Paramètres!$A$1:$I$89,3,0)*VLOOKUP('Données projet'!$B$13,Paramètres!$A$1:$I$89,5,0)</f>
        <v>109.56400000000001</v>
      </c>
      <c r="CV25" s="14">
        <f t="shared" si="41"/>
        <v>29.228235839881371</v>
      </c>
      <c r="CW25" s="22">
        <f t="shared" si="13"/>
        <v>241.72981075446003</v>
      </c>
      <c r="CX25" s="62">
        <f t="shared" si="14"/>
        <v>535.06314408779338</v>
      </c>
      <c r="CY25" s="62">
        <f ca="1">AVERAGE(OFFSET($CX$3,0,0,'Données projet'!$E$13+1,1))-AVERAGE(OFFSET($H$3,0,0,'Données projet'!$E$13+1,1))</f>
        <v>159.92263609041913</v>
      </c>
      <c r="CZ25" s="62">
        <f t="shared" si="42"/>
        <v>271.78119133009307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4.72783574783542</v>
      </c>
      <c r="DH25" s="23">
        <f>EXP(-LN(2)/2)*DH24+(1-EXP(-LN(2)/2))/(LN(2)/2)*DB25*DE25*VLOOKUP('Données projet'!$B$13,Paramètres!$A$1:$I$89,3,0)*0.475*44/12</f>
        <v>11.161241248258285</v>
      </c>
      <c r="DI25" s="24">
        <f t="shared" si="15"/>
        <v>15.889076996093706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3.3076923076923075</v>
      </c>
      <c r="DO25" s="13">
        <f>IF('Données projet'!$A$166&gt;35,DO24+DN25-DW24,IF(A25&lt;'Données projet'!$A$166,$DL$205^A25,IF(A25='Données projet'!$A$166,'Données projet'!$B$166,DO24+DN25-DW24)))</f>
        <v>72.769230769230759</v>
      </c>
      <c r="DP25" s="18">
        <f>DO25*VLOOKUP('Données projet'!$B$14,Paramètres!$A$1:$I$89,3,0)*VLOOKUP('Données projet'!$B$14,Paramètres!$A$1:$I$89,5,0)</f>
        <v>35.001999999999995</v>
      </c>
      <c r="DQ25" s="14">
        <f t="shared" si="43"/>
        <v>10.663812893674448</v>
      </c>
      <c r="DR25" s="22">
        <f t="shared" si="16"/>
        <v>79.534624123149641</v>
      </c>
      <c r="DS25" s="62">
        <f t="shared" si="17"/>
        <v>372.86795745648294</v>
      </c>
      <c r="DT25" s="62">
        <f ca="1">AVERAGE(OFFSET($DS$3,0,0,'Données projet'!$E$14+1,1))-AVERAGE(OFFSET($H$3,0,0,'Données projet'!$E$14+1,1))</f>
        <v>122.60806128440754</v>
      </c>
      <c r="DU25" s="62">
        <f t="shared" si="44"/>
        <v>73.937252053142004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>
        <f>EJ25*VLOOKUP('Données projet'!$B$15,Paramètres!$A$1:$I$89,3,0)*VLOOKUP('Données projet'!$B$15,Paramètres!$A$1:$I$89,5,0)</f>
        <v>0</v>
      </c>
      <c r="EL25" s="14" t="e">
        <f t="shared" si="45"/>
        <v>#NUM!</v>
      </c>
      <c r="EM25" s="22" t="e">
        <f t="shared" si="19"/>
        <v>#NUM!</v>
      </c>
      <c r="EN25" s="62" t="e">
        <f t="shared" si="20"/>
        <v>#NUM!</v>
      </c>
      <c r="EO25" s="62">
        <f ca="1">AVERAGE(OFFSET($EN$3,0,0,'Données projet'!$E$15+1,1))-AVERAGE(OFFSET($H$3,0,0,'Données projet'!$E$15+1,1))</f>
        <v>0</v>
      </c>
      <c r="EP25" s="62">
        <f t="shared" si="46"/>
        <v>0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382.55387448074327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412.88129961889177</v>
      </c>
      <c r="AN26" s="62">
        <f ca="1">AVERAGE(OFFSET($AM$3,0,0,'Données projet'!$E$10+1,1))-AVERAGE(OFFSET($H$3,0,0,'Données projet'!$E$10+1,1))</f>
        <v>269.64423257646359</v>
      </c>
      <c r="AO26" s="62">
        <f t="shared" si="36"/>
        <v>161.0819079811821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6.333333333333333</v>
      </c>
      <c r="BD26" s="13">
        <f>IF('Données projet'!$A$88&gt;35,BD25+BC26-BL25,IF(A26&lt;'Données projet'!$A$88,$BA$205^A26,IF(A26='Données projet'!$A$88,'Données projet'!$B$88,BD25+BC26-BL25)))</f>
        <v>115.66666666666664</v>
      </c>
      <c r="BE26" s="14">
        <f>BD26*VLOOKUP('Données projet'!$B$11,Paramètres!$A$1:$I$89,3,0)*VLOOKUP('Données projet'!$B$11,Paramètres!$A$1:$I$89,5,0)</f>
        <v>54.131999999999991</v>
      </c>
      <c r="BF26" s="14">
        <f t="shared" si="37"/>
        <v>15.675885545564064</v>
      </c>
      <c r="BG26" s="22">
        <f t="shared" si="7"/>
        <v>121.58206732519072</v>
      </c>
      <c r="BH26" s="62">
        <f t="shared" si="8"/>
        <v>414.91540065852405</v>
      </c>
      <c r="BI26" s="62">
        <f ca="1">AVERAGE(OFFSET($BH$3,0,0,'Données projet'!$E$11+1,1))-AVERAGE(OFFSET($H$3,0,0,'Données projet'!$E$11+1,1))</f>
        <v>90.797383835887558</v>
      </c>
      <c r="BJ26" s="62">
        <f t="shared" si="38"/>
        <v>104.31413437636684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0.59217154845953801</v>
      </c>
      <c r="BR26" s="23">
        <f>EXP(-LN(2)/2)*BR25+(1-EXP(-LN(2)/2))/(LN(2)/2)*BL26*BO26*VLOOKUP('Données projet'!$B$11,Paramètres!$A$1:$I$89,3,0)*0.475*44/12</f>
        <v>1.6860828392774734</v>
      </c>
      <c r="BS26" s="24">
        <f t="shared" si="9"/>
        <v>2.2782543877370114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</v>
      </c>
      <c r="BY26" s="13">
        <f>IF('Données projet'!$A$114&gt;35,BY25+BX26-CG25,IF(A26&lt;'Données projet'!$A$114,$BV$205^A26,IF(A26='Données projet'!$A$114,'Données projet'!$B$114,BY25+BX26-CG25)))</f>
        <v>152</v>
      </c>
      <c r="BZ26" s="14">
        <f>BY26*VLOOKUP('Données projet'!$B$12,Paramètres!$A$1:$I$89,3,0)*VLOOKUP('Données projet'!$B$12,Paramètres!$A$1:$I$89,5,0)</f>
        <v>94.847999999999999</v>
      </c>
      <c r="CA26" s="14">
        <f t="shared" si="39"/>
        <v>25.730851751939202</v>
      </c>
      <c r="CB26" s="22">
        <f t="shared" si="10"/>
        <v>210.0081668012941</v>
      </c>
      <c r="CC26" s="62">
        <f t="shared" si="11"/>
        <v>503.34150013462738</v>
      </c>
      <c r="CD26" s="62">
        <f ca="1">AVERAGE(OFFSET($CC$3,0,0,'Données projet'!$E$12+1,1))-AVERAGE(OFFSET($H$3,0,0,'Données projet'!$E$12+1,1))</f>
        <v>179.44051550872138</v>
      </c>
      <c r="CE26" s="62">
        <f t="shared" si="40"/>
        <v>272.9500808380069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1.2411830338560419</v>
      </c>
      <c r="CL26" s="23">
        <f>EXP(-LN(2)/25)*CL25+(1-EXP(-LN(2)/25))/(LN(2)/25)*Calculateur!CG26*Calculateur!CI26*VLOOKUP('Données projet'!$B$12,Paramètres!$A$1:$I$89,3,0)*0.475*44/12</f>
        <v>5.7287935610996881</v>
      </c>
      <c r="CM26" s="23">
        <f>EXP(-LN(2)/2)*CM25+(1-EXP(-LN(2)/2))/(LN(2)/2)*CG26*CJ26*VLOOKUP('Données projet'!$B$12,Paramètres!$A$1:$I$89,3,0)*0.475*44/12</f>
        <v>6.84044465113731</v>
      </c>
      <c r="CN26" s="24">
        <f t="shared" si="12"/>
        <v>13.810421246093039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19.166666666666668</v>
      </c>
      <c r="CT26" s="13">
        <f>IF('Données projet'!$A$140&gt;35,CT25+CS26-DB25,IF(A26&lt;'Données projet'!$A$140,$CQ$205^A26,IF(A26='Données projet'!$A$140,'Données projet'!$B$140,CT25+CS26-DB25)))</f>
        <v>219.83333333333334</v>
      </c>
      <c r="CU26" s="18">
        <f>CT26*VLOOKUP('Données projet'!$B$13,Paramètres!$A$1:$I$89,3,0)*VLOOKUP('Données projet'!$B$13,Paramètres!$A$1:$I$89,5,0)</f>
        <v>120.029</v>
      </c>
      <c r="CV26" s="14">
        <f t="shared" si="41"/>
        <v>31.68176297276506</v>
      </c>
      <c r="CW26" s="22">
        <f t="shared" si="13"/>
        <v>264.22957884423249</v>
      </c>
      <c r="CX26" s="62">
        <f t="shared" si="14"/>
        <v>557.56291217756575</v>
      </c>
      <c r="CY26" s="62">
        <f ca="1">AVERAGE(OFFSET($CX$3,0,0,'Données projet'!$E$13+1,1))-AVERAGE(OFFSET($H$3,0,0,'Données projet'!$E$13+1,1))</f>
        <v>159.92263609041913</v>
      </c>
      <c r="CZ26" s="62">
        <f t="shared" si="42"/>
        <v>271.78119133009307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4.5985528306847838</v>
      </c>
      <c r="DH26" s="23">
        <f>EXP(-LN(2)/2)*DH25+(1-EXP(-LN(2)/2))/(LN(2)/2)*DB26*DE26*VLOOKUP('Données projet'!$B$13,Paramètres!$A$1:$I$89,3,0)*0.475*44/12</f>
        <v>7.8921893731024406</v>
      </c>
      <c r="DI26" s="24">
        <f t="shared" si="15"/>
        <v>12.490742203787224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3.3076923076923075</v>
      </c>
      <c r="DO26" s="13">
        <f>IF('Données projet'!$A$166&gt;35,DO25+DN26-DW25,IF(A26&lt;'Données projet'!$A$166,$DL$205^A26,IF(A26='Données projet'!$A$166,'Données projet'!$B$166,DO25+DN26-DW25)))</f>
        <v>76.076923076923066</v>
      </c>
      <c r="DP26" s="18">
        <f>DO26*VLOOKUP('Données projet'!$B$14,Paramètres!$A$1:$I$89,3,0)*VLOOKUP('Données projet'!$B$14,Paramètres!$A$1:$I$89,5,0)</f>
        <v>36.592999999999996</v>
      </c>
      <c r="DQ26" s="14">
        <f t="shared" si="43"/>
        <v>11.090996072711363</v>
      </c>
      <c r="DR26" s="22">
        <f t="shared" si="16"/>
        <v>83.04962649330561</v>
      </c>
      <c r="DS26" s="62">
        <f t="shared" si="17"/>
        <v>376.38295982663891</v>
      </c>
      <c r="DT26" s="62">
        <f ca="1">AVERAGE(OFFSET($DS$3,0,0,'Données projet'!$E$14+1,1))-AVERAGE(OFFSET($H$3,0,0,'Données projet'!$E$14+1,1))</f>
        <v>122.60806128440754</v>
      </c>
      <c r="DU26" s="62">
        <f t="shared" si="44"/>
        <v>73.937252053142004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>
        <f>EJ26*VLOOKUP('Données projet'!$B$15,Paramètres!$A$1:$I$89,3,0)*VLOOKUP('Données projet'!$B$15,Paramètres!$A$1:$I$89,5,0)</f>
        <v>0</v>
      </c>
      <c r="EL26" s="14" t="e">
        <f t="shared" si="45"/>
        <v>#NUM!</v>
      </c>
      <c r="EM26" s="22" t="e">
        <f t="shared" si="19"/>
        <v>#NUM!</v>
      </c>
      <c r="EN26" s="62" t="e">
        <f t="shared" si="20"/>
        <v>#NUM!</v>
      </c>
      <c r="EO26" s="62">
        <f ca="1">AVERAGE(OFFSET($EN$3,0,0,'Données projet'!$E$15+1,1))-AVERAGE(OFFSET($H$3,0,0,'Données projet'!$E$15+1,1))</f>
        <v>0</v>
      </c>
      <c r="EP26" s="62">
        <f t="shared" si="46"/>
        <v>0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382.55387448074327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423.95663605630523</v>
      </c>
      <c r="AN27" s="62">
        <f ca="1">AVERAGE(OFFSET($AM$3,0,0,'Données projet'!$E$10+1,1))-AVERAGE(OFFSET($H$3,0,0,'Données projet'!$E$10+1,1))</f>
        <v>269.64423257646359</v>
      </c>
      <c r="AO27" s="62">
        <f t="shared" si="36"/>
        <v>161.0819079811821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6.333333333333333</v>
      </c>
      <c r="BD27" s="13">
        <f>IF('Données projet'!$A$88&gt;35,BD26+BC27-BL26,IF(A27&lt;'Données projet'!$A$88,$BA$205^A27,IF(A27='Données projet'!$A$88,'Données projet'!$B$88,BD26+BC27-BL26)))</f>
        <v>121.99999999999997</v>
      </c>
      <c r="BE27" s="14">
        <f>BD27*VLOOKUP('Données projet'!$B$11,Paramètres!$A$1:$I$89,3,0)*VLOOKUP('Données projet'!$B$11,Paramètres!$A$1:$I$89,5,0)</f>
        <v>57.095999999999982</v>
      </c>
      <c r="BF27" s="14">
        <f t="shared" si="37"/>
        <v>16.431940248498016</v>
      </c>
      <c r="BG27" s="22">
        <f t="shared" si="7"/>
        <v>128.06116259946734</v>
      </c>
      <c r="BH27" s="62">
        <f t="shared" si="8"/>
        <v>421.39449593280062</v>
      </c>
      <c r="BI27" s="62">
        <f ca="1">AVERAGE(OFFSET($BH$3,0,0,'Données projet'!$E$11+1,1))-AVERAGE(OFFSET($H$3,0,0,'Données projet'!$E$11+1,1))</f>
        <v>90.797383835887558</v>
      </c>
      <c r="BJ27" s="62">
        <f t="shared" si="38"/>
        <v>104.31413437636684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0.57597858632596366</v>
      </c>
      <c r="BR27" s="23">
        <f>EXP(-LN(2)/2)*BR26+(1-EXP(-LN(2)/2))/(LN(2)/2)*BL27*BO27*VLOOKUP('Données projet'!$B$11,Paramètres!$A$1:$I$89,3,0)*0.475*44/12</f>
        <v>1.1922406092953692</v>
      </c>
      <c r="BS27" s="24">
        <f t="shared" si="9"/>
        <v>1.7682191956213329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>
        <f>VLOOKUP(A27,'Données projet'!$A$113:$I$133,2,0)</f>
        <v>168</v>
      </c>
      <c r="BW27" s="13">
        <f>VLOOKUP(A27,'Données projet'!$A$113:$I$133,9,0)</f>
        <v>16</v>
      </c>
      <c r="BX27" s="13">
        <f t="array" ref="BX27">INDEX(BW:BW,MIN(IF(ISNUMBER(BW27:BW223),ROW(BW27:BW223),"")))</f>
        <v>16</v>
      </c>
      <c r="BY27" s="13">
        <f>IF('Données projet'!$A$114&gt;35,BY26+BX27-CG26,IF(A27&lt;'Données projet'!$A$114,$BV$205^A27,IF(A27='Données projet'!$A$114,'Données projet'!$B$114,BY26+BX27-CG26)))</f>
        <v>168</v>
      </c>
      <c r="BZ27" s="14">
        <f>BY27*VLOOKUP('Données projet'!$B$12,Paramètres!$A$1:$I$89,3,0)*VLOOKUP('Données projet'!$B$12,Paramètres!$A$1:$I$89,5,0)</f>
        <v>104.83200000000001</v>
      </c>
      <c r="CA27" s="14">
        <f t="shared" si="39"/>
        <v>28.109974371137717</v>
      </c>
      <c r="CB27" s="22">
        <f t="shared" si="10"/>
        <v>231.54060536306486</v>
      </c>
      <c r="CC27" s="62">
        <f t="shared" si="11"/>
        <v>524.87393869639823</v>
      </c>
      <c r="CD27" s="62">
        <f ca="1">AVERAGE(OFFSET($CC$3,0,0,'Données projet'!$E$12+1,1))-AVERAGE(OFFSET($H$3,0,0,'Données projet'!$E$12+1,1))</f>
        <v>179.44051550872138</v>
      </c>
      <c r="CE27" s="62">
        <f t="shared" si="40"/>
        <v>272.9500808380069</v>
      </c>
      <c r="CF27" s="16">
        <f>IF(ISNA(VLOOKUP(A27,'Données projet'!$A$113:$I$133,3,0)),0,VLOOKUP(A27,'Données projet'!$A$113:$I$133,3,0))</f>
        <v>3</v>
      </c>
      <c r="CG27" s="16">
        <f>IF(ISNA(VLOOKUP(A27,'Données projet'!$A$113:$I$133,4,0)),0,VLOOKUP(A27,'Données projet'!$A$113:$I$133,4,0))</f>
        <v>29</v>
      </c>
      <c r="CH27" s="17">
        <f>IF(ISNA(VLOOKUP(A27,'Données projet'!$A$113:$I$133,5,0)),0%,VLOOKUP(A27,'Données projet'!$A$113:$I$133,5,0)*VLOOKUP('Données projet'!$B$12,Paramètres!$A$1:$I$89,7,0))</f>
        <v>0.06</v>
      </c>
      <c r="CI27" s="17">
        <f>IF(ISNA(VLOOKUP(A27,'Données projet'!$A$113:$I$133,6,0)),0%,VLOOKUP(A27,'Données projet'!$A$113:$I$133,6,0)*VLOOKUP('Données projet'!$B$12,Paramètres!$A$1:$I$89,7,0))</f>
        <v>0.24</v>
      </c>
      <c r="CJ27" s="17">
        <f>IF(ISNA(VLOOKUP(A27,'Données projet'!$A$113:$I$133,7,0)),0%,VLOOKUP(A27,'Données projet'!$A$113:$I$133,7,0))</f>
        <v>0.5</v>
      </c>
      <c r="CK27" s="23">
        <f>EXP(-LN(2)/35)*CK26+(1-EXP(-LN(2)/35))/(LN(2)/35)*CG27*CH27*VLOOKUP('Données projet'!$B$12,Paramètres!$A$1:$I$89,3,0)*0.475*44/12</f>
        <v>2.6571748147470582</v>
      </c>
      <c r="CL27" s="23">
        <f>EXP(-LN(2)/25)*CL26+(1-EXP(-LN(2)/25))/(LN(2)/25)*Calculateur!CG27*Calculateur!CI27*VLOOKUP('Données projet'!$B$12,Paramètres!$A$1:$I$89,3,0)*0.475*44/12</f>
        <v>11.310777370570246</v>
      </c>
      <c r="CM27" s="23">
        <f>EXP(-LN(2)/2)*CM26+(1-EXP(-LN(2)/2))/(LN(2)/2)*CG27*CJ27*VLOOKUP('Données projet'!$B$12,Paramètres!$A$1:$I$89,3,0)*0.475*44/12</f>
        <v>15.081362627169904</v>
      </c>
      <c r="CN27" s="24">
        <f t="shared" si="12"/>
        <v>29.049314812487211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>
        <f>VLOOKUP(A27,'Données projet'!$A$139:$I$159,2,0)</f>
        <v>239</v>
      </c>
      <c r="CR27" s="13">
        <f>VLOOKUP(A27,'Données projet'!$A$139:$I$159,9,0)</f>
        <v>19.166666666666668</v>
      </c>
      <c r="CS27" s="13">
        <f t="array" ref="CS27">INDEX(CR:CR,MIN(IF(ISNUMBER(CR27:CR223),ROW(CR27:CR223),"")))</f>
        <v>19.166666666666668</v>
      </c>
      <c r="CT27" s="13">
        <f>IF('Données projet'!$A$140&gt;35,CT26+CS27-DB26,IF(A27&lt;'Données projet'!$A$140,$CQ$205^A27,IF(A27='Données projet'!$A$140,'Données projet'!$B$140,CT26+CS27-DB26)))</f>
        <v>239</v>
      </c>
      <c r="CU27" s="18">
        <f>CT27*VLOOKUP('Données projet'!$B$13,Paramètres!$A$1:$I$89,3,0)*VLOOKUP('Données projet'!$B$13,Paramètres!$A$1:$I$89,5,0)</f>
        <v>130.494</v>
      </c>
      <c r="CV27" s="14">
        <f t="shared" si="41"/>
        <v>34.110483018610772</v>
      </c>
      <c r="CW27" s="22">
        <f t="shared" si="13"/>
        <v>286.68614125741374</v>
      </c>
      <c r="CX27" s="62">
        <f t="shared" si="14"/>
        <v>580.019474590747</v>
      </c>
      <c r="CY27" s="62">
        <f ca="1">AVERAGE(OFFSET($CX$3,0,0,'Données projet'!$E$13+1,1))-AVERAGE(OFFSET($H$3,0,0,'Données projet'!$E$13+1,1))</f>
        <v>159.92263609041913</v>
      </c>
      <c r="CZ27" s="62">
        <f t="shared" si="42"/>
        <v>271.78119133009307</v>
      </c>
      <c r="DA27" s="16">
        <f>IF(ISNA(VLOOKUP(A27,'Données projet'!$A$139:$I$159,3,0)),0,VLOOKUP(A27,'Données projet'!$A$139:$I$159,3,0))</f>
        <v>4</v>
      </c>
      <c r="DB27" s="16">
        <f>IF(ISNA(VLOOKUP(A27,'Données projet'!$A$139:$I$159,4,0)),0,VLOOKUP(A27,'Données projet'!$A$139:$I$159,4,0))</f>
        <v>84</v>
      </c>
      <c r="DC27" s="17">
        <f>IF(ISNA(VLOOKUP(A27,'Données projet'!$A$139:$I$159,5,0)),0%,VLOOKUP(A27,'Données projet'!$A$139:$I$159,5,0)*VLOOKUP('Données projet'!$B$13,Paramètres!$A$1:$I$89,7,0))</f>
        <v>0.06</v>
      </c>
      <c r="DD27" s="17">
        <f>IF(ISNA(VLOOKUP(A27,'Données projet'!$A$139:$I$159,6,0)),0%,VLOOKUP(A27,'Données projet'!$A$139:$I$159,6,0)*VLOOKUP('Données projet'!$B$13,Paramètres!$A$1:$I$89,7,0))</f>
        <v>0.24</v>
      </c>
      <c r="DE27" s="17">
        <f>IF(ISNA(VLOOKUP(A27,'Données projet'!$A$139:$I$159,7,0)),0%,VLOOKUP(A27,'Données projet'!$A$139:$I$159,7,0))</f>
        <v>0.5</v>
      </c>
      <c r="DF27" s="23">
        <f>EXP(-LN(2)/35)*DF26+(1-EXP(-LN(2)/35))/(LN(2)/35)*DB27*DC27*VLOOKUP('Données projet'!$B$13,Paramètres!$A$1:$I$89,3,0)*0.475*44/12</f>
        <v>3.6504931310567437</v>
      </c>
      <c r="DG27" s="23">
        <f>EXP(-LN(2)/25)*DG26+(1-EXP(-LN(2)/25))/(LN(2)/25)*Calculateur!DB27*Calculateur!DD27*VLOOKUP('Données projet'!$B$13,Paramètres!$A$1:$I$89,3,0)*0.475*44/12</f>
        <v>19.017284156313693</v>
      </c>
      <c r="DH27" s="23">
        <f>EXP(-LN(2)/2)*DH26+(1-EXP(-LN(2)/2))/(LN(2)/2)*DB27*DE27*VLOOKUP('Données projet'!$B$13,Paramètres!$A$1:$I$89,3,0)*0.475*44/12</f>
        <v>31.544971671006056</v>
      </c>
      <c r="DI27" s="24">
        <f t="shared" si="15"/>
        <v>54.212748958376494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3.3076923076923075</v>
      </c>
      <c r="DO27" s="13">
        <f>IF('Données projet'!$A$166&gt;35,DO26+DN27-DW26,IF(A27&lt;'Données projet'!$A$166,$DL$205^A27,IF(A27='Données projet'!$A$166,'Données projet'!$B$166,DO26+DN27-DW26)))</f>
        <v>79.384615384615373</v>
      </c>
      <c r="DP27" s="18">
        <f>DO27*VLOOKUP('Données projet'!$B$14,Paramètres!$A$1:$I$89,3,0)*VLOOKUP('Données projet'!$B$14,Paramètres!$A$1:$I$89,5,0)</f>
        <v>38.18399999999999</v>
      </c>
      <c r="DQ27" s="14">
        <f t="shared" si="43"/>
        <v>11.516022077070305</v>
      </c>
      <c r="DR27" s="22">
        <f t="shared" si="16"/>
        <v>86.560871784230756</v>
      </c>
      <c r="DS27" s="62">
        <f t="shared" si="17"/>
        <v>379.89420511756407</v>
      </c>
      <c r="DT27" s="62">
        <f ca="1">AVERAGE(OFFSET($DS$3,0,0,'Données projet'!$E$14+1,1))-AVERAGE(OFFSET($H$3,0,0,'Données projet'!$E$14+1,1))</f>
        <v>122.60806128440754</v>
      </c>
      <c r="DU27" s="62">
        <f t="shared" si="44"/>
        <v>73.937252053142004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>
        <f>EJ27*VLOOKUP('Données projet'!$B$15,Paramètres!$A$1:$I$89,3,0)*VLOOKUP('Données projet'!$B$15,Paramètres!$A$1:$I$89,5,0)</f>
        <v>0</v>
      </c>
      <c r="EL27" s="14" t="e">
        <f t="shared" si="45"/>
        <v>#NUM!</v>
      </c>
      <c r="EM27" s="22" t="e">
        <f t="shared" si="19"/>
        <v>#NUM!</v>
      </c>
      <c r="EN27" s="62" t="e">
        <f t="shared" si="20"/>
        <v>#NUM!</v>
      </c>
      <c r="EO27" s="62">
        <f ca="1">AVERAGE(OFFSET($EN$3,0,0,'Données projet'!$E$15+1,1))-AVERAGE(OFFSET($H$3,0,0,'Données projet'!$E$15+1,1))</f>
        <v>0</v>
      </c>
      <c r="EP27" s="62">
        <f t="shared" si="46"/>
        <v>0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382.55387448074327</v>
      </c>
      <c r="T28" s="62">
        <f t="shared" si="34"/>
        <v>476.29465646955543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5.5000000000000007E-2</v>
      </c>
      <c r="Y28" s="17">
        <f>IF(ISNA(VLOOKUP(A28,'Données projet'!$A$35:$I$55,7,0)),0%,VLOOKUP(A28,'Données projet'!$A$35:$I$55,7,0))</f>
        <v>0.9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2.1937304095826464</v>
      </c>
      <c r="AB28" s="23">
        <f>EXP(-LN(2)/2)*AB27+(1-EXP(-LN(2)/2))/(LN(2)/2)*V28*Y28*VLOOKUP('Données projet'!$B$9,Paramètres!$A$1:$I$89,3,0)*0.475*44/12</f>
        <v>30.759807719820515</v>
      </c>
      <c r="AC28" s="24">
        <f t="shared" si="3"/>
        <v>32.953538129403164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435.00927803996467</v>
      </c>
      <c r="AN28" s="62">
        <f ca="1">AVERAGE(OFFSET($AM$3,0,0,'Données projet'!$E$10+1,1))-AVERAGE(OFFSET($H$3,0,0,'Données projet'!$E$10+1,1))</f>
        <v>269.64423257646359</v>
      </c>
      <c r="AO28" s="62">
        <f t="shared" si="36"/>
        <v>161.0819079811821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6.333333333333333</v>
      </c>
      <c r="BD28" s="13">
        <f>IF('Données projet'!$A$88&gt;35,BD27+BC28-BL27,IF(A28&lt;'Données projet'!$A$88,$BA$205^A28,IF(A28='Données projet'!$A$88,'Données projet'!$B$88,BD27+BC28-BL27)))</f>
        <v>128.33333333333331</v>
      </c>
      <c r="BE28" s="14">
        <f>BD28*VLOOKUP('Données projet'!$B$11,Paramètres!$A$1:$I$89,3,0)*VLOOKUP('Données projet'!$B$11,Paramètres!$A$1:$I$89,5,0)</f>
        <v>60.059999999999988</v>
      </c>
      <c r="BF28" s="14">
        <f t="shared" si="37"/>
        <v>17.183438012437968</v>
      </c>
      <c r="BG28" s="22">
        <f t="shared" si="7"/>
        <v>134.53232120499612</v>
      </c>
      <c r="BH28" s="62">
        <f t="shared" si="8"/>
        <v>427.86565453832941</v>
      </c>
      <c r="BI28" s="62">
        <f ca="1">AVERAGE(OFFSET($BH$3,0,0,'Données projet'!$E$11+1,1))-AVERAGE(OFFSET($H$3,0,0,'Données projet'!$E$11+1,1))</f>
        <v>90.797383835887558</v>
      </c>
      <c r="BJ28" s="62">
        <f t="shared" si="38"/>
        <v>104.31413437636684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0.56022842159348274</v>
      </c>
      <c r="BR28" s="23">
        <f>EXP(-LN(2)/2)*BR27+(1-EXP(-LN(2)/2))/(LN(2)/2)*BL28*BO28*VLOOKUP('Données projet'!$B$11,Paramètres!$A$1:$I$89,3,0)*0.475*44/12</f>
        <v>0.8430414196387368</v>
      </c>
      <c r="BS28" s="24">
        <f t="shared" si="9"/>
        <v>1.4032698412322195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14.166666666666666</v>
      </c>
      <c r="BY28" s="13">
        <f>IF('Données projet'!$A$114&gt;35,BY27+BX28-CG27,IF(A28&lt;'Données projet'!$A$114,$BV$205^A28,IF(A28='Données projet'!$A$114,'Données projet'!$B$114,BY27+BX28-CG27)))</f>
        <v>153.16666666666666</v>
      </c>
      <c r="BZ28" s="14">
        <f>BY28*VLOOKUP('Données projet'!$B$12,Paramètres!$A$1:$I$89,3,0)*VLOOKUP('Données projet'!$B$12,Paramètres!$A$1:$I$89,5,0)</f>
        <v>95.575999999999993</v>
      </c>
      <c r="CA28" s="14">
        <f t="shared" si="39"/>
        <v>25.905281107545633</v>
      </c>
      <c r="CB28" s="22">
        <f t="shared" si="10"/>
        <v>211.57989792897527</v>
      </c>
      <c r="CC28" s="62">
        <f t="shared" si="11"/>
        <v>504.91323126230861</v>
      </c>
      <c r="CD28" s="62">
        <f ca="1">AVERAGE(OFFSET($CC$3,0,0,'Données projet'!$E$12+1,1))-AVERAGE(OFFSET($H$3,0,0,'Données projet'!$E$12+1,1))</f>
        <v>179.44051550872138</v>
      </c>
      <c r="CE28" s="62">
        <f t="shared" si="40"/>
        <v>272.9500808380069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2.605069237346473</v>
      </c>
      <c r="CL28" s="23">
        <f>EXP(-LN(2)/25)*CL27+(1-EXP(-LN(2)/25))/(LN(2)/25)*Calculateur!CG28*Calculateur!CI28*VLOOKUP('Données projet'!$B$12,Paramètres!$A$1:$I$89,3,0)*0.475*44/12</f>
        <v>11.001483568564073</v>
      </c>
      <c r="CM28" s="23">
        <f>EXP(-LN(2)/2)*CM27+(1-EXP(-LN(2)/2))/(LN(2)/2)*CG28*CJ28*VLOOKUP('Données projet'!$B$12,Paramètres!$A$1:$I$89,3,0)*0.475*44/12</f>
        <v>10.664133783205205</v>
      </c>
      <c r="CN28" s="24">
        <f t="shared" si="12"/>
        <v>24.270686589115751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16.666666666666668</v>
      </c>
      <c r="CT28" s="13">
        <f>IF('Données projet'!$A$140&gt;35,CT27+CS28-DB27,IF(A28&lt;'Données projet'!$A$140,$CQ$205^A28,IF(A28='Données projet'!$A$140,'Données projet'!$B$140,CT27+CS28-DB27)))</f>
        <v>171.66666666666666</v>
      </c>
      <c r="CU28" s="18">
        <f>CT28*VLOOKUP('Données projet'!$B$13,Paramètres!$A$1:$I$89,3,0)*VLOOKUP('Données projet'!$B$13,Paramètres!$A$1:$I$89,5,0)</f>
        <v>93.72999999999999</v>
      </c>
      <c r="CV28" s="14">
        <f t="shared" si="41"/>
        <v>25.462674063925309</v>
      </c>
      <c r="CW28" s="22">
        <f t="shared" si="13"/>
        <v>207.59390732800321</v>
      </c>
      <c r="CX28" s="62">
        <f t="shared" si="14"/>
        <v>500.92724066133655</v>
      </c>
      <c r="CY28" s="62">
        <f ca="1">AVERAGE(OFFSET($CX$3,0,0,'Données projet'!$E$13+1,1))-AVERAGE(OFFSET($H$3,0,0,'Données projet'!$E$13+1,1))</f>
        <v>159.92263609041913</v>
      </c>
      <c r="CZ28" s="62">
        <f t="shared" si="42"/>
        <v>271.78119133009307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3.5789091873376742</v>
      </c>
      <c r="DG28" s="23">
        <f>EXP(-LN(2)/25)*DG27+(1-EXP(-LN(2)/25))/(LN(2)/25)*Calculateur!DB28*Calculateur!DD28*VLOOKUP('Données projet'!$B$13,Paramètres!$A$1:$I$89,3,0)*0.475*44/12</f>
        <v>18.497255520983785</v>
      </c>
      <c r="DH28" s="23">
        <f>EXP(-LN(2)/2)*DH27+(1-EXP(-LN(2)/2))/(LN(2)/2)*DB28*DE28*VLOOKUP('Données projet'!$B$13,Paramètres!$A$1:$I$89,3,0)*0.475*44/12</f>
        <v>22.305663380905923</v>
      </c>
      <c r="DI28" s="24">
        <f t="shared" si="15"/>
        <v>44.381828089227383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3.3076923076923075</v>
      </c>
      <c r="DO28" s="13">
        <f>IF('Données projet'!$A$166&gt;35,DO27+DN28-DW27,IF(A28&lt;'Données projet'!$A$166,$DL$205^A28,IF(A28='Données projet'!$A$166,'Données projet'!$B$166,DO27+DN28-DW27)))</f>
        <v>82.692307692307679</v>
      </c>
      <c r="DP28" s="18">
        <f>DO28*VLOOKUP('Données projet'!$B$14,Paramètres!$A$1:$I$89,3,0)*VLOOKUP('Données projet'!$B$14,Paramètres!$A$1:$I$89,5,0)</f>
        <v>39.774999999999991</v>
      </c>
      <c r="DQ28" s="14">
        <f t="shared" si="43"/>
        <v>11.938991067493578</v>
      </c>
      <c r="DR28" s="22">
        <f t="shared" si="16"/>
        <v>90.068534442551297</v>
      </c>
      <c r="DS28" s="62">
        <f t="shared" si="17"/>
        <v>383.40186777588463</v>
      </c>
      <c r="DT28" s="62">
        <f ca="1">AVERAGE(OFFSET($DS$3,0,0,'Données projet'!$E$14+1,1))-AVERAGE(OFFSET($H$3,0,0,'Données projet'!$E$14+1,1))</f>
        <v>122.60806128440754</v>
      </c>
      <c r="DU28" s="62">
        <f t="shared" si="44"/>
        <v>73.937252053142004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>
        <f>EJ28*VLOOKUP('Données projet'!$B$15,Paramètres!$A$1:$I$89,3,0)*VLOOKUP('Données projet'!$B$15,Paramètres!$A$1:$I$89,5,0)</f>
        <v>0</v>
      </c>
      <c r="EL28" s="14" t="e">
        <f t="shared" si="45"/>
        <v>#NUM!</v>
      </c>
      <c r="EM28" s="22" t="e">
        <f t="shared" si="19"/>
        <v>#NUM!</v>
      </c>
      <c r="EN28" s="62" t="e">
        <f t="shared" si="20"/>
        <v>#NUM!</v>
      </c>
      <c r="EO28" s="62">
        <f ca="1">AVERAGE(OFFSET($EN$3,0,0,'Données projet'!$E$15+1,1))-AVERAGE(OFFSET($H$3,0,0,'Données projet'!$E$15+1,1))</f>
        <v>0</v>
      </c>
      <c r="EP28" s="62">
        <f t="shared" si="46"/>
        <v>0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382.55387448074327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2.1337427361693404</v>
      </c>
      <c r="AB29" s="23">
        <f>EXP(-LN(2)/2)*AB28+(1-EXP(-LN(2)/2))/(LN(2)/2)*V29*Y29*VLOOKUP('Données projet'!$B$9,Paramètres!$A$1:$I$89,3,0)*0.475*44/12</f>
        <v>21.750468626679403</v>
      </c>
      <c r="AC29" s="24">
        <f t="shared" si="3"/>
        <v>23.884211362848745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433.03716177838555</v>
      </c>
      <c r="AN29" s="62">
        <f ca="1">AVERAGE(OFFSET($AM$3,0,0,'Données projet'!$E$10+1,1))-AVERAGE(OFFSET($H$3,0,0,'Données projet'!$E$10+1,1))</f>
        <v>269.64423257646359</v>
      </c>
      <c r="AO29" s="62">
        <f t="shared" si="36"/>
        <v>161.0819079811821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6.333333333333333</v>
      </c>
      <c r="BD29" s="13">
        <f>IF('Données projet'!$A$88&gt;35,BD28+BC29-BL28,IF(A29&lt;'Données projet'!$A$88,$BA$205^A29,IF(A29='Données projet'!$A$88,'Données projet'!$B$88,BD28+BC29-BL28)))</f>
        <v>134.66666666666666</v>
      </c>
      <c r="BE29" s="14">
        <f>BD29*VLOOKUP('Données projet'!$B$11,Paramètres!$A$1:$I$89,3,0)*VLOOKUP('Données projet'!$B$11,Paramètres!$A$1:$I$89,5,0)</f>
        <v>63.024000000000001</v>
      </c>
      <c r="BF29" s="14">
        <f t="shared" si="37"/>
        <v>17.930629390740226</v>
      </c>
      <c r="BG29" s="22">
        <f t="shared" si="7"/>
        <v>140.99597952220589</v>
      </c>
      <c r="BH29" s="62">
        <f t="shared" si="8"/>
        <v>434.32931285553923</v>
      </c>
      <c r="BI29" s="62">
        <f ca="1">AVERAGE(OFFSET($BH$3,0,0,'Données projet'!$E$11+1,1))-AVERAGE(OFFSET($H$3,0,0,'Données projet'!$E$11+1,1))</f>
        <v>90.797383835887558</v>
      </c>
      <c r="BJ29" s="62">
        <f t="shared" si="38"/>
        <v>104.31413437636684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0.54490894594387673</v>
      </c>
      <c r="BR29" s="23">
        <f>EXP(-LN(2)/2)*BR28+(1-EXP(-LN(2)/2))/(LN(2)/2)*BL29*BO29*VLOOKUP('Données projet'!$B$11,Paramètres!$A$1:$I$89,3,0)*0.475*44/12</f>
        <v>0.59612030464768473</v>
      </c>
      <c r="BS29" s="24">
        <f t="shared" si="9"/>
        <v>1.1410292505915614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14.166666666666666</v>
      </c>
      <c r="BY29" s="13">
        <f>IF('Données projet'!$A$114&gt;35,BY28+BX29-CG28,IF(A29&lt;'Données projet'!$A$114,$BV$205^A29,IF(A29='Données projet'!$A$114,'Données projet'!$B$114,BY28+BX29-CG28)))</f>
        <v>167.33333333333331</v>
      </c>
      <c r="BZ29" s="14">
        <f>BY29*VLOOKUP('Données projet'!$B$12,Paramètres!$A$1:$I$89,3,0)*VLOOKUP('Données projet'!$B$12,Paramètres!$A$1:$I$89,5,0)</f>
        <v>104.416</v>
      </c>
      <c r="CA29" s="14">
        <f t="shared" si="39"/>
        <v>28.01138818767625</v>
      </c>
      <c r="CB29" s="22">
        <f t="shared" si="10"/>
        <v>230.64436776020281</v>
      </c>
      <c r="CC29" s="62">
        <f t="shared" si="11"/>
        <v>523.9777010935361</v>
      </c>
      <c r="CD29" s="62">
        <f ca="1">AVERAGE(OFFSET($CC$3,0,0,'Données projet'!$E$12+1,1))-AVERAGE(OFFSET($H$3,0,0,'Données projet'!$E$12+1,1))</f>
        <v>179.44051550872138</v>
      </c>
      <c r="CE29" s="62">
        <f t="shared" si="40"/>
        <v>272.9500808380069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2.5539854185374491</v>
      </c>
      <c r="CL29" s="23">
        <f>EXP(-LN(2)/25)*CL28+(1-EXP(-LN(2)/25))/(LN(2)/25)*Calculateur!CG29*Calculateur!CI29*VLOOKUP('Données projet'!$B$12,Paramètres!$A$1:$I$89,3,0)*0.475*44/12</f>
        <v>10.700647421838811</v>
      </c>
      <c r="CM29" s="23">
        <f>EXP(-LN(2)/2)*CM28+(1-EXP(-LN(2)/2))/(LN(2)/2)*CG29*CJ29*VLOOKUP('Données projet'!$B$12,Paramètres!$A$1:$I$89,3,0)*0.475*44/12</f>
        <v>7.5406813135849529</v>
      </c>
      <c r="CN29" s="24">
        <f t="shared" si="12"/>
        <v>20.795314153961215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16.666666666666668</v>
      </c>
      <c r="CT29" s="13">
        <f>IF('Données projet'!$A$140&gt;35,CT28+CS29-DB28,IF(A29&lt;'Données projet'!$A$140,$CQ$205^A29,IF(A29='Données projet'!$A$140,'Données projet'!$B$140,CT28+CS29-DB28)))</f>
        <v>188.33333333333331</v>
      </c>
      <c r="CU29" s="18">
        <f>CT29*VLOOKUP('Données projet'!$B$13,Paramètres!$A$1:$I$89,3,0)*VLOOKUP('Données projet'!$B$13,Paramètres!$A$1:$I$89,5,0)</f>
        <v>102.83</v>
      </c>
      <c r="CV29" s="14">
        <f t="shared" si="41"/>
        <v>27.635107084401234</v>
      </c>
      <c r="CW29" s="22">
        <f t="shared" si="13"/>
        <v>227.22672817199881</v>
      </c>
      <c r="CX29" s="62">
        <f t="shared" si="14"/>
        <v>520.5600615053321</v>
      </c>
      <c r="CY29" s="62">
        <f ca="1">AVERAGE(OFFSET($CX$3,0,0,'Données projet'!$E$13+1,1))-AVERAGE(OFFSET($H$3,0,0,'Données projet'!$E$13+1,1))</f>
        <v>159.92263609041913</v>
      </c>
      <c r="CZ29" s="62">
        <f t="shared" si="42"/>
        <v>271.78119133009307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3.5087289610930412</v>
      </c>
      <c r="DG29" s="23">
        <f>EXP(-LN(2)/25)*DG28+(1-EXP(-LN(2)/25))/(LN(2)/25)*Calculateur!DB29*Calculateur!DD29*VLOOKUP('Données projet'!$B$13,Paramètres!$A$1:$I$89,3,0)*0.475*44/12</f>
        <v>17.99144709603409</v>
      </c>
      <c r="DH29" s="23">
        <f>EXP(-LN(2)/2)*DH28+(1-EXP(-LN(2)/2))/(LN(2)/2)*DB29*DE29*VLOOKUP('Données projet'!$B$13,Paramètres!$A$1:$I$89,3,0)*0.475*44/12</f>
        <v>15.772485835503032</v>
      </c>
      <c r="DI29" s="24">
        <f t="shared" si="15"/>
        <v>37.272661892630161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3.3076923076923075</v>
      </c>
      <c r="DO29" s="13">
        <f>IF('Données projet'!$A$166&gt;35,DO28+DN29-DW28,IF(A29&lt;'Données projet'!$A$166,$DL$205^A29,IF(A29='Données projet'!$A$166,'Données projet'!$B$166,DO28+DN29-DW28)))</f>
        <v>85.999999999999986</v>
      </c>
      <c r="DP29" s="18">
        <f>DO29*VLOOKUP('Données projet'!$B$14,Paramètres!$A$1:$I$89,3,0)*VLOOKUP('Données projet'!$B$14,Paramètres!$A$1:$I$89,5,0)</f>
        <v>41.365999999999993</v>
      </c>
      <c r="DQ29" s="14">
        <f t="shared" si="43"/>
        <v>12.359994738310665</v>
      </c>
      <c r="DR29" s="22">
        <f t="shared" si="16"/>
        <v>93.572774169224388</v>
      </c>
      <c r="DS29" s="62">
        <f t="shared" si="17"/>
        <v>386.90610750255769</v>
      </c>
      <c r="DT29" s="62">
        <f ca="1">AVERAGE(OFFSET($DS$3,0,0,'Données projet'!$E$14+1,1))-AVERAGE(OFFSET($H$3,0,0,'Données projet'!$E$14+1,1))</f>
        <v>122.60806128440754</v>
      </c>
      <c r="DU29" s="62">
        <f t="shared" si="44"/>
        <v>73.937252053142004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>
        <f>EJ29*VLOOKUP('Données projet'!$B$15,Paramètres!$A$1:$I$89,3,0)*VLOOKUP('Données projet'!$B$15,Paramètres!$A$1:$I$89,5,0)</f>
        <v>0</v>
      </c>
      <c r="EL29" s="14" t="e">
        <f t="shared" si="45"/>
        <v>#NUM!</v>
      </c>
      <c r="EM29" s="22" t="e">
        <f t="shared" si="19"/>
        <v>#NUM!</v>
      </c>
      <c r="EN29" s="62" t="e">
        <f t="shared" si="20"/>
        <v>#NUM!</v>
      </c>
      <c r="EO29" s="62">
        <f ca="1">AVERAGE(OFFSET($EN$3,0,0,'Données projet'!$E$15+1,1))-AVERAGE(OFFSET($H$3,0,0,'Données projet'!$E$15+1,1))</f>
        <v>0</v>
      </c>
      <c r="EP29" s="62">
        <f t="shared" si="46"/>
        <v>0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382.55387448074327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2.0753954288401362</v>
      </c>
      <c r="AB30" s="23">
        <f>EXP(-LN(2)/2)*AB29+(1-EXP(-LN(2)/2))/(LN(2)/2)*V30*Y30*VLOOKUP('Données projet'!$B$9,Paramètres!$A$1:$I$89,3,0)*0.475*44/12</f>
        <v>15.379903859910261</v>
      </c>
      <c r="AC30" s="24">
        <f t="shared" si="3"/>
        <v>17.455299288750396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446.82850104024965</v>
      </c>
      <c r="AN30" s="62">
        <f ca="1">AVERAGE(OFFSET($AM$3,0,0,'Données projet'!$E$10+1,1))-AVERAGE(OFFSET($H$3,0,0,'Données projet'!$E$10+1,1))</f>
        <v>269.64423257646359</v>
      </c>
      <c r="AO30" s="62">
        <f t="shared" si="36"/>
        <v>161.0819079811821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>
        <f>VLOOKUP(A30,'Données projet'!$A$87:$I$107,2,0)</f>
        <v>141</v>
      </c>
      <c r="BB30" s="13">
        <f>VLOOKUP(A30,'Données projet'!$A$87:$I$107,9,0)</f>
        <v>6.333333333333333</v>
      </c>
      <c r="BC30" s="13">
        <f t="array" ref="BC30">INDEX(BB:BB,MIN(IF(ISNUMBER(BB30:BB226),ROW(BB30:BB226),"")))</f>
        <v>6.333333333333333</v>
      </c>
      <c r="BD30" s="13">
        <f>IF('Données projet'!$A$88&gt;35,BD29+BC30-BL29,IF(A30&lt;'Données projet'!$A$88,$BA$205^A30,IF(A30='Données projet'!$A$88,'Données projet'!$B$88,BD29+BC30-BL29)))</f>
        <v>141</v>
      </c>
      <c r="BE30" s="14">
        <f>BD30*VLOOKUP('Données projet'!$B$11,Paramètres!$A$1:$I$89,3,0)*VLOOKUP('Données projet'!$B$11,Paramètres!$A$1:$I$89,5,0)</f>
        <v>65.988</v>
      </c>
      <c r="BF30" s="14">
        <f t="shared" si="37"/>
        <v>18.67374003807944</v>
      </c>
      <c r="BG30" s="22">
        <f t="shared" si="7"/>
        <v>147.45253056632168</v>
      </c>
      <c r="BH30" s="62">
        <f t="shared" si="8"/>
        <v>440.785863899655</v>
      </c>
      <c r="BI30" s="62">
        <f ca="1">AVERAGE(OFFSET($BH$3,0,0,'Données projet'!$E$11+1,1))-AVERAGE(OFFSET($H$3,0,0,'Données projet'!$E$11+1,1))</f>
        <v>90.797383835887558</v>
      </c>
      <c r="BJ30" s="62">
        <f t="shared" si="38"/>
        <v>104.31413437636684</v>
      </c>
      <c r="BK30" s="16">
        <f>IF(ISNA(VLOOKUP(A30,'Données projet'!$A$87:$I$107,3,0)),0,VLOOKUP(A30,'Données projet'!$A$87:$I$107,3,0))</f>
        <v>2</v>
      </c>
      <c r="BL30" s="16">
        <f>IF(ISNA(VLOOKUP(A30,'Données projet'!$A$87:$I$107,4,0)),0,VLOOKUP(A30,'Données projet'!$A$87:$I$107,4,0))</f>
        <v>30</v>
      </c>
      <c r="BM30" s="17">
        <f>IF(ISNA(VLOOKUP(A30,'Données projet'!$A$87:$I$107,5,0)),0%,VLOOKUP(A30,'Données projet'!$A$87:$I$107,5,0)*VLOOKUP('Données projet'!$B$11,Paramètres!$A$1:$I$89,7,0))</f>
        <v>5.5000000000000007E-2</v>
      </c>
      <c r="BN30" s="17">
        <f>IF(ISNA(VLOOKUP(A30,'Données projet'!$A$87:$I$107,6,0)),0%,VLOOKUP(A30,'Données projet'!$A$87:$I$107,6,0)*VLOOKUP('Données projet'!$B$11,Paramètres!$A$1:$I$89,7,0))</f>
        <v>0.22000000000000003</v>
      </c>
      <c r="BO30" s="17">
        <f>IF(ISNA(VLOOKUP(A30,'Données projet'!$A$87:$I$107,7,0)),0%,VLOOKUP(A30,'Données projet'!$A$87:$I$107,7,0))</f>
        <v>0.5</v>
      </c>
      <c r="BP30" s="23">
        <f>EXP(-LN(2)/35)*BP29+(1-EXP(-LN(2)/35))/(LN(2)/35)*BL30*BM30*VLOOKUP('Données projet'!$B$11,Paramètres!$A$1:$I$89,3,0)*0.475*44/12</f>
        <v>1.024373072490413</v>
      </c>
      <c r="BQ30" s="23">
        <f>EXP(-LN(2)/25)*BQ29+(1-EXP(-LN(2)/25))/(LN(2)/25)*Calculateur!BL30*Calculateur!BN30*VLOOKUP('Données projet'!$B$11,Paramètres!$A$1:$I$89,3,0)*0.475*44/12</f>
        <v>4.6113672837106341</v>
      </c>
      <c r="BR30" s="23">
        <f>EXP(-LN(2)/2)*BR29+(1-EXP(-LN(2)/2))/(LN(2)/2)*BL30*BO30*VLOOKUP('Données projet'!$B$11,Paramètres!$A$1:$I$89,3,0)*0.475*44/12</f>
        <v>8.3697914384551577</v>
      </c>
      <c r="BS30" s="24">
        <f t="shared" si="9"/>
        <v>14.005531794656205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14.166666666666666</v>
      </c>
      <c r="BY30" s="13">
        <f>IF('Données projet'!$A$114&gt;35,BY29+BX30-CG29,IF(A30&lt;'Données projet'!$A$114,$BV$205^A30,IF(A30='Données projet'!$A$114,'Données projet'!$B$114,BY29+BX30-CG29)))</f>
        <v>181.49999999999997</v>
      </c>
      <c r="BZ30" s="14">
        <f>BY30*VLOOKUP('Données projet'!$B$12,Paramètres!$A$1:$I$89,3,0)*VLOOKUP('Données projet'!$B$12,Paramètres!$A$1:$I$89,5,0)</f>
        <v>113.25599999999997</v>
      </c>
      <c r="CA30" s="14">
        <f t="shared" si="39"/>
        <v>30.096816336106439</v>
      </c>
      <c r="CB30" s="22">
        <f t="shared" si="10"/>
        <v>249.67282178538531</v>
      </c>
      <c r="CC30" s="62">
        <f t="shared" si="11"/>
        <v>543.00615511871865</v>
      </c>
      <c r="CD30" s="62">
        <f ca="1">AVERAGE(OFFSET($CC$3,0,0,'Données projet'!$E$12+1,1))-AVERAGE(OFFSET($H$3,0,0,'Données projet'!$E$12+1,1))</f>
        <v>179.44051550872138</v>
      </c>
      <c r="CE30" s="62">
        <f t="shared" si="40"/>
        <v>272.9500808380069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2.5039033222572171</v>
      </c>
      <c r="CL30" s="23">
        <f>EXP(-LN(2)/25)*CL29+(1-EXP(-LN(2)/25))/(LN(2)/25)*Calculateur!CG30*Calculateur!CI30*VLOOKUP('Données projet'!$B$12,Paramètres!$A$1:$I$89,3,0)*0.475*44/12</f>
        <v>10.408037655366037</v>
      </c>
      <c r="CM30" s="23">
        <f>EXP(-LN(2)/2)*CM29+(1-EXP(-LN(2)/2))/(LN(2)/2)*CG30*CJ30*VLOOKUP('Données projet'!$B$12,Paramètres!$A$1:$I$89,3,0)*0.475*44/12</f>
        <v>5.3320668916026035</v>
      </c>
      <c r="CN30" s="24">
        <f t="shared" si="12"/>
        <v>18.244007869225857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16.666666666666668</v>
      </c>
      <c r="CT30" s="13">
        <f>IF('Données projet'!$A$140&gt;35,CT29+CS30-DB29,IF(A30&lt;'Données projet'!$A$140,$CQ$205^A30,IF(A30='Données projet'!$A$140,'Données projet'!$B$140,CT29+CS30-DB29)))</f>
        <v>204.99999999999997</v>
      </c>
      <c r="CU30" s="18">
        <f>CT30*VLOOKUP('Données projet'!$B$13,Paramètres!$A$1:$I$89,3,0)*VLOOKUP('Données projet'!$B$13,Paramètres!$A$1:$I$89,5,0)</f>
        <v>111.92999999999998</v>
      </c>
      <c r="CV30" s="14">
        <f t="shared" si="41"/>
        <v>29.785246291563833</v>
      </c>
      <c r="CW30" s="22">
        <f t="shared" si="13"/>
        <v>246.82072062447358</v>
      </c>
      <c r="CX30" s="62">
        <f t="shared" si="14"/>
        <v>540.15405395780692</v>
      </c>
      <c r="CY30" s="62">
        <f ca="1">AVERAGE(OFFSET($CX$3,0,0,'Données projet'!$E$13+1,1))-AVERAGE(OFFSET($H$3,0,0,'Données projet'!$E$13+1,1))</f>
        <v>159.92263609041913</v>
      </c>
      <c r="CZ30" s="62">
        <f t="shared" si="42"/>
        <v>271.78119133009307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3.4399249262793541</v>
      </c>
      <c r="DG30" s="23">
        <f>EXP(-LN(2)/25)*DG29+(1-EXP(-LN(2)/25))/(LN(2)/25)*Calculateur!DB30*Calculateur!DD30*VLOOKUP('Données projet'!$B$13,Paramètres!$A$1:$I$89,3,0)*0.475*44/12</f>
        <v>17.499470029063954</v>
      </c>
      <c r="DH30" s="23">
        <f>EXP(-LN(2)/2)*DH29+(1-EXP(-LN(2)/2))/(LN(2)/2)*DB30*DE30*VLOOKUP('Données projet'!$B$13,Paramètres!$A$1:$I$89,3,0)*0.475*44/12</f>
        <v>11.152831690452963</v>
      </c>
      <c r="DI30" s="24">
        <f t="shared" si="15"/>
        <v>32.092226645796273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3.3076923076923075</v>
      </c>
      <c r="DO30" s="13">
        <f>IF('Données projet'!$A$166&gt;35,DO29+DN30-DW29,IF(A30&lt;'Données projet'!$A$166,$DL$205^A30,IF(A30='Données projet'!$A$166,'Données projet'!$B$166,DO29+DN30-DW29)))</f>
        <v>89.307692307692292</v>
      </c>
      <c r="DP30" s="18">
        <f>DO30*VLOOKUP('Données projet'!$B$14,Paramètres!$A$1:$I$89,3,0)*VLOOKUP('Données projet'!$B$14,Paramètres!$A$1:$I$89,5,0)</f>
        <v>42.956999999999994</v>
      </c>
      <c r="DQ30" s="14">
        <f t="shared" si="43"/>
        <v>12.779117330997563</v>
      </c>
      <c r="DR30" s="22">
        <f t="shared" si="16"/>
        <v>97.073737684820742</v>
      </c>
      <c r="DS30" s="62">
        <f t="shared" si="17"/>
        <v>390.40707101815406</v>
      </c>
      <c r="DT30" s="62">
        <f ca="1">AVERAGE(OFFSET($DS$3,0,0,'Données projet'!$E$14+1,1))-AVERAGE(OFFSET($H$3,0,0,'Données projet'!$E$14+1,1))</f>
        <v>122.60806128440754</v>
      </c>
      <c r="DU30" s="62">
        <f t="shared" si="44"/>
        <v>73.937252053142004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>
        <f>EJ30*VLOOKUP('Données projet'!$B$15,Paramètres!$A$1:$I$89,3,0)*VLOOKUP('Données projet'!$B$15,Paramètres!$A$1:$I$89,5,0)</f>
        <v>0</v>
      </c>
      <c r="EL30" s="14" t="e">
        <f t="shared" si="45"/>
        <v>#NUM!</v>
      </c>
      <c r="EM30" s="22" t="e">
        <f t="shared" si="19"/>
        <v>#NUM!</v>
      </c>
      <c r="EN30" s="62" t="e">
        <f t="shared" si="20"/>
        <v>#NUM!</v>
      </c>
      <c r="EO30" s="62">
        <f ca="1">AVERAGE(OFFSET($EN$3,0,0,'Données projet'!$E$15+1,1))-AVERAGE(OFFSET($H$3,0,0,'Données projet'!$E$15+1,1))</f>
        <v>0</v>
      </c>
      <c r="EP30" s="62">
        <f t="shared" si="46"/>
        <v>0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382.55387448074327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2.0186436316982004</v>
      </c>
      <c r="AB31" s="23">
        <f>EXP(-LN(2)/2)*AB30+(1-EXP(-LN(2)/2))/(LN(2)/2)*V31*Y31*VLOOKUP('Données projet'!$B$9,Paramètres!$A$1:$I$89,3,0)*0.475*44/12</f>
        <v>10.875234313339703</v>
      </c>
      <c r="AC31" s="24">
        <f t="shared" si="3"/>
        <v>12.893877945037904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460.59036088427666</v>
      </c>
      <c r="AN31" s="62">
        <f ca="1">AVERAGE(OFFSET($AM$3,0,0,'Données projet'!$E$10+1,1))-AVERAGE(OFFSET($H$3,0,0,'Données projet'!$E$10+1,1))</f>
        <v>269.64423257646359</v>
      </c>
      <c r="AO31" s="62">
        <f t="shared" si="36"/>
        <v>161.0819079811821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6.8888888888888893</v>
      </c>
      <c r="BD31" s="13">
        <f>IF('Données projet'!$A$88&gt;35,BD30+BC31-BL30,IF(A31&lt;'Données projet'!$A$88,$BA$205^A31,IF(A31='Données projet'!$A$88,'Données projet'!$B$88,BD30+BC31-BL30)))</f>
        <v>117.88888888888889</v>
      </c>
      <c r="BE31" s="14">
        <f>BD31*VLOOKUP('Données projet'!$B$11,Paramètres!$A$1:$I$89,3,0)*VLOOKUP('Données projet'!$B$11,Paramètres!$A$1:$I$89,5,0)</f>
        <v>55.171999999999997</v>
      </c>
      <c r="BF31" s="14">
        <f t="shared" si="37"/>
        <v>15.941703687261668</v>
      </c>
      <c r="BG31" s="22">
        <f t="shared" si="7"/>
        <v>123.85636725531405</v>
      </c>
      <c r="BH31" s="62">
        <f t="shared" si="8"/>
        <v>417.18970058864738</v>
      </c>
      <c r="BI31" s="62">
        <f ca="1">AVERAGE(OFFSET($BH$3,0,0,'Données projet'!$E$11+1,1))-AVERAGE(OFFSET($H$3,0,0,'Données projet'!$E$11+1,1))</f>
        <v>90.797383835887558</v>
      </c>
      <c r="BJ31" s="62">
        <f t="shared" si="38"/>
        <v>104.31413437636684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1.0042857413447557</v>
      </c>
      <c r="BQ31" s="23">
        <f>EXP(-LN(2)/25)*BQ30+(1-EXP(-LN(2)/25))/(LN(2)/25)*Calculateur!BL31*Calculateur!BN31*VLOOKUP('Données projet'!$B$11,Paramètres!$A$1:$I$89,3,0)*0.475*44/12</f>
        <v>4.4852692028363004</v>
      </c>
      <c r="BR31" s="23">
        <f>EXP(-LN(2)/2)*BR30+(1-EXP(-LN(2)/2))/(LN(2)/2)*BL31*BO31*VLOOKUP('Données projet'!$B$11,Paramètres!$A$1:$I$89,3,0)*0.475*44/12</f>
        <v>5.9183362832487507</v>
      </c>
      <c r="BS31" s="24">
        <f t="shared" si="9"/>
        <v>11.407891227429808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14.166666666666666</v>
      </c>
      <c r="BY31" s="13">
        <f>IF('Données projet'!$A$114&gt;35,BY30+BX31-CG30,IF(A31&lt;'Données projet'!$A$114,$BV$205^A31,IF(A31='Données projet'!$A$114,'Données projet'!$B$114,BY30+BX31-CG30)))</f>
        <v>195.66666666666663</v>
      </c>
      <c r="BZ31" s="14">
        <f>BY31*VLOOKUP('Données projet'!$B$12,Paramètres!$A$1:$I$89,3,0)*VLOOKUP('Données projet'!$B$12,Paramètres!$A$1:$I$89,5,0)</f>
        <v>122.09599999999998</v>
      </c>
      <c r="CA31" s="14">
        <f t="shared" si="39"/>
        <v>32.163363121463028</v>
      </c>
      <c r="CB31" s="22">
        <f t="shared" si="10"/>
        <v>268.6683907698814</v>
      </c>
      <c r="CC31" s="62">
        <f t="shared" si="11"/>
        <v>562.00172410321466</v>
      </c>
      <c r="CD31" s="62">
        <f ca="1">AVERAGE(OFFSET($CC$3,0,0,'Données projet'!$E$12+1,1))-AVERAGE(OFFSET($H$3,0,0,'Données projet'!$E$12+1,1))</f>
        <v>179.44051550872138</v>
      </c>
      <c r="CE31" s="62">
        <f t="shared" si="40"/>
        <v>272.9500808380069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2.4548033053379781</v>
      </c>
      <c r="CL31" s="23">
        <f>EXP(-LN(2)/25)*CL30+(1-EXP(-LN(2)/25))/(LN(2)/25)*Calculateur!CG31*Calculateur!CI31*VLOOKUP('Données projet'!$B$12,Paramètres!$A$1:$I$89,3,0)*0.475*44/12</f>
        <v>10.12342931834514</v>
      </c>
      <c r="CM31" s="23">
        <f>EXP(-LN(2)/2)*CM30+(1-EXP(-LN(2)/2))/(LN(2)/2)*CG31*CJ31*VLOOKUP('Données projet'!$B$12,Paramètres!$A$1:$I$89,3,0)*0.475*44/12</f>
        <v>3.7703406567924769</v>
      </c>
      <c r="CN31" s="24">
        <f t="shared" si="12"/>
        <v>16.348573280475595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16.666666666666668</v>
      </c>
      <c r="CT31" s="13">
        <f>IF('Données projet'!$A$140&gt;35,CT30+CS31-DB30,IF(A31&lt;'Données projet'!$A$140,$CQ$205^A31,IF(A31='Données projet'!$A$140,'Données projet'!$B$140,CT30+CS31-DB30)))</f>
        <v>221.66666666666663</v>
      </c>
      <c r="CU31" s="18">
        <f>CT31*VLOOKUP('Données projet'!$B$13,Paramètres!$A$1:$I$89,3,0)*VLOOKUP('Données projet'!$B$13,Paramètres!$A$1:$I$89,5,0)</f>
        <v>121.02999999999997</v>
      </c>
      <c r="CV31" s="14">
        <f t="shared" si="41"/>
        <v>31.915110254002617</v>
      </c>
      <c r="CW31" s="22">
        <f t="shared" si="13"/>
        <v>266.3794003590545</v>
      </c>
      <c r="CX31" s="62">
        <f t="shared" si="14"/>
        <v>559.71273369238781</v>
      </c>
      <c r="CY31" s="62">
        <f ca="1">AVERAGE(OFFSET($CX$3,0,0,'Données projet'!$E$13+1,1))-AVERAGE(OFFSET($H$3,0,0,'Données projet'!$E$13+1,1))</f>
        <v>159.92263609041913</v>
      </c>
      <c r="CZ31" s="62">
        <f t="shared" si="42"/>
        <v>271.78119133009307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3.3724700966220462</v>
      </c>
      <c r="DG31" s="23">
        <f>EXP(-LN(2)/25)*DG30+(1-EXP(-LN(2)/25))/(LN(2)/25)*Calculateur!DB31*Calculateur!DD31*VLOOKUP('Données projet'!$B$13,Paramètres!$A$1:$I$89,3,0)*0.475*44/12</f>
        <v>17.020946100862066</v>
      </c>
      <c r="DH31" s="23">
        <f>EXP(-LN(2)/2)*DH30+(1-EXP(-LN(2)/2))/(LN(2)/2)*DB31*DE31*VLOOKUP('Données projet'!$B$13,Paramètres!$A$1:$I$89,3,0)*0.475*44/12</f>
        <v>7.8862429177515168</v>
      </c>
      <c r="DI31" s="24">
        <f t="shared" si="15"/>
        <v>28.279659115235628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3.3076923076923075</v>
      </c>
      <c r="DO31" s="13">
        <f>IF('Données projet'!$A$166&gt;35,DO30+DN31-DW30,IF(A31&lt;'Données projet'!$A$166,$DL$205^A31,IF(A31='Données projet'!$A$166,'Données projet'!$B$166,DO30+DN31-DW30)))</f>
        <v>92.615384615384599</v>
      </c>
      <c r="DP31" s="18">
        <f>DO31*VLOOKUP('Données projet'!$B$14,Paramètres!$A$1:$I$89,3,0)*VLOOKUP('Données projet'!$B$14,Paramètres!$A$1:$I$89,5,0)</f>
        <v>44.547999999999995</v>
      </c>
      <c r="DQ31" s="14">
        <f t="shared" si="43"/>
        <v>13.196436493358</v>
      </c>
      <c r="DR31" s="22">
        <f t="shared" si="16"/>
        <v>100.57156022593183</v>
      </c>
      <c r="DS31" s="62">
        <f t="shared" si="17"/>
        <v>393.90489355926513</v>
      </c>
      <c r="DT31" s="62">
        <f ca="1">AVERAGE(OFFSET($DS$3,0,0,'Données projet'!$E$14+1,1))-AVERAGE(OFFSET($H$3,0,0,'Données projet'!$E$14+1,1))</f>
        <v>122.60806128440754</v>
      </c>
      <c r="DU31" s="62">
        <f t="shared" si="44"/>
        <v>73.937252053142004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>
        <f>EJ31*VLOOKUP('Données projet'!$B$15,Paramètres!$A$1:$I$89,3,0)*VLOOKUP('Données projet'!$B$15,Paramètres!$A$1:$I$89,5,0)</f>
        <v>0</v>
      </c>
      <c r="EL31" s="14" t="e">
        <f t="shared" si="45"/>
        <v>#NUM!</v>
      </c>
      <c r="EM31" s="22" t="e">
        <f t="shared" si="19"/>
        <v>#NUM!</v>
      </c>
      <c r="EN31" s="62" t="e">
        <f t="shared" si="20"/>
        <v>#NUM!</v>
      </c>
      <c r="EO31" s="62">
        <f ca="1">AVERAGE(OFFSET($EN$3,0,0,'Données projet'!$E$15+1,1))-AVERAGE(OFFSET($H$3,0,0,'Données projet'!$E$15+1,1))</f>
        <v>0</v>
      </c>
      <c r="EP31" s="62">
        <f t="shared" si="46"/>
        <v>0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382.55387448074327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1.9634437154335582</v>
      </c>
      <c r="AB32" s="23">
        <f>EXP(-LN(2)/2)*AB31+(1-EXP(-LN(2)/2))/(LN(2)/2)*V32*Y32*VLOOKUP('Données projet'!$B$9,Paramètres!$A$1:$I$89,3,0)*0.475*44/12</f>
        <v>7.6899519299551313</v>
      </c>
      <c r="AC32" s="24">
        <f t="shared" si="3"/>
        <v>9.6533956453886898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474.32551019191953</v>
      </c>
      <c r="AN32" s="62">
        <f ca="1">AVERAGE(OFFSET($AM$3,0,0,'Données projet'!$E$10+1,1))-AVERAGE(OFFSET($H$3,0,0,'Données projet'!$E$10+1,1))</f>
        <v>269.64423257646359</v>
      </c>
      <c r="AO32" s="62">
        <f t="shared" si="36"/>
        <v>161.0819079811821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6.8888888888888893</v>
      </c>
      <c r="BD32" s="13">
        <f>IF('Données projet'!$A$88&gt;35,BD31+BC32-BL31,IF(A32&lt;'Données projet'!$A$88,$BA$205^A32,IF(A32='Données projet'!$A$88,'Données projet'!$B$88,BD31+BC32-BL31)))</f>
        <v>124.77777777777777</v>
      </c>
      <c r="BE32" s="14">
        <f>BD32*VLOOKUP('Données projet'!$B$11,Paramètres!$A$1:$I$89,3,0)*VLOOKUP('Données projet'!$B$11,Paramètres!$A$1:$I$89,5,0)</f>
        <v>58.395999999999994</v>
      </c>
      <c r="BF32" s="14">
        <f t="shared" si="37"/>
        <v>16.762090145609708</v>
      </c>
      <c r="BG32" s="22">
        <f t="shared" si="7"/>
        <v>130.90034033693689</v>
      </c>
      <c r="BH32" s="62">
        <f t="shared" si="8"/>
        <v>424.23367367027021</v>
      </c>
      <c r="BI32" s="62">
        <f ca="1">AVERAGE(OFFSET($BH$3,0,0,'Données projet'!$E$11+1,1))-AVERAGE(OFFSET($H$3,0,0,'Données projet'!$E$11+1,1))</f>
        <v>90.797383835887558</v>
      </c>
      <c r="BJ32" s="62">
        <f t="shared" si="38"/>
        <v>104.31413437636684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0.98459231051080254</v>
      </c>
      <c r="BQ32" s="23">
        <f>EXP(-LN(2)/25)*BQ31+(1-EXP(-LN(2)/25))/(LN(2)/25)*Calculateur!BL32*Calculateur!BN32*VLOOKUP('Données projet'!$B$11,Paramètres!$A$1:$I$89,3,0)*0.475*44/12</f>
        <v>4.3626192806146857</v>
      </c>
      <c r="BR32" s="23">
        <f>EXP(-LN(2)/2)*BR31+(1-EXP(-LN(2)/2))/(LN(2)/2)*BL32*BO32*VLOOKUP('Données projet'!$B$11,Paramètres!$A$1:$I$89,3,0)*0.475*44/12</f>
        <v>4.1848957192275797</v>
      </c>
      <c r="BS32" s="24">
        <f t="shared" si="9"/>
        <v>9.5321073103530676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14.166666666666666</v>
      </c>
      <c r="BY32" s="13">
        <f>IF('Données projet'!$A$114&gt;35,BY31+BX32-CG31,IF(A32&lt;'Données projet'!$A$114,$BV$205^A32,IF(A32='Données projet'!$A$114,'Données projet'!$B$114,BY31+BX32-CG31)))</f>
        <v>209.83333333333329</v>
      </c>
      <c r="BZ32" s="14">
        <f>BY32*VLOOKUP('Données projet'!$B$12,Paramètres!$A$1:$I$89,3,0)*VLOOKUP('Données projet'!$B$12,Paramètres!$A$1:$I$89,5,0)</f>
        <v>130.93599999999998</v>
      </c>
      <c r="CA32" s="14">
        <f t="shared" si="39"/>
        <v>34.21255106176632</v>
      </c>
      <c r="CB32" s="22">
        <f t="shared" si="10"/>
        <v>287.63372643257628</v>
      </c>
      <c r="CC32" s="62">
        <f t="shared" si="11"/>
        <v>580.96705976590965</v>
      </c>
      <c r="CD32" s="62">
        <f ca="1">AVERAGE(OFFSET($CC$3,0,0,'Données projet'!$E$12+1,1))-AVERAGE(OFFSET($H$3,0,0,'Données projet'!$E$12+1,1))</f>
        <v>179.44051550872138</v>
      </c>
      <c r="CE32" s="62">
        <f t="shared" si="40"/>
        <v>272.9500808380069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2.4066661098024724</v>
      </c>
      <c r="CL32" s="23">
        <f>EXP(-LN(2)/25)*CL31+(1-EXP(-LN(2)/25))/(LN(2)/25)*Calculateur!CG32*Calculateur!CI32*VLOOKUP('Données projet'!$B$12,Paramètres!$A$1:$I$89,3,0)*0.475*44/12</f>
        <v>9.8466036112669819</v>
      </c>
      <c r="CM32" s="23">
        <f>EXP(-LN(2)/2)*CM31+(1-EXP(-LN(2)/2))/(LN(2)/2)*CG32*CJ32*VLOOKUP('Données projet'!$B$12,Paramètres!$A$1:$I$89,3,0)*0.475*44/12</f>
        <v>2.6660334458013022</v>
      </c>
      <c r="CN32" s="24">
        <f t="shared" si="12"/>
        <v>14.919303166870757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16.666666666666668</v>
      </c>
      <c r="CT32" s="13">
        <f>IF('Données projet'!$A$140&gt;35,CT31+CS32-DB31,IF(A32&lt;'Données projet'!$A$140,$CQ$205^A32,IF(A32='Données projet'!$A$140,'Données projet'!$B$140,CT31+CS32-DB31)))</f>
        <v>238.33333333333329</v>
      </c>
      <c r="CU32" s="18">
        <f>CT32*VLOOKUP('Données projet'!$B$13,Paramètres!$A$1:$I$89,3,0)*VLOOKUP('Données projet'!$B$13,Paramètres!$A$1:$I$89,5,0)</f>
        <v>130.12999999999997</v>
      </c>
      <c r="CV32" s="14">
        <f t="shared" si="41"/>
        <v>34.026396767825609</v>
      </c>
      <c r="CW32" s="22">
        <f t="shared" si="13"/>
        <v>285.90572437062957</v>
      </c>
      <c r="CX32" s="62">
        <f t="shared" si="14"/>
        <v>579.23905770396289</v>
      </c>
      <c r="CY32" s="62">
        <f ca="1">AVERAGE(OFFSET($CX$3,0,0,'Données projet'!$E$13+1,1))-AVERAGE(OFFSET($H$3,0,0,'Données projet'!$E$13+1,1))</f>
        <v>159.92263609041913</v>
      </c>
      <c r="CZ32" s="62">
        <f t="shared" si="42"/>
        <v>271.78119133009307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3.3063380150309345</v>
      </c>
      <c r="DG32" s="23">
        <f>EXP(-LN(2)/25)*DG31+(1-EXP(-LN(2)/25))/(LN(2)/25)*Calculateur!DB32*Calculateur!DD32*VLOOKUP('Données projet'!$B$13,Paramètres!$A$1:$I$89,3,0)*0.475*44/12</f>
        <v>16.555507434641338</v>
      </c>
      <c r="DH32" s="23">
        <f>EXP(-LN(2)/2)*DH31+(1-EXP(-LN(2)/2))/(LN(2)/2)*DB32*DE32*VLOOKUP('Données projet'!$B$13,Paramètres!$A$1:$I$89,3,0)*0.475*44/12</f>
        <v>5.5764158452264825</v>
      </c>
      <c r="DI32" s="24">
        <f t="shared" si="15"/>
        <v>25.438261294898755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3.3076923076923075</v>
      </c>
      <c r="DO32" s="13">
        <f>IF('Données projet'!$A$166&gt;35,DO31+DN32-DW31,IF(A32&lt;'Données projet'!$A$166,$DL$205^A32,IF(A32='Données projet'!$A$166,'Données projet'!$B$166,DO31+DN32-DW31)))</f>
        <v>95.923076923076906</v>
      </c>
      <c r="DP32" s="18">
        <f>DO32*VLOOKUP('Données projet'!$B$14,Paramètres!$A$1:$I$89,3,0)*VLOOKUP('Données projet'!$B$14,Paramètres!$A$1:$I$89,5,0)</f>
        <v>46.138999999999989</v>
      </c>
      <c r="DQ32" s="14">
        <f t="shared" si="43"/>
        <v>13.612024012515354</v>
      </c>
      <c r="DR32" s="22">
        <f t="shared" si="16"/>
        <v>104.06636682179756</v>
      </c>
      <c r="DS32" s="62">
        <f t="shared" si="17"/>
        <v>397.39970015513086</v>
      </c>
      <c r="DT32" s="62">
        <f ca="1">AVERAGE(OFFSET($DS$3,0,0,'Données projet'!$E$14+1,1))-AVERAGE(OFFSET($H$3,0,0,'Données projet'!$E$14+1,1))</f>
        <v>122.60806128440754</v>
      </c>
      <c r="DU32" s="62">
        <f t="shared" si="44"/>
        <v>73.937252053142004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>
        <f>EJ32*VLOOKUP('Données projet'!$B$15,Paramètres!$A$1:$I$89,3,0)*VLOOKUP('Données projet'!$B$15,Paramètres!$A$1:$I$89,5,0)</f>
        <v>0</v>
      </c>
      <c r="EL32" s="14" t="e">
        <f t="shared" si="45"/>
        <v>#NUM!</v>
      </c>
      <c r="EM32" s="22" t="e">
        <f t="shared" si="19"/>
        <v>#NUM!</v>
      </c>
      <c r="EN32" s="62" t="e">
        <f t="shared" si="20"/>
        <v>#NUM!</v>
      </c>
      <c r="EO32" s="62">
        <f ca="1">AVERAGE(OFFSET($EN$3,0,0,'Données projet'!$E$15+1,1))-AVERAGE(OFFSET($H$3,0,0,'Données projet'!$E$15+1,1))</f>
        <v>0</v>
      </c>
      <c r="EP32" s="62">
        <f t="shared" si="46"/>
        <v>0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382.55387448074327</v>
      </c>
      <c r="T33" s="62">
        <f t="shared" si="34"/>
        <v>476.29465646955543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5.5000000000000007E-2</v>
      </c>
      <c r="X33" s="17">
        <f>IF(ISNA(VLOOKUP(A33,'Données projet'!$A$35:$I$55,6,0)),0%,VLOOKUP(A33,'Données projet'!$A$35:$I$55,6,0)*VLOOKUP('Données projet'!$B$9,Paramètres!$A$1:$I$89,7,0))</f>
        <v>0.22000000000000003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2.2024021058543881</v>
      </c>
      <c r="AA33" s="23">
        <f>EXP(-LN(2)/25)*AA32+(1-EXP(-LN(2)/25))/(LN(2)/25)*Calculateur!V33*Calculateur!X33*VLOOKUP('Données projet'!$B$9,Paramètres!$A$1:$I$89,3,0)*0.475*44/12</f>
        <v>10.684674882112596</v>
      </c>
      <c r="AB33" s="23">
        <f>EXP(-LN(2)/2)*AB32+(1-EXP(-LN(2)/2))/(LN(2)/2)*V33*Y33*VLOOKUP('Données projet'!$B$9,Paramètres!$A$1:$I$89,3,0)*0.475*44/12</f>
        <v>22.526399223236801</v>
      </c>
      <c r="AC33" s="24">
        <f t="shared" si="3"/>
        <v>35.413476211203786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269.64423257646359</v>
      </c>
      <c r="AO33" s="62">
        <f t="shared" si="36"/>
        <v>161.0819079811821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6.8888888888888893</v>
      </c>
      <c r="BD33" s="13">
        <f>IF('Données projet'!$A$88&gt;35,BD32+BC33-BL32,IF(A33&lt;'Données projet'!$A$88,$BA$205^A33,IF(A33='Données projet'!$A$88,'Données projet'!$B$88,BD32+BC33-BL32)))</f>
        <v>131.66666666666666</v>
      </c>
      <c r="BE33" s="14">
        <f>BD33*VLOOKUP('Données projet'!$B$11,Paramètres!$A$1:$I$89,3,0)*VLOOKUP('Données projet'!$B$11,Paramètres!$A$1:$I$89,5,0)</f>
        <v>61.61999999999999</v>
      </c>
      <c r="BF33" s="14">
        <f t="shared" si="37"/>
        <v>17.577218591267972</v>
      </c>
      <c r="BG33" s="22">
        <f t="shared" si="7"/>
        <v>137.935155713125</v>
      </c>
      <c r="BH33" s="62">
        <f t="shared" si="8"/>
        <v>431.26848904645828</v>
      </c>
      <c r="BI33" s="62">
        <f ca="1">AVERAGE(OFFSET($BH$3,0,0,'Données projet'!$E$11+1,1))-AVERAGE(OFFSET($H$3,0,0,'Données projet'!$E$11+1,1))</f>
        <v>90.797383835887558</v>
      </c>
      <c r="BJ33" s="62">
        <f t="shared" si="38"/>
        <v>104.31413437636684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0.9652850558436965</v>
      </c>
      <c r="BQ33" s="23">
        <f>EXP(-LN(2)/25)*BQ32+(1-EXP(-LN(2)/25))/(LN(2)/25)*Calculateur!BL33*Calculateur!BN33*VLOOKUP('Données projet'!$B$11,Paramètres!$A$1:$I$89,3,0)*0.475*44/12</f>
        <v>4.2433232269661003</v>
      </c>
      <c r="BR33" s="23">
        <f>EXP(-LN(2)/2)*BR32+(1-EXP(-LN(2)/2))/(LN(2)/2)*BL33*BO33*VLOOKUP('Données projet'!$B$11,Paramètres!$A$1:$I$89,3,0)*0.475*44/12</f>
        <v>2.9591681416243758</v>
      </c>
      <c r="BS33" s="24">
        <f t="shared" si="9"/>
        <v>8.1677764244341731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224</v>
      </c>
      <c r="BW33" s="13">
        <f>VLOOKUP(A33,'Données projet'!$A$113:$I$133,9,0)</f>
        <v>14.166666666666666</v>
      </c>
      <c r="BX33" s="13">
        <f t="array" ref="BX33">INDEX(BW:BW,MIN(IF(ISNUMBER(BW33:BW229),ROW(BW33:BW229),"")))</f>
        <v>14.166666666666666</v>
      </c>
      <c r="BY33" s="13">
        <f>IF('Données projet'!$A$114&gt;35,BY32+BX33-CG32,IF(A33&lt;'Données projet'!$A$114,$BV$205^A33,IF(A33='Données projet'!$A$114,'Données projet'!$B$114,BY32+BX33-CG32)))</f>
        <v>223.99999999999994</v>
      </c>
      <c r="BZ33" s="14">
        <f>BY33*VLOOKUP('Données projet'!$B$12,Paramètres!$A$1:$I$89,3,0)*VLOOKUP('Données projet'!$B$12,Paramètres!$A$1:$I$89,5,0)</f>
        <v>139.77599999999995</v>
      </c>
      <c r="CA33" s="14">
        <f t="shared" si="39"/>
        <v>36.245685459195258</v>
      </c>
      <c r="CB33" s="22">
        <f t="shared" si="10"/>
        <v>306.57110217476503</v>
      </c>
      <c r="CC33" s="62">
        <f t="shared" si="11"/>
        <v>599.90443550809835</v>
      </c>
      <c r="CD33" s="62">
        <f ca="1">AVERAGE(OFFSET($CC$3,0,0,'Données projet'!$E$12+1,1))-AVERAGE(OFFSET($H$3,0,0,'Données projet'!$E$12+1,1))</f>
        <v>179.44051550872138</v>
      </c>
      <c r="CE33" s="62">
        <f t="shared" si="40"/>
        <v>272.9500808380069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53</v>
      </c>
      <c r="CH33" s="17">
        <f>IF(ISNA(VLOOKUP(A33,'Données projet'!$A$113:$I$133,5,0)),0%,VLOOKUP(A33,'Données projet'!$A$113:$I$133,5,0)*VLOOKUP('Données projet'!$B$12,Paramètres!$A$1:$I$89,7,0))</f>
        <v>0.06</v>
      </c>
      <c r="CI33" s="17">
        <f>IF(ISNA(VLOOKUP(A33,'Données projet'!$A$113:$I$133,6,0)),0%,VLOOKUP(A33,'Données projet'!$A$113:$I$133,6,0)*VLOOKUP('Données projet'!$B$12,Paramètres!$A$1:$I$89,7,0))</f>
        <v>0.24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4.9918012355284169</v>
      </c>
      <c r="CL33" s="23">
        <f>EXP(-LN(2)/25)*CL32+(1-EXP(-LN(2)/25))/(LN(2)/25)*Calculateur!CG33*Calculateur!CI33*VLOOKUP('Données projet'!$B$12,Paramètres!$A$1:$I$89,3,0)*0.475*44/12</f>
        <v>20.065203319263006</v>
      </c>
      <c r="CM33" s="23">
        <f>EXP(-LN(2)/2)*CM32+(1-EXP(-LN(2)/2))/(LN(2)/2)*CG33*CJ33*VLOOKUP('Données projet'!$B$12,Paramètres!$A$1:$I$89,3,0)*0.475*44/12</f>
        <v>20.607763600293875</v>
      </c>
      <c r="CN33" s="24">
        <f t="shared" si="12"/>
        <v>45.664768155085298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255</v>
      </c>
      <c r="CR33" s="13">
        <f>VLOOKUP(A33,'Données projet'!$A$139:$I$159,9,0)</f>
        <v>16.666666666666668</v>
      </c>
      <c r="CS33" s="13">
        <f t="array" ref="CS33">INDEX(CR:CR,MIN(IF(ISNUMBER(CR33:CR229),ROW(CR33:CR229),"")))</f>
        <v>16.666666666666668</v>
      </c>
      <c r="CT33" s="13">
        <f>IF('Données projet'!$A$140&gt;35,CT32+CS33-DB32,IF(A33&lt;'Données projet'!$A$140,$CQ$205^A33,IF(A33='Données projet'!$A$140,'Données projet'!$B$140,CT32+CS33-DB32)))</f>
        <v>254.99999999999994</v>
      </c>
      <c r="CU33" s="18">
        <f>CT33*VLOOKUP('Données projet'!$B$13,Paramètres!$A$1:$I$89,3,0)*VLOOKUP('Données projet'!$B$13,Paramètres!$A$1:$I$89,5,0)</f>
        <v>139.22999999999996</v>
      </c>
      <c r="CV33" s="14">
        <f t="shared" si="41"/>
        <v>36.120552727378737</v>
      </c>
      <c r="CW33" s="22">
        <f t="shared" si="13"/>
        <v>305.4022126668512</v>
      </c>
      <c r="CX33" s="62">
        <f t="shared" si="14"/>
        <v>598.73554600018451</v>
      </c>
      <c r="CY33" s="62">
        <f ca="1">AVERAGE(OFFSET($CX$3,0,0,'Données projet'!$E$13+1,1))-AVERAGE(OFFSET($H$3,0,0,'Données projet'!$E$13+1,1))</f>
        <v>159.92263609041913</v>
      </c>
      <c r="CZ33" s="62">
        <f t="shared" si="42"/>
        <v>271.78119133009307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76</v>
      </c>
      <c r="DC33" s="17">
        <f>IF(ISNA(VLOOKUP(A33,'Données projet'!$A$139:$I$159,5,0)),0%,VLOOKUP(A33,'Données projet'!$A$139:$I$159,5,0)*VLOOKUP('Données projet'!$B$13,Paramètres!$A$1:$I$89,7,0))</f>
        <v>0.06</v>
      </c>
      <c r="DD33" s="17">
        <f>IF(ISNA(VLOOKUP(A33,'Données projet'!$A$139:$I$159,6,0)),0%,VLOOKUP(A33,'Données projet'!$A$139:$I$159,6,0)*VLOOKUP('Données projet'!$B$13,Paramètres!$A$1:$I$89,7,0))</f>
        <v>0.24</v>
      </c>
      <c r="DE33" s="17">
        <f>IF(ISNA(VLOOKUP(A33,'Données projet'!$A$139:$I$159,7,0)),0%,VLOOKUP(A33,'Données projet'!$A$139:$I$159,7,0))</f>
        <v>0.5</v>
      </c>
      <c r="DF33" s="23">
        <f>EXP(-LN(2)/35)*DF32+(1-EXP(-LN(2)/35))/(LN(2)/35)*DB33*DC33*VLOOKUP('Données projet'!$B$13,Paramètres!$A$1:$I$89,3,0)*0.475*44/12</f>
        <v>6.5443298617983867</v>
      </c>
      <c r="DG33" s="23">
        <f>EXP(-LN(2)/25)*DG32+(1-EXP(-LN(2)/25))/(LN(2)/25)*Calculateur!DB33*Calculateur!DD33*VLOOKUP('Données projet'!$B$13,Paramètres!$A$1:$I$89,3,0)*0.475*44/12</f>
        <v>29.26208673215887</v>
      </c>
      <c r="DH33" s="23">
        <f>EXP(-LN(2)/2)*DH32+(1-EXP(-LN(2)/2))/(LN(2)/2)*DB33*DE33*VLOOKUP('Données projet'!$B$13,Paramètres!$A$1:$I$89,3,0)*0.475*44/12</f>
        <v>27.434677167954877</v>
      </c>
      <c r="DI33" s="24">
        <f t="shared" si="15"/>
        <v>63.24109376191214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3.3076923076923075</v>
      </c>
      <c r="DO33" s="13">
        <f>IF('Données projet'!$A$166&gt;35,DO32+DN33-DW32,IF(A33&lt;'Données projet'!$A$166,$DL$205^A33,IF(A33='Données projet'!$A$166,'Données projet'!$B$166,DO32+DN33-DW32)))</f>
        <v>99.230769230769212</v>
      </c>
      <c r="DP33" s="18">
        <f>DO33*VLOOKUP('Données projet'!$B$14,Paramètres!$A$1:$I$89,3,0)*VLOOKUP('Données projet'!$B$14,Paramètres!$A$1:$I$89,5,0)</f>
        <v>47.72999999999999</v>
      </c>
      <c r="DQ33" s="14">
        <f t="shared" si="43"/>
        <v>14.025946443961811</v>
      </c>
      <c r="DR33" s="22">
        <f t="shared" si="16"/>
        <v>107.55827338990014</v>
      </c>
      <c r="DS33" s="62">
        <f t="shared" si="17"/>
        <v>400.89160672323345</v>
      </c>
      <c r="DT33" s="62">
        <f ca="1">AVERAGE(OFFSET($DS$3,0,0,'Données projet'!$E$14+1,1))-AVERAGE(OFFSET($H$3,0,0,'Données projet'!$E$14+1,1))</f>
        <v>122.60806128440754</v>
      </c>
      <c r="DU33" s="62">
        <f t="shared" si="44"/>
        <v>73.937252053142004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>
        <f>EJ33*VLOOKUP('Données projet'!$B$15,Paramètres!$A$1:$I$89,3,0)*VLOOKUP('Données projet'!$B$15,Paramètres!$A$1:$I$89,5,0)</f>
        <v>0</v>
      </c>
      <c r="EL33" s="14" t="e">
        <f t="shared" si="45"/>
        <v>#NUM!</v>
      </c>
      <c r="EM33" s="22" t="e">
        <f t="shared" si="19"/>
        <v>#NUM!</v>
      </c>
      <c r="EN33" s="62" t="e">
        <f t="shared" si="20"/>
        <v>#NUM!</v>
      </c>
      <c r="EO33" s="62">
        <f ca="1">AVERAGE(OFFSET($EN$3,0,0,'Données projet'!$E$15+1,1))-AVERAGE(OFFSET($H$3,0,0,'Données projet'!$E$15+1,1))</f>
        <v>0</v>
      </c>
      <c r="EP33" s="62">
        <f t="shared" si="46"/>
        <v>0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382.55387448074327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2.1592143438912252</v>
      </c>
      <c r="AA34" s="23">
        <f>EXP(-LN(2)/25)*AA33+(1-EXP(-LN(2)/25))/(LN(2)/25)*Calculateur!V34*Calculateur!X34*VLOOKUP('Données projet'!$B$9,Paramètres!$A$1:$I$89,3,0)*0.475*44/12</f>
        <v>10.392501885578595</v>
      </c>
      <c r="AB34" s="23">
        <f>EXP(-LN(2)/2)*AB33+(1-EXP(-LN(2)/2))/(LN(2)/2)*V34*Y34*VLOOKUP('Données projet'!$B$9,Paramètres!$A$1:$I$89,3,0)*0.475*44/12</f>
        <v>15.928569646466119</v>
      </c>
      <c r="AC34" s="24">
        <f t="shared" si="3"/>
        <v>28.480285875935941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269.64423257646359</v>
      </c>
      <c r="AO34" s="62">
        <f t="shared" si="36"/>
        <v>161.0819079811821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6.8888888888888893</v>
      </c>
      <c r="BD34" s="13">
        <f>IF('Données projet'!$A$88&gt;35,BD33+BC34-BL33,IF(A34&lt;'Données projet'!$A$88,$BA$205^A34,IF(A34='Données projet'!$A$88,'Données projet'!$B$88,BD33+BC34-BL33)))</f>
        <v>138.55555555555554</v>
      </c>
      <c r="BE34" s="14">
        <f>BD34*VLOOKUP('Données projet'!$B$11,Paramètres!$A$1:$I$89,3,0)*VLOOKUP('Données projet'!$B$11,Paramètres!$A$1:$I$89,5,0)</f>
        <v>64.843999999999994</v>
      </c>
      <c r="BF34" s="14">
        <f t="shared" si="37"/>
        <v>18.387395502392351</v>
      </c>
      <c r="BG34" s="22">
        <f t="shared" si="7"/>
        <v>144.96134716666668</v>
      </c>
      <c r="BH34" s="62">
        <f t="shared" si="8"/>
        <v>438.29468050000003</v>
      </c>
      <c r="BI34" s="62">
        <f ca="1">AVERAGE(OFFSET($BH$3,0,0,'Données projet'!$E$11+1,1))-AVERAGE(OFFSET($H$3,0,0,'Données projet'!$E$11+1,1))</f>
        <v>90.797383835887558</v>
      </c>
      <c r="BJ34" s="62">
        <f t="shared" si="38"/>
        <v>104.31413437636684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0.94635640466434989</v>
      </c>
      <c r="BQ34" s="23">
        <f>EXP(-LN(2)/25)*BQ33+(1-EXP(-LN(2)/25))/(LN(2)/25)*Calculateur!BL34*Calculateur!BN34*VLOOKUP('Données projet'!$B$11,Paramètres!$A$1:$I$89,3,0)*0.475*44/12</f>
        <v>4.1272893301780424</v>
      </c>
      <c r="BR34" s="23">
        <f>EXP(-LN(2)/2)*BR33+(1-EXP(-LN(2)/2))/(LN(2)/2)*BL34*BO34*VLOOKUP('Données projet'!$B$11,Paramètres!$A$1:$I$89,3,0)*0.475*44/12</f>
        <v>2.0924478596137903</v>
      </c>
      <c r="BS34" s="24">
        <f t="shared" si="9"/>
        <v>7.1660935944561821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12.833333333333334</v>
      </c>
      <c r="BY34" s="13">
        <f>IF('Données projet'!$A$114&gt;35,BY33+BX34-CG33,IF(A34&lt;'Données projet'!$A$114,$BV$205^A34,IF(A34='Données projet'!$A$114,'Données projet'!$B$114,BY33+BX34-CG33)))</f>
        <v>183.83333333333329</v>
      </c>
      <c r="BZ34" s="14">
        <f>BY34*VLOOKUP('Données projet'!$B$12,Paramètres!$A$1:$I$89,3,0)*VLOOKUP('Données projet'!$B$12,Paramètres!$A$1:$I$89,5,0)</f>
        <v>114.71199999999997</v>
      </c>
      <c r="CA34" s="14">
        <f t="shared" si="39"/>
        <v>30.438443898016164</v>
      </c>
      <c r="CB34" s="22">
        <f t="shared" si="10"/>
        <v>252.80368978904474</v>
      </c>
      <c r="CC34" s="62">
        <f t="shared" si="11"/>
        <v>546.13702312237808</v>
      </c>
      <c r="CD34" s="62">
        <f ca="1">AVERAGE(OFFSET($CC$3,0,0,'Données projet'!$E$12+1,1))-AVERAGE(OFFSET($H$3,0,0,'Données projet'!$E$12+1,1))</f>
        <v>179.44051550872138</v>
      </c>
      <c r="CE34" s="62">
        <f t="shared" si="40"/>
        <v>272.9500808380069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4.8939150579978197</v>
      </c>
      <c r="CL34" s="23">
        <f>EXP(-LN(2)/25)*CL33+(1-EXP(-LN(2)/25))/(LN(2)/25)*Calculateur!CG34*Calculateur!CI34*VLOOKUP('Données projet'!$B$12,Paramètres!$A$1:$I$89,3,0)*0.475*44/12</f>
        <v>19.516519279314576</v>
      </c>
      <c r="CM34" s="23">
        <f>EXP(-LN(2)/2)*CM33+(1-EXP(-LN(2)/2))/(LN(2)/2)*CG34*CJ34*VLOOKUP('Données projet'!$B$12,Paramètres!$A$1:$I$89,3,0)*0.475*44/12</f>
        <v>14.571889386857102</v>
      </c>
      <c r="CN34" s="24">
        <f t="shared" si="12"/>
        <v>38.982323724169497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15</v>
      </c>
      <c r="CT34" s="13">
        <f>IF('Données projet'!$A$140&gt;35,CT33+CS34-DB33,IF(A34&lt;'Données projet'!$A$140,$CQ$205^A34,IF(A34='Données projet'!$A$140,'Données projet'!$B$140,CT33+CS34-DB33)))</f>
        <v>193.99999999999994</v>
      </c>
      <c r="CU34" s="18">
        <f>CT34*VLOOKUP('Données projet'!$B$13,Paramètres!$A$1:$I$89,3,0)*VLOOKUP('Données projet'!$B$13,Paramètres!$A$1:$I$89,5,0)</f>
        <v>105.92399999999998</v>
      </c>
      <c r="CV34" s="14">
        <f t="shared" si="41"/>
        <v>28.36854701055546</v>
      </c>
      <c r="CW34" s="22">
        <f t="shared" si="13"/>
        <v>233.89285271005073</v>
      </c>
      <c r="CX34" s="62">
        <f t="shared" si="14"/>
        <v>527.22618604338402</v>
      </c>
      <c r="CY34" s="62">
        <f ca="1">AVERAGE(OFFSET($CX$3,0,0,'Données projet'!$E$13+1,1))-AVERAGE(OFFSET($H$3,0,0,'Données projet'!$E$13+1,1))</f>
        <v>159.92263609041913</v>
      </c>
      <c r="CZ34" s="62">
        <f t="shared" si="42"/>
        <v>271.78119133009307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6.4159995448555938</v>
      </c>
      <c r="DG34" s="23">
        <f>EXP(-LN(2)/25)*DG33+(1-EXP(-LN(2)/25))/(LN(2)/25)*Calculateur!DB34*Calculateur!DD34*VLOOKUP('Données projet'!$B$13,Paramètres!$A$1:$I$89,3,0)*0.475*44/12</f>
        <v>28.461913431641726</v>
      </c>
      <c r="DH34" s="23">
        <f>EXP(-LN(2)/2)*DH33+(1-EXP(-LN(2)/2))/(LN(2)/2)*DB34*DE34*VLOOKUP('Données projet'!$B$13,Paramètres!$A$1:$I$89,3,0)*0.475*44/12</f>
        <v>19.399246265124642</v>
      </c>
      <c r="DI34" s="24">
        <f t="shared" si="15"/>
        <v>54.277159241621959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3.3076923076923075</v>
      </c>
      <c r="DO34" s="13">
        <f>IF('Données projet'!$A$166&gt;35,DO33+DN34-DW33,IF(A34&lt;'Données projet'!$A$166,$DL$205^A34,IF(A34='Données projet'!$A$166,'Données projet'!$B$166,DO33+DN34-DW33)))</f>
        <v>102.53846153846152</v>
      </c>
      <c r="DP34" s="18">
        <f>DO34*VLOOKUP('Données projet'!$B$14,Paramètres!$A$1:$I$89,3,0)*VLOOKUP('Données projet'!$B$14,Paramètres!$A$1:$I$89,5,0)</f>
        <v>49.320999999999991</v>
      </c>
      <c r="DQ34" s="14">
        <f t="shared" si="43"/>
        <v>14.438265654378139</v>
      </c>
      <c r="DR34" s="22">
        <f t="shared" si="16"/>
        <v>111.04738768137524</v>
      </c>
      <c r="DS34" s="62">
        <f t="shared" si="17"/>
        <v>404.38072101470857</v>
      </c>
      <c r="DT34" s="62">
        <f ca="1">AVERAGE(OFFSET($DS$3,0,0,'Données projet'!$E$14+1,1))-AVERAGE(OFFSET($H$3,0,0,'Données projet'!$E$14+1,1))</f>
        <v>122.60806128440754</v>
      </c>
      <c r="DU34" s="62">
        <f t="shared" si="44"/>
        <v>73.937252053142004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>
        <f>EJ34*VLOOKUP('Données projet'!$B$15,Paramètres!$A$1:$I$89,3,0)*VLOOKUP('Données projet'!$B$15,Paramètres!$A$1:$I$89,5,0)</f>
        <v>0</v>
      </c>
      <c r="EL34" s="14" t="e">
        <f t="shared" si="45"/>
        <v>#NUM!</v>
      </c>
      <c r="EM34" s="22" t="e">
        <f t="shared" si="19"/>
        <v>#NUM!</v>
      </c>
      <c r="EN34" s="62" t="e">
        <f t="shared" si="20"/>
        <v>#NUM!</v>
      </c>
      <c r="EO34" s="62">
        <f ca="1">AVERAGE(OFFSET($EN$3,0,0,'Données projet'!$E$15+1,1))-AVERAGE(OFFSET($H$3,0,0,'Données projet'!$E$15+1,1))</f>
        <v>0</v>
      </c>
      <c r="EP34" s="62">
        <f t="shared" si="46"/>
        <v>0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382.55387448074327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2.1168734675982259</v>
      </c>
      <c r="AA35" s="23">
        <f>EXP(-LN(2)/25)*AA34+(1-EXP(-LN(2)/25))/(LN(2)/25)*Calculateur!V35*Calculateur!X35*VLOOKUP('Données projet'!$B$9,Paramètres!$A$1:$I$89,3,0)*0.475*44/12</f>
        <v>10.108318374999525</v>
      </c>
      <c r="AB35" s="23">
        <f>EXP(-LN(2)/2)*AB34+(1-EXP(-LN(2)/2))/(LN(2)/2)*V35*Y35*VLOOKUP('Données projet'!$B$9,Paramètres!$A$1:$I$89,3,0)*0.475*44/12</f>
        <v>11.263199611618402</v>
      </c>
      <c r="AC35" s="24">
        <f t="shared" si="3"/>
        <v>23.488391454216156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269.64423257646359</v>
      </c>
      <c r="AO35" s="62">
        <f t="shared" si="36"/>
        <v>161.0819079811821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6.8888888888888893</v>
      </c>
      <c r="BD35" s="13">
        <f>IF('Données projet'!$A$88&gt;35,BD34+BC35-BL34,IF(A35&lt;'Données projet'!$A$88,$BA$205^A35,IF(A35='Données projet'!$A$88,'Données projet'!$B$88,BD34+BC35-BL34)))</f>
        <v>145.44444444444443</v>
      </c>
      <c r="BE35" s="14">
        <f>BD35*VLOOKUP('Données projet'!$B$11,Paramètres!$A$1:$I$89,3,0)*VLOOKUP('Données projet'!$B$11,Paramètres!$A$1:$I$89,5,0)</f>
        <v>68.067999999999998</v>
      </c>
      <c r="BF35" s="14">
        <f t="shared" si="37"/>
        <v>19.192895159755647</v>
      </c>
      <c r="BG35" s="22">
        <f t="shared" si="7"/>
        <v>151.97939240324109</v>
      </c>
      <c r="BH35" s="62">
        <f t="shared" si="8"/>
        <v>445.31272573657441</v>
      </c>
      <c r="BI35" s="62">
        <f ca="1">AVERAGE(OFFSET($BH$3,0,0,'Données projet'!$E$11+1,1))-AVERAGE(OFFSET($H$3,0,0,'Données projet'!$E$11+1,1))</f>
        <v>90.797383835887558</v>
      </c>
      <c r="BJ35" s="62">
        <f t="shared" si="38"/>
        <v>104.31413437636684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0.92779893278929304</v>
      </c>
      <c r="BQ35" s="23">
        <f>EXP(-LN(2)/25)*BQ34+(1-EXP(-LN(2)/25))/(LN(2)/25)*Calculateur!BL35*Calculateur!BN35*VLOOKUP('Données projet'!$B$11,Paramètres!$A$1:$I$89,3,0)*0.475*44/12</f>
        <v>4.0144283863996106</v>
      </c>
      <c r="BR35" s="23">
        <f>EXP(-LN(2)/2)*BR34+(1-EXP(-LN(2)/2))/(LN(2)/2)*BL35*BO35*VLOOKUP('Données projet'!$B$11,Paramètres!$A$1:$I$89,3,0)*0.475*44/12</f>
        <v>1.4795840708121883</v>
      </c>
      <c r="BS35" s="24">
        <f t="shared" si="9"/>
        <v>6.4218113900010918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12.833333333333334</v>
      </c>
      <c r="BY35" s="13">
        <f>IF('Données projet'!$A$114&gt;35,BY34+BX35-CG34,IF(A35&lt;'Données projet'!$A$114,$BV$205^A35,IF(A35='Données projet'!$A$114,'Données projet'!$B$114,BY34+BX35-CG34)))</f>
        <v>196.66666666666663</v>
      </c>
      <c r="BZ35" s="14">
        <f>BY35*VLOOKUP('Données projet'!$B$12,Paramètres!$A$1:$I$89,3,0)*VLOOKUP('Données projet'!$B$12,Paramètres!$A$1:$I$89,5,0)</f>
        <v>122.71999999999997</v>
      </c>
      <c r="CA35" s="14">
        <f t="shared" si="39"/>
        <v>32.308564708068729</v>
      </c>
      <c r="CB35" s="22">
        <f t="shared" si="10"/>
        <v>270.00808353321963</v>
      </c>
      <c r="CC35" s="62">
        <f t="shared" si="11"/>
        <v>563.34141686655289</v>
      </c>
      <c r="CD35" s="62">
        <f ca="1">AVERAGE(OFFSET($CC$3,0,0,'Données projet'!$E$12+1,1))-AVERAGE(OFFSET($H$3,0,0,'Données projet'!$E$12+1,1))</f>
        <v>179.44051550872138</v>
      </c>
      <c r="CE35" s="62">
        <f t="shared" si="40"/>
        <v>272.9500808380069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4.7979483687039242</v>
      </c>
      <c r="CL35" s="23">
        <f>EXP(-LN(2)/25)*CL34+(1-EXP(-LN(2)/25))/(LN(2)/25)*Calculateur!CG35*Calculateur!CI35*VLOOKUP('Données projet'!$B$12,Paramètres!$A$1:$I$89,3,0)*0.475*44/12</f>
        <v>18.982839033292574</v>
      </c>
      <c r="CM35" s="23">
        <f>EXP(-LN(2)/2)*CM34+(1-EXP(-LN(2)/2))/(LN(2)/2)*CG35*CJ35*VLOOKUP('Données projet'!$B$12,Paramètres!$A$1:$I$89,3,0)*0.475*44/12</f>
        <v>10.303881800146939</v>
      </c>
      <c r="CN35" s="24">
        <f t="shared" si="12"/>
        <v>34.084669202143438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15</v>
      </c>
      <c r="CT35" s="13">
        <f>IF('Données projet'!$A$140&gt;35,CT34+CS35-DB34,IF(A35&lt;'Données projet'!$A$140,$CQ$205^A35,IF(A35='Données projet'!$A$140,'Données projet'!$B$140,CT34+CS35-DB34)))</f>
        <v>208.99999999999994</v>
      </c>
      <c r="CU35" s="18">
        <f>CT35*VLOOKUP('Données projet'!$B$13,Paramètres!$A$1:$I$89,3,0)*VLOOKUP('Données projet'!$B$13,Paramètres!$A$1:$I$89,5,0)</f>
        <v>114.11399999999996</v>
      </c>
      <c r="CV35" s="14">
        <f t="shared" si="41"/>
        <v>30.298194021728271</v>
      </c>
      <c r="CW35" s="22">
        <f t="shared" si="13"/>
        <v>251.5179045878433</v>
      </c>
      <c r="CX35" s="62">
        <f t="shared" si="14"/>
        <v>544.85123792117656</v>
      </c>
      <c r="CY35" s="62">
        <f ca="1">AVERAGE(OFFSET($CX$3,0,0,'Données projet'!$E$13+1,1))-AVERAGE(OFFSET($H$3,0,0,'Données projet'!$E$13+1,1))</f>
        <v>159.92263609041913</v>
      </c>
      <c r="CZ35" s="62">
        <f t="shared" si="42"/>
        <v>271.78119133009307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6.2901857071542846</v>
      </c>
      <c r="DG35" s="23">
        <f>EXP(-LN(2)/25)*DG34+(1-EXP(-LN(2)/25))/(LN(2)/25)*Calculateur!DB35*Calculateur!DD35*VLOOKUP('Données projet'!$B$13,Paramètres!$A$1:$I$89,3,0)*0.475*44/12</f>
        <v>27.683620912106505</v>
      </c>
      <c r="DH35" s="23">
        <f>EXP(-LN(2)/2)*DH34+(1-EXP(-LN(2)/2))/(LN(2)/2)*DB35*DE35*VLOOKUP('Données projet'!$B$13,Paramètres!$A$1:$I$89,3,0)*0.475*44/12</f>
        <v>13.71733858397744</v>
      </c>
      <c r="DI35" s="24">
        <f t="shared" si="15"/>
        <v>47.691145203238236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3.3076923076923075</v>
      </c>
      <c r="DO35" s="13">
        <f>IF('Données projet'!$A$166&gt;35,DO34+DN35-DW34,IF(A35&lt;'Données projet'!$A$166,$DL$205^A35,IF(A35='Données projet'!$A$166,'Données projet'!$B$166,DO34+DN35-DW34)))</f>
        <v>105.84615384615383</v>
      </c>
      <c r="DP35" s="18">
        <f>DO35*VLOOKUP('Données projet'!$B$14,Paramètres!$A$1:$I$89,3,0)*VLOOKUP('Données projet'!$B$14,Paramètres!$A$1:$I$89,5,0)</f>
        <v>50.911999999999992</v>
      </c>
      <c r="DQ35" s="14">
        <f t="shared" si="43"/>
        <v>14.849039292444758</v>
      </c>
      <c r="DR35" s="22">
        <f t="shared" si="16"/>
        <v>114.53381010100793</v>
      </c>
      <c r="DS35" s="62">
        <f t="shared" si="17"/>
        <v>407.86714343434124</v>
      </c>
      <c r="DT35" s="62">
        <f ca="1">AVERAGE(OFFSET($DS$3,0,0,'Données projet'!$E$14+1,1))-AVERAGE(OFFSET($H$3,0,0,'Données projet'!$E$14+1,1))</f>
        <v>122.60806128440754</v>
      </c>
      <c r="DU35" s="62">
        <f t="shared" si="44"/>
        <v>73.937252053142004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>
        <f>EJ35*VLOOKUP('Données projet'!$B$15,Paramètres!$A$1:$I$89,3,0)*VLOOKUP('Données projet'!$B$15,Paramètres!$A$1:$I$89,5,0)</f>
        <v>0</v>
      </c>
      <c r="EL35" s="14" t="e">
        <f t="shared" si="45"/>
        <v>#NUM!</v>
      </c>
      <c r="EM35" s="22" t="e">
        <f t="shared" si="19"/>
        <v>#NUM!</v>
      </c>
      <c r="EN35" s="62" t="e">
        <f t="shared" si="20"/>
        <v>#NUM!</v>
      </c>
      <c r="EO35" s="62">
        <f ca="1">AVERAGE(OFFSET($EN$3,0,0,'Données projet'!$E$15+1,1))-AVERAGE(OFFSET($H$3,0,0,'Données projet'!$E$15+1,1))</f>
        <v>0</v>
      </c>
      <c r="EP35" s="62">
        <f t="shared" si="46"/>
        <v>0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382.55387448074327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2.0753628700639482</v>
      </c>
      <c r="AA36" s="23">
        <f>EXP(-LN(2)/25)*AA35+(1-EXP(-LN(2)/25))/(LN(2)/25)*Calculateur!V36*Calculateur!X36*VLOOKUP('Données projet'!$B$9,Paramètres!$A$1:$I$89,3,0)*0.475*44/12</f>
        <v>9.8319058774618036</v>
      </c>
      <c r="AB36" s="23">
        <f>EXP(-LN(2)/2)*AB35+(1-EXP(-LN(2)/2))/(LN(2)/2)*V36*Y36*VLOOKUP('Données projet'!$B$9,Paramètres!$A$1:$I$89,3,0)*0.475*44/12</f>
        <v>7.9642848232330614</v>
      </c>
      <c r="AC36" s="24">
        <f t="shared" si="3"/>
        <v>19.871553570758813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269.64423257646359</v>
      </c>
      <c r="AO36" s="62">
        <f t="shared" si="36"/>
        <v>161.0819079811821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6.8888888888888893</v>
      </c>
      <c r="BD36" s="13">
        <f>IF('Données projet'!$A$88&gt;35,BD35+BC36-BL35,IF(A36&lt;'Données projet'!$A$88,$BA$205^A36,IF(A36='Données projet'!$A$88,'Données projet'!$B$88,BD35+BC36-BL35)))</f>
        <v>152.33333333333331</v>
      </c>
      <c r="BE36" s="14">
        <f>BD36*VLOOKUP('Données projet'!$B$11,Paramètres!$A$1:$I$89,3,0)*VLOOKUP('Données projet'!$B$11,Paramètres!$A$1:$I$89,5,0)</f>
        <v>71.291999999999987</v>
      </c>
      <c r="BF36" s="14">
        <f t="shared" si="37"/>
        <v>19.993964393640923</v>
      </c>
      <c r="BG36" s="22">
        <f t="shared" si="7"/>
        <v>158.98972131892458</v>
      </c>
      <c r="BH36" s="62">
        <f t="shared" si="8"/>
        <v>452.32305465225789</v>
      </c>
      <c r="BI36" s="62">
        <f ca="1">AVERAGE(OFFSET($BH$3,0,0,'Données projet'!$E$11+1,1))-AVERAGE(OFFSET($H$3,0,0,'Données projet'!$E$11+1,1))</f>
        <v>90.797383835887558</v>
      </c>
      <c r="BJ36" s="62">
        <f t="shared" si="38"/>
        <v>104.31413437636684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0.90960536161876593</v>
      </c>
      <c r="BQ36" s="23">
        <f>EXP(-LN(2)/25)*BQ35+(1-EXP(-LN(2)/25))/(LN(2)/25)*Calculateur!BL36*Calculateur!BN36*VLOOKUP('Données projet'!$B$11,Paramètres!$A$1:$I$89,3,0)*0.475*44/12</f>
        <v>3.9046536310638995</v>
      </c>
      <c r="BR36" s="23">
        <f>EXP(-LN(2)/2)*BR35+(1-EXP(-LN(2)/2))/(LN(2)/2)*BL36*BO36*VLOOKUP('Données projet'!$B$11,Paramètres!$A$1:$I$89,3,0)*0.475*44/12</f>
        <v>1.0462239298068954</v>
      </c>
      <c r="BS36" s="24">
        <f t="shared" si="9"/>
        <v>5.8604829224895614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12.833333333333334</v>
      </c>
      <c r="BY36" s="13">
        <f>IF('Données projet'!$A$114&gt;35,BY35+BX36-CG35,IF(A36&lt;'Données projet'!$A$114,$BV$205^A36,IF(A36='Données projet'!$A$114,'Données projet'!$B$114,BY35+BX36-CG35)))</f>
        <v>209.49999999999997</v>
      </c>
      <c r="BZ36" s="14">
        <f>BY36*VLOOKUP('Données projet'!$B$12,Paramètres!$A$1:$I$89,3,0)*VLOOKUP('Données projet'!$B$12,Paramètres!$A$1:$I$89,5,0)</f>
        <v>130.72799999999998</v>
      </c>
      <c r="CA36" s="14">
        <f t="shared" si="39"/>
        <v>34.164524045585857</v>
      </c>
      <c r="CB36" s="22">
        <f t="shared" si="10"/>
        <v>287.18781271272866</v>
      </c>
      <c r="CC36" s="62">
        <f t="shared" si="11"/>
        <v>580.52114604606197</v>
      </c>
      <c r="CD36" s="62">
        <f ca="1">AVERAGE(OFFSET($CC$3,0,0,'Données projet'!$E$12+1,1))-AVERAGE(OFFSET($H$3,0,0,'Données projet'!$E$12+1,1))</f>
        <v>179.44051550872138</v>
      </c>
      <c r="CE36" s="62">
        <f t="shared" si="40"/>
        <v>272.9500808380069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4.7038635276531808</v>
      </c>
      <c r="CL36" s="23">
        <f>EXP(-LN(2)/25)*CL35+(1-EXP(-LN(2)/25))/(LN(2)/25)*Calculateur!CG36*Calculateur!CI36*VLOOKUP('Données projet'!$B$12,Paramètres!$A$1:$I$89,3,0)*0.475*44/12</f>
        <v>18.463752301663071</v>
      </c>
      <c r="CM36" s="23">
        <f>EXP(-LN(2)/2)*CM35+(1-EXP(-LN(2)/2))/(LN(2)/2)*CG36*CJ36*VLOOKUP('Données projet'!$B$12,Paramètres!$A$1:$I$89,3,0)*0.475*44/12</f>
        <v>7.2859446934285517</v>
      </c>
      <c r="CN36" s="24">
        <f t="shared" si="12"/>
        <v>30.453560522744802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15</v>
      </c>
      <c r="CT36" s="13">
        <f>IF('Données projet'!$A$140&gt;35,CT35+CS36-DB35,IF(A36&lt;'Données projet'!$A$140,$CQ$205^A36,IF(A36='Données projet'!$A$140,'Données projet'!$B$140,CT35+CS36-DB35)))</f>
        <v>223.99999999999994</v>
      </c>
      <c r="CU36" s="18">
        <f>CT36*VLOOKUP('Données projet'!$B$13,Paramètres!$A$1:$I$89,3,0)*VLOOKUP('Données projet'!$B$13,Paramètres!$A$1:$I$89,5,0)</f>
        <v>122.30399999999996</v>
      </c>
      <c r="CV36" s="14">
        <f t="shared" si="41"/>
        <v>32.211773226559373</v>
      </c>
      <c r="CW36" s="22">
        <f t="shared" si="13"/>
        <v>269.11497170292415</v>
      </c>
      <c r="CX36" s="62">
        <f t="shared" si="14"/>
        <v>562.44830503625747</v>
      </c>
      <c r="CY36" s="62">
        <f ca="1">AVERAGE(OFFSET($CX$3,0,0,'Données projet'!$E$13+1,1))-AVERAGE(OFFSET($H$3,0,0,'Données projet'!$E$13+1,1))</f>
        <v>159.92263609041913</v>
      </c>
      <c r="CZ36" s="62">
        <f t="shared" si="42"/>
        <v>271.78119133009307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6.1668390020714341</v>
      </c>
      <c r="DG36" s="23">
        <f>EXP(-LN(2)/25)*DG35+(1-EXP(-LN(2)/25))/(LN(2)/25)*Calculateur!DB36*Calculateur!DD36*VLOOKUP('Données projet'!$B$13,Paramètres!$A$1:$I$89,3,0)*0.475*44/12</f>
        <v>26.9266108424466</v>
      </c>
      <c r="DH36" s="23">
        <f>EXP(-LN(2)/2)*DH35+(1-EXP(-LN(2)/2))/(LN(2)/2)*DB36*DE36*VLOOKUP('Données projet'!$B$13,Paramètres!$A$1:$I$89,3,0)*0.475*44/12</f>
        <v>9.6996231325623228</v>
      </c>
      <c r="DI36" s="24">
        <f t="shared" si="15"/>
        <v>42.793072977080357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3.3076923076923075</v>
      </c>
      <c r="DO36" s="13">
        <f>IF('Données projet'!$A$166&gt;35,DO35+DN36-DW35,IF(A36&lt;'Données projet'!$A$166,$DL$205^A36,IF(A36='Données projet'!$A$166,'Données projet'!$B$166,DO35+DN36-DW35)))</f>
        <v>109.15384615384613</v>
      </c>
      <c r="DP36" s="18">
        <f>DO36*VLOOKUP('Données projet'!$B$14,Paramètres!$A$1:$I$89,3,0)*VLOOKUP('Données projet'!$B$14,Paramètres!$A$1:$I$89,5,0)</f>
        <v>52.502999999999993</v>
      </c>
      <c r="DQ36" s="14">
        <f t="shared" si="43"/>
        <v>15.258321199148105</v>
      </c>
      <c r="DR36" s="22">
        <f t="shared" si="16"/>
        <v>118.01763442184961</v>
      </c>
      <c r="DS36" s="62">
        <f t="shared" si="17"/>
        <v>411.35096775518292</v>
      </c>
      <c r="DT36" s="62">
        <f ca="1">AVERAGE(OFFSET($DS$3,0,0,'Données projet'!$E$14+1,1))-AVERAGE(OFFSET($H$3,0,0,'Données projet'!$E$14+1,1))</f>
        <v>122.60806128440754</v>
      </c>
      <c r="DU36" s="62">
        <f t="shared" si="44"/>
        <v>73.937252053142004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>
        <f>EJ36*VLOOKUP('Données projet'!$B$15,Paramètres!$A$1:$I$89,3,0)*VLOOKUP('Données projet'!$B$15,Paramètres!$A$1:$I$89,5,0)</f>
        <v>0</v>
      </c>
      <c r="EL36" s="14" t="e">
        <f t="shared" si="45"/>
        <v>#NUM!</v>
      </c>
      <c r="EM36" s="22" t="e">
        <f t="shared" si="19"/>
        <v>#NUM!</v>
      </c>
      <c r="EN36" s="62" t="e">
        <f t="shared" si="20"/>
        <v>#NUM!</v>
      </c>
      <c r="EO36" s="62">
        <f ca="1">AVERAGE(OFFSET($EN$3,0,0,'Données projet'!$E$15+1,1))-AVERAGE(OFFSET($H$3,0,0,'Données projet'!$E$15+1,1))</f>
        <v>0</v>
      </c>
      <c r="EP36" s="62">
        <f t="shared" si="46"/>
        <v>0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382.55387448074327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2.0346662700283531</v>
      </c>
      <c r="AA37" s="23">
        <f>EXP(-LN(2)/25)*AA36+(1-EXP(-LN(2)/25))/(LN(2)/25)*Calculateur!V37*Calculateur!X37*VLOOKUP('Données projet'!$B$9,Paramètres!$A$1:$I$89,3,0)*0.475*44/12</f>
        <v>9.5630518942051523</v>
      </c>
      <c r="AB37" s="23">
        <f>EXP(-LN(2)/2)*AB36+(1-EXP(-LN(2)/2))/(LN(2)/2)*V37*Y37*VLOOKUP('Données projet'!$B$9,Paramètres!$A$1:$I$89,3,0)*0.475*44/12</f>
        <v>5.6315998058092021</v>
      </c>
      <c r="AC37" s="24">
        <f t="shared" si="3"/>
        <v>17.229317970042707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269.64423257646359</v>
      </c>
      <c r="AO37" s="62">
        <f t="shared" si="36"/>
        <v>161.0819079811821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6.8888888888888893</v>
      </c>
      <c r="BD37" s="13">
        <f>IF('Données projet'!$A$88&gt;35,BD36+BC37-BL36,IF(A37&lt;'Données projet'!$A$88,$BA$205^A37,IF(A37='Données projet'!$A$88,'Données projet'!$B$88,BD36+BC37-BL36)))</f>
        <v>159.2222222222222</v>
      </c>
      <c r="BE37" s="14">
        <f>BD37*VLOOKUP('Données projet'!$B$11,Paramètres!$A$1:$I$89,3,0)*VLOOKUP('Données projet'!$B$11,Paramètres!$A$1:$I$89,5,0)</f>
        <v>74.515999999999991</v>
      </c>
      <c r="BF37" s="14">
        <f t="shared" si="37"/>
        <v>20.790826447803102</v>
      </c>
      <c r="BG37" s="22">
        <f t="shared" si="7"/>
        <v>165.99272272992371</v>
      </c>
      <c r="BH37" s="62">
        <f t="shared" si="8"/>
        <v>459.32605606325706</v>
      </c>
      <c r="BI37" s="62">
        <f ca="1">AVERAGE(OFFSET($BH$3,0,0,'Données projet'!$E$11+1,1))-AVERAGE(OFFSET($H$3,0,0,'Données projet'!$E$11+1,1))</f>
        <v>90.797383835887558</v>
      </c>
      <c r="BJ37" s="62">
        <f t="shared" si="38"/>
        <v>104.31413437636684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0.89176855528191012</v>
      </c>
      <c r="BQ37" s="23">
        <f>EXP(-LN(2)/25)*BQ36+(1-EXP(-LN(2)/25))/(LN(2)/25)*Calculateur!BL37*Calculateur!BN37*VLOOKUP('Données projet'!$B$11,Paramètres!$A$1:$I$89,3,0)*0.475*44/12</f>
        <v>3.7978806721856468</v>
      </c>
      <c r="BR37" s="23">
        <f>EXP(-LN(2)/2)*BR36+(1-EXP(-LN(2)/2))/(LN(2)/2)*BL37*BO37*VLOOKUP('Données projet'!$B$11,Paramètres!$A$1:$I$89,3,0)*0.475*44/12</f>
        <v>0.73979203540609428</v>
      </c>
      <c r="BS37" s="24">
        <f t="shared" si="9"/>
        <v>5.4294412628736515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12.833333333333334</v>
      </c>
      <c r="BY37" s="13">
        <f>IF('Données projet'!$A$114&gt;35,BY36+BX37-CG36,IF(A37&lt;'Données projet'!$A$114,$BV$205^A37,IF(A37='Données projet'!$A$114,'Données projet'!$B$114,BY36+BX37-CG36)))</f>
        <v>222.33333333333331</v>
      </c>
      <c r="BZ37" s="14">
        <f>BY37*VLOOKUP('Données projet'!$B$12,Paramètres!$A$1:$I$89,3,0)*VLOOKUP('Données projet'!$B$12,Paramètres!$A$1:$I$89,5,0)</f>
        <v>138.73599999999999</v>
      </c>
      <c r="CA37" s="14">
        <f t="shared" si="39"/>
        <v>36.007288175538044</v>
      </c>
      <c r="CB37" s="22">
        <f t="shared" si="10"/>
        <v>304.34456023906205</v>
      </c>
      <c r="CC37" s="62">
        <f t="shared" si="11"/>
        <v>597.67789357239531</v>
      </c>
      <c r="CD37" s="62">
        <f ca="1">AVERAGE(OFFSET($CC$3,0,0,'Données projet'!$E$12+1,1))-AVERAGE(OFFSET($H$3,0,0,'Données projet'!$E$12+1,1))</f>
        <v>179.44051550872138</v>
      </c>
      <c r="CE37" s="62">
        <f t="shared" si="40"/>
        <v>272.9500808380069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4.6116236329493567</v>
      </c>
      <c r="CL37" s="23">
        <f>EXP(-LN(2)/25)*CL36+(1-EXP(-LN(2)/25))/(LN(2)/25)*Calculateur!CG37*Calculateur!CI37*VLOOKUP('Données projet'!$B$12,Paramètres!$A$1:$I$89,3,0)*0.475*44/12</f>
        <v>17.95886002400756</v>
      </c>
      <c r="CM37" s="23">
        <f>EXP(-LN(2)/2)*CM36+(1-EXP(-LN(2)/2))/(LN(2)/2)*CG37*CJ37*VLOOKUP('Données projet'!$B$12,Paramètres!$A$1:$I$89,3,0)*0.475*44/12</f>
        <v>5.1519409000734706</v>
      </c>
      <c r="CN37" s="24">
        <f t="shared" si="12"/>
        <v>27.722424557030386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15</v>
      </c>
      <c r="CT37" s="13">
        <f>IF('Données projet'!$A$140&gt;35,CT36+CS37-DB36,IF(A37&lt;'Données projet'!$A$140,$CQ$205^A37,IF(A37='Données projet'!$A$140,'Données projet'!$B$140,CT36+CS37-DB36)))</f>
        <v>238.99999999999994</v>
      </c>
      <c r="CU37" s="18">
        <f>CT37*VLOOKUP('Données projet'!$B$13,Paramètres!$A$1:$I$89,3,0)*VLOOKUP('Données projet'!$B$13,Paramètres!$A$1:$I$89,5,0)</f>
        <v>130.49399999999997</v>
      </c>
      <c r="CV37" s="14">
        <f t="shared" si="41"/>
        <v>34.110483018610772</v>
      </c>
      <c r="CW37" s="22">
        <f t="shared" si="13"/>
        <v>286.68614125741368</v>
      </c>
      <c r="CX37" s="62">
        <f t="shared" si="14"/>
        <v>580.019474590747</v>
      </c>
      <c r="CY37" s="62">
        <f ca="1">AVERAGE(OFFSET($CX$3,0,0,'Données projet'!$E$13+1,1))-AVERAGE(OFFSET($H$3,0,0,'Données projet'!$E$13+1,1))</f>
        <v>159.92263609041913</v>
      </c>
      <c r="CZ37" s="62">
        <f t="shared" si="42"/>
        <v>271.78119133009307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6.0459110506411973</v>
      </c>
      <c r="DG37" s="23">
        <f>EXP(-LN(2)/25)*DG36+(1-EXP(-LN(2)/25))/(LN(2)/25)*Calculateur!DB37*Calculateur!DD37*VLOOKUP('Données projet'!$B$13,Paramètres!$A$1:$I$89,3,0)*0.475*44/12</f>
        <v>26.190301252950974</v>
      </c>
      <c r="DH37" s="23">
        <f>EXP(-LN(2)/2)*DH36+(1-EXP(-LN(2)/2))/(LN(2)/2)*DB37*DE37*VLOOKUP('Données projet'!$B$13,Paramètres!$A$1:$I$89,3,0)*0.475*44/12</f>
        <v>6.8586692919887211</v>
      </c>
      <c r="DI37" s="24">
        <f t="shared" si="15"/>
        <v>39.094881595580887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3.3076923076923075</v>
      </c>
      <c r="DO37" s="13">
        <f>IF('Données projet'!$A$166&gt;35,DO36+DN37-DW36,IF(A37&lt;'Données projet'!$A$166,$DL$205^A37,IF(A37='Données projet'!$A$166,'Données projet'!$B$166,DO36+DN37-DW36)))</f>
        <v>112.46153846153844</v>
      </c>
      <c r="DP37" s="18">
        <f>DO37*VLOOKUP('Données projet'!$B$14,Paramètres!$A$1:$I$89,3,0)*VLOOKUP('Données projet'!$B$14,Paramètres!$A$1:$I$89,5,0)</f>
        <v>54.093999999999987</v>
      </c>
      <c r="DQ37" s="14">
        <f t="shared" si="43"/>
        <v>15.666161766955549</v>
      </c>
      <c r="DR37" s="22">
        <f t="shared" si="16"/>
        <v>121.49894841078088</v>
      </c>
      <c r="DS37" s="62">
        <f t="shared" si="17"/>
        <v>414.8322817441142</v>
      </c>
      <c r="DT37" s="62">
        <f ca="1">AVERAGE(OFFSET($DS$3,0,0,'Données projet'!$E$14+1,1))-AVERAGE(OFFSET($H$3,0,0,'Données projet'!$E$14+1,1))</f>
        <v>122.60806128440754</v>
      </c>
      <c r="DU37" s="62">
        <f t="shared" si="44"/>
        <v>73.937252053142004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>
        <f>EJ37*VLOOKUP('Données projet'!$B$15,Paramètres!$A$1:$I$89,3,0)*VLOOKUP('Données projet'!$B$15,Paramètres!$A$1:$I$89,5,0)</f>
        <v>0</v>
      </c>
      <c r="EL37" s="14" t="e">
        <f t="shared" si="45"/>
        <v>#NUM!</v>
      </c>
      <c r="EM37" s="22" t="e">
        <f t="shared" si="19"/>
        <v>#NUM!</v>
      </c>
      <c r="EN37" s="62" t="e">
        <f t="shared" si="20"/>
        <v>#NUM!</v>
      </c>
      <c r="EO37" s="62">
        <f ca="1">AVERAGE(OFFSET($EN$3,0,0,'Données projet'!$E$15+1,1))-AVERAGE(OFFSET($H$3,0,0,'Données projet'!$E$15+1,1))</f>
        <v>0</v>
      </c>
      <c r="EP37" s="62">
        <f t="shared" si="46"/>
        <v>0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382.55387448074327</v>
      </c>
      <c r="T38" s="62">
        <f t="shared" si="34"/>
        <v>476.29465646955543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1.9947677054969808</v>
      </c>
      <c r="AA38" s="23">
        <f>EXP(-LN(2)/25)*AA37+(1-EXP(-LN(2)/25))/(LN(2)/25)*Calculateur!V38*Calculateur!X38*VLOOKUP('Données projet'!$B$9,Paramètres!$A$1:$I$89,3,0)*0.475*44/12</f>
        <v>9.3015497372590694</v>
      </c>
      <c r="AB38" s="23">
        <f>EXP(-LN(2)/2)*AB37+(1-EXP(-LN(2)/2))/(LN(2)/2)*V38*Y38*VLOOKUP('Données projet'!$B$9,Paramètres!$A$1:$I$89,3,0)*0.475*44/12</f>
        <v>3.9821424116165312</v>
      </c>
      <c r="AC38" s="24">
        <f t="shared" si="3"/>
        <v>15.278459854372581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269.64423257646359</v>
      </c>
      <c r="AO38" s="62">
        <f t="shared" si="36"/>
        <v>161.0819079811821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6.8888888888888893</v>
      </c>
      <c r="BD38" s="13">
        <f>IF('Données projet'!$A$88&gt;35,BD37+BC38-BL37,IF(A38&lt;'Données projet'!$A$88,$BA$205^A38,IF(A38='Données projet'!$A$88,'Données projet'!$B$88,BD37+BC38-BL37)))</f>
        <v>166.11111111111109</v>
      </c>
      <c r="BE38" s="14">
        <f>BD38*VLOOKUP('Données projet'!$B$11,Paramètres!$A$1:$I$89,3,0)*VLOOKUP('Données projet'!$B$11,Paramètres!$A$1:$I$89,5,0)</f>
        <v>77.739999999999995</v>
      </c>
      <c r="BF38" s="14">
        <f t="shared" si="37"/>
        <v>21.583684155853891</v>
      </c>
      <c r="BG38" s="22">
        <f t="shared" si="7"/>
        <v>172.98874990477884</v>
      </c>
      <c r="BH38" s="62">
        <f t="shared" si="8"/>
        <v>466.32208323811216</v>
      </c>
      <c r="BI38" s="62">
        <f ca="1">AVERAGE(OFFSET($BH$3,0,0,'Données projet'!$E$11+1,1))-AVERAGE(OFFSET($H$3,0,0,'Données projet'!$E$11+1,1))</f>
        <v>90.797383835887558</v>
      </c>
      <c r="BJ38" s="62">
        <f t="shared" si="38"/>
        <v>104.31413437636684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0.87428151783794239</v>
      </c>
      <c r="BQ38" s="23">
        <f>EXP(-LN(2)/25)*BQ37+(1-EXP(-LN(2)/25))/(LN(2)/25)*Calculateur!BL38*Calculateur!BN38*VLOOKUP('Données projet'!$B$11,Paramètres!$A$1:$I$89,3,0)*0.475*44/12</f>
        <v>3.694027425482866</v>
      </c>
      <c r="BR38" s="23">
        <f>EXP(-LN(2)/2)*BR37+(1-EXP(-LN(2)/2))/(LN(2)/2)*BL38*BO38*VLOOKUP('Données projet'!$B$11,Paramètres!$A$1:$I$89,3,0)*0.475*44/12</f>
        <v>0.5231119649034478</v>
      </c>
      <c r="BS38" s="24">
        <f t="shared" si="9"/>
        <v>5.0914209082242561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12.833333333333334</v>
      </c>
      <c r="BY38" s="13">
        <f>IF('Données projet'!$A$114&gt;35,BY37+BX38-CG37,IF(A38&lt;'Données projet'!$A$114,$BV$205^A38,IF(A38='Données projet'!$A$114,'Données projet'!$B$114,BY37+BX38-CG37)))</f>
        <v>235.16666666666666</v>
      </c>
      <c r="BZ38" s="14">
        <f>BY38*VLOOKUP('Données projet'!$B$12,Paramètres!$A$1:$I$89,3,0)*VLOOKUP('Données projet'!$B$12,Paramètres!$A$1:$I$89,5,0)</f>
        <v>146.744</v>
      </c>
      <c r="CA38" s="14">
        <f t="shared" si="39"/>
        <v>37.837705514258651</v>
      </c>
      <c r="CB38" s="22">
        <f t="shared" si="10"/>
        <v>321.47980377066716</v>
      </c>
      <c r="CC38" s="62">
        <f t="shared" si="11"/>
        <v>614.81313710400048</v>
      </c>
      <c r="CD38" s="62">
        <f ca="1">AVERAGE(OFFSET($CC$3,0,0,'Données projet'!$E$12+1,1))-AVERAGE(OFFSET($H$3,0,0,'Données projet'!$E$12+1,1))</f>
        <v>179.44051550872138</v>
      </c>
      <c r="CE38" s="62">
        <f t="shared" si="40"/>
        <v>272.9500808380069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4.5211925063198937</v>
      </c>
      <c r="CL38" s="23">
        <f>EXP(-LN(2)/25)*CL37+(1-EXP(-LN(2)/25))/(LN(2)/25)*Calculateur!CG38*Calculateur!CI38*VLOOKUP('Données projet'!$B$12,Paramètres!$A$1:$I$89,3,0)*0.475*44/12</f>
        <v>17.467774052235669</v>
      </c>
      <c r="CM38" s="23">
        <f>EXP(-LN(2)/2)*CM37+(1-EXP(-LN(2)/2))/(LN(2)/2)*CG38*CJ38*VLOOKUP('Données projet'!$B$12,Paramètres!$A$1:$I$89,3,0)*0.475*44/12</f>
        <v>3.6429723467142767</v>
      </c>
      <c r="CN38" s="24">
        <f t="shared" si="12"/>
        <v>25.631938905269838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15</v>
      </c>
      <c r="CT38" s="13">
        <f>IF('Données projet'!$A$140&gt;35,CT37+CS38-DB37,IF(A38&lt;'Données projet'!$A$140,$CQ$205^A38,IF(A38='Données projet'!$A$140,'Données projet'!$B$140,CT37+CS38-DB37)))</f>
        <v>253.99999999999994</v>
      </c>
      <c r="CU38" s="18">
        <f>CT38*VLOOKUP('Données projet'!$B$13,Paramètres!$A$1:$I$89,3,0)*VLOOKUP('Données projet'!$B$13,Paramètres!$A$1:$I$89,5,0)</f>
        <v>138.68399999999997</v>
      </c>
      <c r="CV38" s="14">
        <f t="shared" si="41"/>
        <v>35.995362862956796</v>
      </c>
      <c r="CW38" s="22">
        <f t="shared" si="13"/>
        <v>304.23322365298299</v>
      </c>
      <c r="CX38" s="62">
        <f t="shared" si="14"/>
        <v>597.5665569863163</v>
      </c>
      <c r="CY38" s="62">
        <f ca="1">AVERAGE(OFFSET($CX$3,0,0,'Données projet'!$E$13+1,1))-AVERAGE(OFFSET($H$3,0,0,'Données projet'!$E$13+1,1))</f>
        <v>159.92263609041913</v>
      </c>
      <c r="CZ38" s="62">
        <f t="shared" si="42"/>
        <v>271.78119133009307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5.9273544225797403</v>
      </c>
      <c r="DG38" s="23">
        <f>EXP(-LN(2)/25)*DG37+(1-EXP(-LN(2)/25))/(LN(2)/25)*Calculateur!DB38*Calculateur!DD38*VLOOKUP('Données projet'!$B$13,Paramètres!$A$1:$I$89,3,0)*0.475*44/12</f>
        <v>25.474126087900945</v>
      </c>
      <c r="DH38" s="23">
        <f>EXP(-LN(2)/2)*DH37+(1-EXP(-LN(2)/2))/(LN(2)/2)*DB38*DE38*VLOOKUP('Données projet'!$B$13,Paramètres!$A$1:$I$89,3,0)*0.475*44/12</f>
        <v>4.8498115662811614</v>
      </c>
      <c r="DI38" s="24">
        <f t="shared" si="15"/>
        <v>36.251292076761843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3.3076923076923075</v>
      </c>
      <c r="DO38" s="13">
        <f>IF('Données projet'!$A$166&gt;35,DO37+DN38-DW37,IF(A38&lt;'Données projet'!$A$166,$DL$205^A38,IF(A38='Données projet'!$A$166,'Données projet'!$B$166,DO37+DN38-DW37)))</f>
        <v>115.76923076923075</v>
      </c>
      <c r="DP38" s="18">
        <f>DO38*VLOOKUP('Données projet'!$B$14,Paramètres!$A$1:$I$89,3,0)*VLOOKUP('Données projet'!$B$14,Paramètres!$A$1:$I$89,5,0)</f>
        <v>55.684999999999988</v>
      </c>
      <c r="DQ38" s="14">
        <f t="shared" si="43"/>
        <v>16.072608255547063</v>
      </c>
      <c r="DR38" s="22">
        <f t="shared" si="16"/>
        <v>124.97783437841112</v>
      </c>
      <c r="DS38" s="62">
        <f t="shared" si="17"/>
        <v>418.31116771174442</v>
      </c>
      <c r="DT38" s="62">
        <f ca="1">AVERAGE(OFFSET($DS$3,0,0,'Données projet'!$E$14+1,1))-AVERAGE(OFFSET($H$3,0,0,'Données projet'!$E$14+1,1))</f>
        <v>122.60806128440754</v>
      </c>
      <c r="DU38" s="62">
        <f t="shared" si="44"/>
        <v>73.937252053142004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>
        <f>EJ38*VLOOKUP('Données projet'!$B$15,Paramètres!$A$1:$I$89,3,0)*VLOOKUP('Données projet'!$B$15,Paramètres!$A$1:$I$89,5,0)</f>
        <v>0</v>
      </c>
      <c r="EL38" s="14" t="e">
        <f t="shared" si="45"/>
        <v>#NUM!</v>
      </c>
      <c r="EM38" s="22" t="e">
        <f t="shared" si="19"/>
        <v>#NUM!</v>
      </c>
      <c r="EN38" s="62" t="e">
        <f t="shared" si="20"/>
        <v>#NUM!</v>
      </c>
      <c r="EO38" s="62">
        <f ca="1">AVERAGE(OFFSET($EN$3,0,0,'Données projet'!$E$15+1,1))-AVERAGE(OFFSET($H$3,0,0,'Données projet'!$E$15+1,1))</f>
        <v>0</v>
      </c>
      <c r="EP38" s="62">
        <f t="shared" si="46"/>
        <v>0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382.55387448074327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1.9556515274803474</v>
      </c>
      <c r="AA39" s="23">
        <f>EXP(-LN(2)/25)*AA38+(1-EXP(-LN(2)/25))/(LN(2)/25)*Calculateur!V39*Calculateur!X39*VLOOKUP('Données projet'!$B$9,Paramètres!$A$1:$I$89,3,0)*0.475*44/12</f>
        <v>9.0471983705464787</v>
      </c>
      <c r="AB39" s="23">
        <f>EXP(-LN(2)/2)*AB38+(1-EXP(-LN(2)/2))/(LN(2)/2)*V39*Y39*VLOOKUP('Données projet'!$B$9,Paramètres!$A$1:$I$89,3,0)*0.475*44/12</f>
        <v>2.8157999029046015</v>
      </c>
      <c r="AC39" s="24">
        <f t="shared" si="3"/>
        <v>13.818649800931427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269.64423257646359</v>
      </c>
      <c r="AO39" s="62">
        <f t="shared" si="36"/>
        <v>161.0819079811821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173</v>
      </c>
      <c r="BB39" s="13">
        <f>VLOOKUP(A39,'Données projet'!$A$87:$I$107,9,0)</f>
        <v>6.8888888888888893</v>
      </c>
      <c r="BC39" s="13">
        <f t="array" ref="BC39">INDEX(BB:BB,MIN(IF(ISNUMBER(BB39:BB235),ROW(BB39:BB235),"")))</f>
        <v>6.8888888888888893</v>
      </c>
      <c r="BD39" s="13">
        <f>IF('Données projet'!$A$88&gt;35,BD38+BC39-BL38,IF(A39&lt;'Données projet'!$A$88,$BA$205^A39,IF(A39='Données projet'!$A$88,'Données projet'!$B$88,BD38+BC39-BL38)))</f>
        <v>172.99999999999997</v>
      </c>
      <c r="BE39" s="14">
        <f>BD39*VLOOKUP('Données projet'!$B$11,Paramètres!$A$1:$I$89,3,0)*VLOOKUP('Données projet'!$B$11,Paramètres!$A$1:$I$89,5,0)</f>
        <v>80.963999999999984</v>
      </c>
      <c r="BF39" s="14">
        <f t="shared" si="37"/>
        <v>22.37272257588274</v>
      </c>
      <c r="BG39" s="22">
        <f t="shared" si="7"/>
        <v>179.97812515299574</v>
      </c>
      <c r="BH39" s="62">
        <f t="shared" si="8"/>
        <v>473.31145848632906</v>
      </c>
      <c r="BI39" s="62">
        <f ca="1">AVERAGE(OFFSET($BH$3,0,0,'Données projet'!$E$11+1,1))-AVERAGE(OFFSET($H$3,0,0,'Données projet'!$E$11+1,1))</f>
        <v>90.797383835887558</v>
      </c>
      <c r="BJ39" s="62">
        <f t="shared" si="38"/>
        <v>104.31413437636684</v>
      </c>
      <c r="BK39" s="16">
        <f>IF(ISNA(VLOOKUP(A39,'Données projet'!$A$87:$I$107,3,0)),0,VLOOKUP(A39,'Données projet'!$A$87:$I$107,3,0))</f>
        <v>3</v>
      </c>
      <c r="BL39" s="16">
        <f>IF(ISNA(VLOOKUP(A39,'Données projet'!$A$87:$I$107,4,0)),0,VLOOKUP(A39,'Données projet'!$A$87:$I$107,4,0))</f>
        <v>40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0.85713739053221127</v>
      </c>
      <c r="BQ39" s="23">
        <f>EXP(-LN(2)/25)*BQ38+(1-EXP(-LN(2)/25))/(LN(2)/25)*Calculateur!BL39*Calculateur!BN39*VLOOKUP('Données projet'!$B$11,Paramètres!$A$1:$I$89,3,0)*0.475*44/12</f>
        <v>3.5930140512725774</v>
      </c>
      <c r="BR39" s="23">
        <f>EXP(-LN(2)/2)*BR38+(1-EXP(-LN(2)/2))/(LN(2)/2)*BL39*BO39*VLOOKUP('Données projet'!$B$11,Paramètres!$A$1:$I$89,3,0)*0.475*44/12</f>
        <v>0.3698960177030472</v>
      </c>
      <c r="BS39" s="24">
        <f t="shared" si="9"/>
        <v>4.8200474595078351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248</v>
      </c>
      <c r="BW39" s="13">
        <f>VLOOKUP(A39,'Données projet'!$A$113:$I$133,9,0)</f>
        <v>12.833333333333334</v>
      </c>
      <c r="BX39" s="13">
        <f t="array" ref="BX39">INDEX(BW:BW,MIN(IF(ISNUMBER(BW39:BW235),ROW(BW39:BW235),"")))</f>
        <v>12.833333333333334</v>
      </c>
      <c r="BY39" s="13">
        <f>IF('Données projet'!$A$114&gt;35,BY38+BX39-CG38,IF(A39&lt;'Données projet'!$A$114,$BV$205^A39,IF(A39='Données projet'!$A$114,'Données projet'!$B$114,BY38+BX39-CG38)))</f>
        <v>248</v>
      </c>
      <c r="BZ39" s="14">
        <f>BY39*VLOOKUP('Données projet'!$B$12,Paramètres!$A$1:$I$89,3,0)*VLOOKUP('Données projet'!$B$12,Paramètres!$A$1:$I$89,5,0)</f>
        <v>154.75199999999998</v>
      </c>
      <c r="CA39" s="14">
        <f t="shared" si="39"/>
        <v>39.656526650076415</v>
      </c>
      <c r="CB39" s="22">
        <f t="shared" si="10"/>
        <v>338.5948505822164</v>
      </c>
      <c r="CC39" s="62">
        <f t="shared" si="11"/>
        <v>631.92818391554965</v>
      </c>
      <c r="CD39" s="62">
        <f ca="1">AVERAGE(OFFSET($CC$3,0,0,'Données projet'!$E$12+1,1))-AVERAGE(OFFSET($H$3,0,0,'Données projet'!$E$12+1,1))</f>
        <v>179.44051550872138</v>
      </c>
      <c r="CE39" s="62">
        <f t="shared" si="40"/>
        <v>272.9500808380069</v>
      </c>
      <c r="CF39" s="16">
        <f>IF(ISNA(VLOOKUP(A39,'Données projet'!$A$113:$I$133,3,0)),0,VLOOKUP(A39,'Données projet'!$A$113:$I$133,3,0))</f>
        <v>5</v>
      </c>
      <c r="CG39" s="16">
        <f>IF(ISNA(VLOOKUP(A39,'Données projet'!$A$113:$I$133,4,0)),0,VLOOKUP(A39,'Données projet'!$A$113:$I$133,4,0))</f>
        <v>62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4.4325346789260935</v>
      </c>
      <c r="CL39" s="23">
        <f>EXP(-LN(2)/25)*CL38+(1-EXP(-LN(2)/25))/(LN(2)/25)*Calculateur!CG39*Calculateur!CI39*VLOOKUP('Données projet'!$B$12,Paramètres!$A$1:$I$89,3,0)*0.475*44/12</f>
        <v>16.990116852186969</v>
      </c>
      <c r="CM39" s="23">
        <f>EXP(-LN(2)/2)*CM38+(1-EXP(-LN(2)/2))/(LN(2)/2)*CG39*CJ39*VLOOKUP('Données projet'!$B$12,Paramètres!$A$1:$I$89,3,0)*0.475*44/12</f>
        <v>2.5759704500367357</v>
      </c>
      <c r="CN39" s="24">
        <f t="shared" si="12"/>
        <v>23.998621981149796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269</v>
      </c>
      <c r="CR39" s="13">
        <f>VLOOKUP(A39,'Données projet'!$A$139:$I$159,9,0)</f>
        <v>15</v>
      </c>
      <c r="CS39" s="13">
        <f t="array" ref="CS39">INDEX(CR:CR,MIN(IF(ISNUMBER(CR39:CR235),ROW(CR39:CR235),"")))</f>
        <v>15</v>
      </c>
      <c r="CT39" s="13">
        <f>IF('Données projet'!$A$140&gt;35,CT38+CS39-DB38,IF(A39&lt;'Données projet'!$A$140,$CQ$205^A39,IF(A39='Données projet'!$A$140,'Données projet'!$B$140,CT38+CS39-DB38)))</f>
        <v>268.99999999999994</v>
      </c>
      <c r="CU39" s="18">
        <f>CT39*VLOOKUP('Données projet'!$B$13,Paramètres!$A$1:$I$89,3,0)*VLOOKUP('Données projet'!$B$13,Paramètres!$A$1:$I$89,5,0)</f>
        <v>146.87399999999997</v>
      </c>
      <c r="CV39" s="14">
        <f t="shared" si="41"/>
        <v>37.867322517591383</v>
      </c>
      <c r="CW39" s="22">
        <f t="shared" si="13"/>
        <v>321.75780338480496</v>
      </c>
      <c r="CX39" s="62">
        <f t="shared" si="14"/>
        <v>615.09113671813827</v>
      </c>
      <c r="CY39" s="62">
        <f ca="1">AVERAGE(OFFSET($CX$3,0,0,'Données projet'!$E$13+1,1))-AVERAGE(OFFSET($H$3,0,0,'Données projet'!$E$13+1,1))</f>
        <v>159.92263609041913</v>
      </c>
      <c r="CZ39" s="62">
        <f t="shared" si="42"/>
        <v>271.78119133009307</v>
      </c>
      <c r="DA39" s="16">
        <f>IF(ISNA(VLOOKUP(A39,'Données projet'!$A$139:$I$159,3,0)),0,VLOOKUP(A39,'Données projet'!$A$139:$I$159,3,0))</f>
        <v>6</v>
      </c>
      <c r="DB39" s="16">
        <f>IF(ISNA(VLOOKUP(A39,'Données projet'!$A$139:$I$159,4,0)),0,VLOOKUP(A39,'Données projet'!$A$139:$I$159,4,0))</f>
        <v>75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5.8111226176821651</v>
      </c>
      <c r="DG39" s="23">
        <f>EXP(-LN(2)/25)*DG38+(1-EXP(-LN(2)/25))/(LN(2)/25)*Calculateur!DB39*Calculateur!DD39*VLOOKUP('Données projet'!$B$13,Paramètres!$A$1:$I$89,3,0)*0.475*44/12</f>
        <v>24.777534770401225</v>
      </c>
      <c r="DH39" s="23">
        <f>EXP(-LN(2)/2)*DH38+(1-EXP(-LN(2)/2))/(LN(2)/2)*DB39*DE39*VLOOKUP('Données projet'!$B$13,Paramètres!$A$1:$I$89,3,0)*0.475*44/12</f>
        <v>3.4293346459943606</v>
      </c>
      <c r="DI39" s="24">
        <f t="shared" si="15"/>
        <v>34.01799203407775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3.3076923076923075</v>
      </c>
      <c r="DO39" s="13">
        <f>IF('Données projet'!$A$166&gt;35,DO38+DN39-DW38,IF(A39&lt;'Données projet'!$A$166,$DL$205^A39,IF(A39='Données projet'!$A$166,'Données projet'!$B$166,DO38+DN39-DW38)))</f>
        <v>119.07692307692305</v>
      </c>
      <c r="DP39" s="18">
        <f>DO39*VLOOKUP('Données projet'!$B$14,Paramètres!$A$1:$I$89,3,0)*VLOOKUP('Données projet'!$B$14,Paramètres!$A$1:$I$89,5,0)</f>
        <v>57.275999999999989</v>
      </c>
      <c r="DQ39" s="14">
        <f t="shared" si="43"/>
        <v>16.477705070449058</v>
      </c>
      <c r="DR39" s="22">
        <f t="shared" si="16"/>
        <v>128.4543696643654</v>
      </c>
      <c r="DS39" s="62">
        <f t="shared" si="17"/>
        <v>421.78770299769872</v>
      </c>
      <c r="DT39" s="62">
        <f ca="1">AVERAGE(OFFSET($DS$3,0,0,'Données projet'!$E$14+1,1))-AVERAGE(OFFSET($H$3,0,0,'Données projet'!$E$14+1,1))</f>
        <v>122.60806128440754</v>
      </c>
      <c r="DU39" s="62">
        <f t="shared" si="44"/>
        <v>73.937252053142004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>
        <f>EJ39*VLOOKUP('Données projet'!$B$15,Paramètres!$A$1:$I$89,3,0)*VLOOKUP('Données projet'!$B$15,Paramètres!$A$1:$I$89,5,0)</f>
        <v>0</v>
      </c>
      <c r="EL39" s="14" t="e">
        <f t="shared" si="45"/>
        <v>#NUM!</v>
      </c>
      <c r="EM39" s="22" t="e">
        <f t="shared" si="19"/>
        <v>#NUM!</v>
      </c>
      <c r="EN39" s="62" t="e">
        <f t="shared" si="20"/>
        <v>#NUM!</v>
      </c>
      <c r="EO39" s="62">
        <f ca="1">AVERAGE(OFFSET($EN$3,0,0,'Données projet'!$E$15+1,1))-AVERAGE(OFFSET($H$3,0,0,'Données projet'!$E$15+1,1))</f>
        <v>0</v>
      </c>
      <c r="EP39" s="62">
        <f t="shared" si="46"/>
        <v>0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382.55387448074327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1.9173023938561073</v>
      </c>
      <c r="AA40" s="23">
        <f>EXP(-LN(2)/25)*AA39+(1-EXP(-LN(2)/25))/(LN(2)/25)*Calculateur!V40*Calculateur!X40*VLOOKUP('Données projet'!$B$9,Paramètres!$A$1:$I$89,3,0)*0.475*44/12</f>
        <v>8.7998022553324002</v>
      </c>
      <c r="AB40" s="23">
        <f>EXP(-LN(2)/2)*AB39+(1-EXP(-LN(2)/2))/(LN(2)/2)*V40*Y40*VLOOKUP('Données projet'!$B$9,Paramètres!$A$1:$I$89,3,0)*0.475*44/12</f>
        <v>1.991071205808266</v>
      </c>
      <c r="AC40" s="24">
        <f t="shared" si="3"/>
        <v>12.708175854996774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269.64423257646359</v>
      </c>
      <c r="AO40" s="62">
        <f t="shared" si="36"/>
        <v>161.0819079811821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139.99999999999997</v>
      </c>
      <c r="BE40" s="14">
        <f>BD40*VLOOKUP('Données projet'!$B$11,Paramètres!$A$1:$I$89,3,0)*VLOOKUP('Données projet'!$B$11,Paramètres!$A$1:$I$89,5,0)</f>
        <v>65.519999999999982</v>
      </c>
      <c r="BF40" s="14">
        <f t="shared" si="37"/>
        <v>18.556669503136725</v>
      </c>
      <c r="BG40" s="22">
        <f t="shared" si="7"/>
        <v>146.43353271796309</v>
      </c>
      <c r="BH40" s="62">
        <f t="shared" si="8"/>
        <v>439.7668660512964</v>
      </c>
      <c r="BI40" s="62">
        <f ca="1">AVERAGE(OFFSET($BH$3,0,0,'Données projet'!$E$11+1,1))-AVERAGE(OFFSET($H$3,0,0,'Données projet'!$E$11+1,1))</f>
        <v>90.797383835887558</v>
      </c>
      <c r="BJ40" s="62">
        <f t="shared" si="38"/>
        <v>104.31413437636684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0.84032944910606044</v>
      </c>
      <c r="BQ40" s="23">
        <f>EXP(-LN(2)/25)*BQ39+(1-EXP(-LN(2)/25))/(LN(2)/25)*Calculateur!BL40*Calculateur!BN40*VLOOKUP('Données projet'!$B$11,Paramètres!$A$1:$I$89,3,0)*0.475*44/12</f>
        <v>3.494762893092132</v>
      </c>
      <c r="BR40" s="23">
        <f>EXP(-LN(2)/2)*BR39+(1-EXP(-LN(2)/2))/(LN(2)/2)*BL40*BO40*VLOOKUP('Données projet'!$B$11,Paramètres!$A$1:$I$89,3,0)*0.475*44/12</f>
        <v>0.2615559824517239</v>
      </c>
      <c r="BS40" s="24">
        <f t="shared" si="9"/>
        <v>4.5966483246499168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197.5</v>
      </c>
      <c r="BZ40" s="14">
        <f>BY40*VLOOKUP('Données projet'!$B$12,Paramètres!$A$1:$I$89,3,0)*VLOOKUP('Données projet'!$B$12,Paramètres!$A$1:$I$89,5,0)</f>
        <v>123.24</v>
      </c>
      <c r="CA40" s="14">
        <f t="shared" si="39"/>
        <v>32.429500380369056</v>
      </c>
      <c r="CB40" s="22">
        <f t="shared" si="10"/>
        <v>271.12437982914275</v>
      </c>
      <c r="CC40" s="62">
        <f t="shared" si="11"/>
        <v>564.45771316247601</v>
      </c>
      <c r="CD40" s="62">
        <f ca="1">AVERAGE(OFFSET($CC$3,0,0,'Données projet'!$E$12+1,1))-AVERAGE(OFFSET($H$3,0,0,'Données projet'!$E$12+1,1))</f>
        <v>179.44051550872138</v>
      </c>
      <c r="CE40" s="62">
        <f t="shared" si="40"/>
        <v>272.9500808380069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4.3456153774515505</v>
      </c>
      <c r="CL40" s="23">
        <f>EXP(-LN(2)/25)*CL39+(1-EXP(-LN(2)/25))/(LN(2)/25)*Calculateur!CG40*Calculateur!CI40*VLOOKUP('Données projet'!$B$12,Paramètres!$A$1:$I$89,3,0)*0.475*44/12</f>
        <v>16.525521213392501</v>
      </c>
      <c r="CM40" s="23">
        <f>EXP(-LN(2)/2)*CM39+(1-EXP(-LN(2)/2))/(LN(2)/2)*CG40*CJ40*VLOOKUP('Données projet'!$B$12,Paramètres!$A$1:$I$89,3,0)*0.475*44/12</f>
        <v>1.8214861733571386</v>
      </c>
      <c r="CN40" s="24">
        <f t="shared" si="12"/>
        <v>22.69262276420119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</v>
      </c>
      <c r="CT40" s="13">
        <f>IF('Données projet'!$A$140&gt;35,CT39+CS40-DB39,IF(A40&lt;'Données projet'!$A$140,$CQ$205^A40,IF(A40='Données projet'!$A$140,'Données projet'!$B$140,CT39+CS40-DB39)))</f>
        <v>207.99999999999994</v>
      </c>
      <c r="CU40" s="18">
        <f>CT40*VLOOKUP('Données projet'!$B$13,Paramètres!$A$1:$I$89,3,0)*VLOOKUP('Données projet'!$B$13,Paramètres!$A$1:$I$89,5,0)</f>
        <v>113.56799999999997</v>
      </c>
      <c r="CV40" s="14">
        <f t="shared" si="41"/>
        <v>30.170065062058185</v>
      </c>
      <c r="CW40" s="22">
        <f t="shared" si="13"/>
        <v>250.34379664975128</v>
      </c>
      <c r="CX40" s="62">
        <f t="shared" si="14"/>
        <v>543.67712998308457</v>
      </c>
      <c r="CY40" s="62">
        <f ca="1">AVERAGE(OFFSET($CX$3,0,0,'Données projet'!$E$13+1,1))-AVERAGE(OFFSET($H$3,0,0,'Données projet'!$E$13+1,1))</f>
        <v>159.92263609041913</v>
      </c>
      <c r="CZ40" s="62">
        <f t="shared" si="42"/>
        <v>271.78119133009307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5.6971700475842306</v>
      </c>
      <c r="DG40" s="23">
        <f>EXP(-LN(2)/25)*DG39+(1-EXP(-LN(2)/25))/(LN(2)/25)*Calculateur!DB40*Calculateur!DD40*VLOOKUP('Données projet'!$B$13,Paramètres!$A$1:$I$89,3,0)*0.475*44/12</f>
        <v>24.099991779110681</v>
      </c>
      <c r="DH40" s="23">
        <f>EXP(-LN(2)/2)*DH39+(1-EXP(-LN(2)/2))/(LN(2)/2)*DB40*DE40*VLOOKUP('Données projet'!$B$13,Paramètres!$A$1:$I$89,3,0)*0.475*44/12</f>
        <v>2.4249057831405807</v>
      </c>
      <c r="DI40" s="24">
        <f t="shared" si="15"/>
        <v>32.222067609835491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3.3076923076923075</v>
      </c>
      <c r="DO40" s="13">
        <f>IF('Données projet'!$A$166&gt;35,DO39+DN40-DW39,IF(A40&lt;'Données projet'!$A$166,$DL$205^A40,IF(A40='Données projet'!$A$166,'Données projet'!$B$166,DO39+DN40-DW39)))</f>
        <v>122.38461538461536</v>
      </c>
      <c r="DP40" s="18">
        <f>DO40*VLOOKUP('Données projet'!$B$14,Paramètres!$A$1:$I$89,3,0)*VLOOKUP('Données projet'!$B$14,Paramètres!$A$1:$I$89,5,0)</f>
        <v>58.86699999999999</v>
      </c>
      <c r="DQ40" s="14">
        <f t="shared" si="43"/>
        <v>16.881494009838462</v>
      </c>
      <c r="DR40" s="22">
        <f t="shared" si="16"/>
        <v>131.9286270671353</v>
      </c>
      <c r="DS40" s="62">
        <f t="shared" si="17"/>
        <v>425.26196040046864</v>
      </c>
      <c r="DT40" s="62">
        <f ca="1">AVERAGE(OFFSET($DS$3,0,0,'Données projet'!$E$14+1,1))-AVERAGE(OFFSET($H$3,0,0,'Données projet'!$E$14+1,1))</f>
        <v>122.60806128440754</v>
      </c>
      <c r="DU40" s="62">
        <f t="shared" si="44"/>
        <v>73.937252053142004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>
        <f>EJ40*VLOOKUP('Données projet'!$B$15,Paramètres!$A$1:$I$89,3,0)*VLOOKUP('Données projet'!$B$15,Paramètres!$A$1:$I$89,5,0)</f>
        <v>0</v>
      </c>
      <c r="EL40" s="14" t="e">
        <f t="shared" si="45"/>
        <v>#NUM!</v>
      </c>
      <c r="EM40" s="22" t="e">
        <f t="shared" si="19"/>
        <v>#NUM!</v>
      </c>
      <c r="EN40" s="62" t="e">
        <f t="shared" si="20"/>
        <v>#NUM!</v>
      </c>
      <c r="EO40" s="62">
        <f ca="1">AVERAGE(OFFSET($EN$3,0,0,'Données projet'!$E$15+1,1))-AVERAGE(OFFSET($H$3,0,0,'Données projet'!$E$15+1,1))</f>
        <v>0</v>
      </c>
      <c r="EP40" s="62">
        <f t="shared" si="46"/>
        <v>0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382.55387448074327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1.8797052633515767</v>
      </c>
      <c r="AA41" s="23">
        <f>EXP(-LN(2)/25)*AA40+(1-EXP(-LN(2)/25))/(LN(2)/25)*Calculateur!V41*Calculateur!X41*VLOOKUP('Données projet'!$B$9,Paramètres!$A$1:$I$89,3,0)*0.475*44/12</f>
        <v>8.5591711998988469</v>
      </c>
      <c r="AB41" s="23">
        <f>EXP(-LN(2)/2)*AB40+(1-EXP(-LN(2)/2))/(LN(2)/2)*V41*Y41*VLOOKUP('Données projet'!$B$9,Paramètres!$A$1:$I$89,3,0)*0.475*44/12</f>
        <v>1.407899951452301</v>
      </c>
      <c r="AC41" s="24">
        <f t="shared" si="3"/>
        <v>11.846776414702724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269.64423257646359</v>
      </c>
      <c r="AO41" s="62">
        <f t="shared" si="36"/>
        <v>161.0819079811821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146.99999999999997</v>
      </c>
      <c r="BE41" s="14">
        <f>BD41*VLOOKUP('Données projet'!$B$11,Paramètres!$A$1:$I$89,3,0)*VLOOKUP('Données projet'!$B$11,Paramètres!$A$1:$I$89,5,0)</f>
        <v>68.795999999999992</v>
      </c>
      <c r="BF41" s="14">
        <f t="shared" si="37"/>
        <v>19.374160697102734</v>
      </c>
      <c r="BG41" s="22">
        <f t="shared" si="7"/>
        <v>153.56302988078724</v>
      </c>
      <c r="BH41" s="62">
        <f t="shared" si="8"/>
        <v>446.89636321412058</v>
      </c>
      <c r="BI41" s="62">
        <f ca="1">AVERAGE(OFFSET($BH$3,0,0,'Données projet'!$E$11+1,1))-AVERAGE(OFFSET($H$3,0,0,'Données projet'!$E$11+1,1))</f>
        <v>90.797383835887558</v>
      </c>
      <c r="BJ41" s="62">
        <f t="shared" si="38"/>
        <v>104.31413437636684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0.82385110115944438</v>
      </c>
      <c r="BQ41" s="23">
        <f>EXP(-LN(2)/25)*BQ40+(1-EXP(-LN(2)/25))/(LN(2)/25)*Calculateur!BL41*Calculateur!BN41*VLOOKUP('Données projet'!$B$11,Paramètres!$A$1:$I$89,3,0)*0.475*44/12</f>
        <v>3.3991984179989343</v>
      </c>
      <c r="BR41" s="23">
        <f>EXP(-LN(2)/2)*BR40+(1-EXP(-LN(2)/2))/(LN(2)/2)*BL41*BO41*VLOOKUP('Données projet'!$B$11,Paramètres!$A$1:$I$89,3,0)*0.475*44/12</f>
        <v>0.1849480088515236</v>
      </c>
      <c r="BS41" s="24">
        <f t="shared" si="9"/>
        <v>4.4079975280099024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11.5</v>
      </c>
      <c r="BY41" s="13">
        <f>IF('Données projet'!$A$114&gt;35,BY40+BX41-CG40,IF(A41&lt;'Données projet'!$A$114,$BV$205^A41,IF(A41='Données projet'!$A$114,'Données projet'!$B$114,BY40+BX41-CG40)))</f>
        <v>209</v>
      </c>
      <c r="BZ41" s="14">
        <f>BY41*VLOOKUP('Données projet'!$B$12,Paramètres!$A$1:$I$89,3,0)*VLOOKUP('Données projet'!$B$12,Paramètres!$A$1:$I$89,5,0)</f>
        <v>130.416</v>
      </c>
      <c r="CA41" s="14">
        <f t="shared" si="39"/>
        <v>34.092466837179941</v>
      </c>
      <c r="CB41" s="22">
        <f t="shared" si="10"/>
        <v>286.51891307475506</v>
      </c>
      <c r="CC41" s="62">
        <f t="shared" si="11"/>
        <v>579.85224640808838</v>
      </c>
      <c r="CD41" s="62">
        <f ca="1">AVERAGE(OFFSET($CC$3,0,0,'Données projet'!$E$12+1,1))-AVERAGE(OFFSET($H$3,0,0,'Données projet'!$E$12+1,1))</f>
        <v>179.44051550872138</v>
      </c>
      <c r="CE41" s="62">
        <f t="shared" si="40"/>
        <v>272.9500808380069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4.2604005104633842</v>
      </c>
      <c r="CL41" s="23">
        <f>EXP(-LN(2)/25)*CL40+(1-EXP(-LN(2)/25))/(LN(2)/25)*Calculateur!CG41*Calculateur!CI41*VLOOKUP('Données projet'!$B$12,Paramètres!$A$1:$I$89,3,0)*0.475*44/12</f>
        <v>16.073629966772891</v>
      </c>
      <c r="CM41" s="23">
        <f>EXP(-LN(2)/2)*CM40+(1-EXP(-LN(2)/2))/(LN(2)/2)*CG41*CJ41*VLOOKUP('Données projet'!$B$12,Paramètres!$A$1:$I$89,3,0)*0.475*44/12</f>
        <v>1.2879852250183681</v>
      </c>
      <c r="CN41" s="24">
        <f t="shared" si="12"/>
        <v>21.622015702254643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</v>
      </c>
      <c r="CT41" s="13">
        <f>IF('Données projet'!$A$140&gt;35,CT40+CS41-DB40,IF(A41&lt;'Données projet'!$A$140,$CQ$205^A41,IF(A41='Données projet'!$A$140,'Données projet'!$B$140,CT40+CS41-DB40)))</f>
        <v>221.99999999999994</v>
      </c>
      <c r="CU41" s="18">
        <f>CT41*VLOOKUP('Données projet'!$B$13,Paramètres!$A$1:$I$89,3,0)*VLOOKUP('Données projet'!$B$13,Paramètres!$A$1:$I$89,5,0)</f>
        <v>121.21199999999996</v>
      </c>
      <c r="CV41" s="14">
        <f t="shared" si="41"/>
        <v>31.95751284761706</v>
      </c>
      <c r="CW41" s="22">
        <f t="shared" si="13"/>
        <v>266.77023487626633</v>
      </c>
      <c r="CX41" s="62">
        <f t="shared" si="14"/>
        <v>560.10356820959964</v>
      </c>
      <c r="CY41" s="62">
        <f ca="1">AVERAGE(OFFSET($CX$3,0,0,'Données projet'!$E$13+1,1))-AVERAGE(OFFSET($H$3,0,0,'Données projet'!$E$13+1,1))</f>
        <v>159.92263609041913</v>
      </c>
      <c r="CZ41" s="62">
        <f t="shared" si="42"/>
        <v>271.78119133009307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5.5854520178817122</v>
      </c>
      <c r="DG41" s="23">
        <f>EXP(-LN(2)/25)*DG40+(1-EXP(-LN(2)/25))/(LN(2)/25)*Calculateur!DB41*Calculateur!DD41*VLOOKUP('Données projet'!$B$13,Paramètres!$A$1:$I$89,3,0)*0.475*44/12</f>
        <v>23.440976236547414</v>
      </c>
      <c r="DH41" s="23">
        <f>EXP(-LN(2)/2)*DH40+(1-EXP(-LN(2)/2))/(LN(2)/2)*DB41*DE41*VLOOKUP('Données projet'!$B$13,Paramètres!$A$1:$I$89,3,0)*0.475*44/12</f>
        <v>1.7146673229971803</v>
      </c>
      <c r="DI41" s="24">
        <f t="shared" si="15"/>
        <v>30.741095577426307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3.3076923076923075</v>
      </c>
      <c r="DO41" s="13">
        <f>IF('Données projet'!$A$166&gt;35,DO40+DN41-DW40,IF(A41&lt;'Données projet'!$A$166,$DL$205^A41,IF(A41='Données projet'!$A$166,'Données projet'!$B$166,DO40+DN41-DW40)))</f>
        <v>125.69230769230766</v>
      </c>
      <c r="DP41" s="18">
        <f>DO41*VLOOKUP('Données projet'!$B$14,Paramètres!$A$1:$I$89,3,0)*VLOOKUP('Données projet'!$B$14,Paramètres!$A$1:$I$89,5,0)</f>
        <v>60.457999999999991</v>
      </c>
      <c r="DQ41" s="14">
        <f t="shared" si="43"/>
        <v>17.284014483915104</v>
      </c>
      <c r="DR41" s="22">
        <f t="shared" si="16"/>
        <v>135.40067522615212</v>
      </c>
      <c r="DS41" s="62">
        <f t="shared" si="17"/>
        <v>428.73400855948546</v>
      </c>
      <c r="DT41" s="62">
        <f ca="1">AVERAGE(OFFSET($DS$3,0,0,'Données projet'!$E$14+1,1))-AVERAGE(OFFSET($H$3,0,0,'Données projet'!$E$14+1,1))</f>
        <v>122.60806128440754</v>
      </c>
      <c r="DU41" s="62">
        <f t="shared" si="44"/>
        <v>73.937252053142004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>
        <f>EJ41*VLOOKUP('Données projet'!$B$15,Paramètres!$A$1:$I$89,3,0)*VLOOKUP('Données projet'!$B$15,Paramètres!$A$1:$I$89,5,0)</f>
        <v>0</v>
      </c>
      <c r="EL41" s="14" t="e">
        <f t="shared" si="45"/>
        <v>#NUM!</v>
      </c>
      <c r="EM41" s="22" t="e">
        <f t="shared" si="19"/>
        <v>#NUM!</v>
      </c>
      <c r="EN41" s="62" t="e">
        <f t="shared" si="20"/>
        <v>#NUM!</v>
      </c>
      <c r="EO41" s="62">
        <f ca="1">AVERAGE(OFFSET($EN$3,0,0,'Données projet'!$E$15+1,1))-AVERAGE(OFFSET($H$3,0,0,'Données projet'!$E$15+1,1))</f>
        <v>0</v>
      </c>
      <c r="EP41" s="62">
        <f t="shared" si="46"/>
        <v>0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382.55387448074327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1.8428453896442547</v>
      </c>
      <c r="AA42" s="23">
        <f>EXP(-LN(2)/25)*AA41+(1-EXP(-LN(2)/25))/(LN(2)/25)*Calculateur!V42*Calculateur!X42*VLOOKUP('Données projet'!$B$9,Paramètres!$A$1:$I$89,3,0)*0.475*44/12</f>
        <v>8.3251202133303615</v>
      </c>
      <c r="AB42" s="23">
        <f>EXP(-LN(2)/2)*AB41+(1-EXP(-LN(2)/2))/(LN(2)/2)*V42*Y42*VLOOKUP('Données projet'!$B$9,Paramètres!$A$1:$I$89,3,0)*0.475*44/12</f>
        <v>0.99553560290413312</v>
      </c>
      <c r="AC42" s="24">
        <f t="shared" si="3"/>
        <v>11.163501205878749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269.64423257646359</v>
      </c>
      <c r="AO42" s="62">
        <f t="shared" si="36"/>
        <v>161.0819079811821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153.99999999999997</v>
      </c>
      <c r="BE42" s="14">
        <f>BD42*VLOOKUP('Données projet'!$B$11,Paramètres!$A$1:$I$89,3,0)*VLOOKUP('Données projet'!$B$11,Paramètres!$A$1:$I$89,5,0)</f>
        <v>72.071999999999989</v>
      </c>
      <c r="BF42" s="14">
        <f t="shared" si="37"/>
        <v>20.187131385147271</v>
      </c>
      <c r="BG42" s="22">
        <f t="shared" si="7"/>
        <v>160.68465382913146</v>
      </c>
      <c r="BH42" s="62">
        <f t="shared" si="8"/>
        <v>454.01798716246481</v>
      </c>
      <c r="BI42" s="62">
        <f ca="1">AVERAGE(OFFSET($BH$3,0,0,'Données projet'!$E$11+1,1))-AVERAGE(OFFSET($H$3,0,0,'Données projet'!$E$11+1,1))</f>
        <v>90.797383835887558</v>
      </c>
      <c r="BJ42" s="62">
        <f t="shared" si="38"/>
        <v>104.31413437636684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0.80769588356526167</v>
      </c>
      <c r="BQ42" s="23">
        <f>EXP(-LN(2)/25)*BQ41+(1-EXP(-LN(2)/25))/(LN(2)/25)*Calculateur!BL42*Calculateur!BN42*VLOOKUP('Données projet'!$B$11,Paramètres!$A$1:$I$89,3,0)*0.475*44/12</f>
        <v>3.3062471585026776</v>
      </c>
      <c r="BR42" s="23">
        <f>EXP(-LN(2)/2)*BR41+(1-EXP(-LN(2)/2))/(LN(2)/2)*BL42*BO42*VLOOKUP('Données projet'!$B$11,Paramètres!$A$1:$I$89,3,0)*0.475*44/12</f>
        <v>0.13077799122586195</v>
      </c>
      <c r="BS42" s="24">
        <f t="shared" si="9"/>
        <v>4.2447210332938008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11.5</v>
      </c>
      <c r="BY42" s="13">
        <f>IF('Données projet'!$A$114&gt;35,BY41+BX42-CG41,IF(A42&lt;'Données projet'!$A$114,$BV$205^A42,IF(A42='Données projet'!$A$114,'Données projet'!$B$114,BY41+BX42-CG41)))</f>
        <v>220.5</v>
      </c>
      <c r="BZ42" s="14">
        <f>BY42*VLOOKUP('Données projet'!$B$12,Paramètres!$A$1:$I$89,3,0)*VLOOKUP('Données projet'!$B$12,Paramètres!$A$1:$I$89,5,0)</f>
        <v>137.59199999999998</v>
      </c>
      <c r="CA42" s="14">
        <f t="shared" si="39"/>
        <v>35.744810729505772</v>
      </c>
      <c r="CB42" s="22">
        <f t="shared" si="10"/>
        <v>301.89494535388923</v>
      </c>
      <c r="CC42" s="62">
        <f t="shared" si="11"/>
        <v>595.22827868722254</v>
      </c>
      <c r="CD42" s="62">
        <f ca="1">AVERAGE(OFFSET($CC$3,0,0,'Données projet'!$E$12+1,1))-AVERAGE(OFFSET($H$3,0,0,'Données projet'!$E$12+1,1))</f>
        <v>179.44051550872138</v>
      </c>
      <c r="CE42" s="62">
        <f t="shared" si="40"/>
        <v>272.9500808380069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4.1768566550409192</v>
      </c>
      <c r="CL42" s="23">
        <f>EXP(-LN(2)/25)*CL41+(1-EXP(-LN(2)/25))/(LN(2)/25)*Calculateur!CG42*Calculateur!CI42*VLOOKUP('Données projet'!$B$12,Paramètres!$A$1:$I$89,3,0)*0.475*44/12</f>
        <v>15.634095710056023</v>
      </c>
      <c r="CM42" s="23">
        <f>EXP(-LN(2)/2)*CM41+(1-EXP(-LN(2)/2))/(LN(2)/2)*CG42*CJ42*VLOOKUP('Données projet'!$B$12,Paramètres!$A$1:$I$89,3,0)*0.475*44/12</f>
        <v>0.9107430866785694</v>
      </c>
      <c r="CN42" s="24">
        <f t="shared" si="12"/>
        <v>20.72169545177551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</v>
      </c>
      <c r="CT42" s="13">
        <f>IF('Données projet'!$A$140&gt;35,CT41+CS42-DB41,IF(A42&lt;'Données projet'!$A$140,$CQ$205^A42,IF(A42='Données projet'!$A$140,'Données projet'!$B$140,CT41+CS42-DB41)))</f>
        <v>235.99999999999994</v>
      </c>
      <c r="CU42" s="18">
        <f>CT42*VLOOKUP('Données projet'!$B$13,Paramètres!$A$1:$I$89,3,0)*VLOOKUP('Données projet'!$B$13,Paramètres!$A$1:$I$89,5,0)</f>
        <v>128.85599999999997</v>
      </c>
      <c r="CV42" s="14">
        <f t="shared" si="41"/>
        <v>33.731878688740906</v>
      </c>
      <c r="CW42" s="22">
        <f t="shared" si="13"/>
        <v>283.1738887162237</v>
      </c>
      <c r="CX42" s="62">
        <f t="shared" si="14"/>
        <v>576.50722204955696</v>
      </c>
      <c r="CY42" s="62">
        <f ca="1">AVERAGE(OFFSET($CX$3,0,0,'Données projet'!$E$13+1,1))-AVERAGE(OFFSET($H$3,0,0,'Données projet'!$E$13+1,1))</f>
        <v>159.92263609041913</v>
      </c>
      <c r="CZ42" s="62">
        <f t="shared" si="42"/>
        <v>271.78119133009307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5.4759247106003901</v>
      </c>
      <c r="DG42" s="23">
        <f>EXP(-LN(2)/25)*DG41+(1-EXP(-LN(2)/25))/(LN(2)/25)*Calculateur!DB42*Calculateur!DD42*VLOOKUP('Données projet'!$B$13,Paramètres!$A$1:$I$89,3,0)*0.475*44/12</f>
        <v>22.799981508651658</v>
      </c>
      <c r="DH42" s="23">
        <f>EXP(-LN(2)/2)*DH41+(1-EXP(-LN(2)/2))/(LN(2)/2)*DB42*DE42*VLOOKUP('Données projet'!$B$13,Paramètres!$A$1:$I$89,3,0)*0.475*44/12</f>
        <v>1.2124528915702903</v>
      </c>
      <c r="DI42" s="24">
        <f t="shared" si="15"/>
        <v>29.488359110822341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>
        <f>VLOOKUP(A42,'Données projet'!$A$165:$I$185,2,0)</f>
        <v>129</v>
      </c>
      <c r="DM42" s="13">
        <f>VLOOKUP(A42,'Données projet'!$A$165:$I$185,9,0)</f>
        <v>3.3076923076923075</v>
      </c>
      <c r="DN42" s="13">
        <f t="array" ref="DN42">INDEX(DM:DM,MIN(IF(ISNUMBER(DM42:DM238),ROW(DM42:DM238),"")))</f>
        <v>3.3076923076923075</v>
      </c>
      <c r="DO42" s="13">
        <f>IF('Données projet'!$A$166&gt;35,DO41+DN42-DW41,IF(A42&lt;'Données projet'!$A$166,$DL$205^A42,IF(A42='Données projet'!$A$166,'Données projet'!$B$166,DO41+DN42-DW41)))</f>
        <v>128.99999999999997</v>
      </c>
      <c r="DP42" s="18">
        <f>DO42*VLOOKUP('Données projet'!$B$14,Paramètres!$A$1:$I$89,3,0)*VLOOKUP('Données projet'!$B$14,Paramètres!$A$1:$I$89,5,0)</f>
        <v>62.048999999999985</v>
      </c>
      <c r="DQ42" s="14">
        <f t="shared" si="43"/>
        <v>17.685303710532473</v>
      </c>
      <c r="DR42" s="22">
        <f t="shared" si="16"/>
        <v>138.87057896251071</v>
      </c>
      <c r="DS42" s="62">
        <f t="shared" si="17"/>
        <v>432.20391229584402</v>
      </c>
      <c r="DT42" s="62">
        <f ca="1">AVERAGE(OFFSET($DS$3,0,0,'Données projet'!$E$14+1,1))-AVERAGE(OFFSET($H$3,0,0,'Données projet'!$E$14+1,1))</f>
        <v>122.60806128440754</v>
      </c>
      <c r="DU42" s="62">
        <f t="shared" si="44"/>
        <v>73.937252053142004</v>
      </c>
      <c r="DV42" s="16">
        <f>IF(ISNA(VLOOKUP(A42,'Données projet'!$A$165:$I$185,3,0)),0,VLOOKUP(A42,'Données projet'!$A$165:$I$185,3,0))</f>
        <v>1</v>
      </c>
      <c r="DW42" s="16">
        <f>IF(ISNA(VLOOKUP(A42,'Données projet'!$A$165:$I$185,4,0)),0,VLOOKUP(A42,'Données projet'!$A$165:$I$185,4,0))</f>
        <v>25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>
        <f>EJ42*VLOOKUP('Données projet'!$B$15,Paramètres!$A$1:$I$89,3,0)*VLOOKUP('Données projet'!$B$15,Paramètres!$A$1:$I$89,5,0)</f>
        <v>0</v>
      </c>
      <c r="EL42" s="14" t="e">
        <f t="shared" si="45"/>
        <v>#NUM!</v>
      </c>
      <c r="EM42" s="22" t="e">
        <f t="shared" si="19"/>
        <v>#NUM!</v>
      </c>
      <c r="EN42" s="62" t="e">
        <f t="shared" si="20"/>
        <v>#NUM!</v>
      </c>
      <c r="EO42" s="62">
        <f ca="1">AVERAGE(OFFSET($EN$3,0,0,'Données projet'!$E$15+1,1))-AVERAGE(OFFSET($H$3,0,0,'Données projet'!$E$15+1,1))</f>
        <v>0</v>
      </c>
      <c r="EP42" s="62">
        <f t="shared" si="46"/>
        <v>0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382.55387448074327</v>
      </c>
      <c r="T43" s="62">
        <f t="shared" si="34"/>
        <v>476.29465646955543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1.8067083155780304</v>
      </c>
      <c r="AA43" s="23">
        <f>EXP(-LN(2)/25)*AA42+(1-EXP(-LN(2)/25))/(LN(2)/25)*Calculateur!V43*Calculateur!X43*VLOOKUP('Données projet'!$B$9,Paramètres!$A$1:$I$89,3,0)*0.475*44/12</f>
        <v>8.0974693632977974</v>
      </c>
      <c r="AB43" s="23">
        <f>EXP(-LN(2)/2)*AB42+(1-EXP(-LN(2)/2))/(LN(2)/2)*V43*Y43*VLOOKUP('Données projet'!$B$9,Paramètres!$A$1:$I$89,3,0)*0.475*44/12</f>
        <v>0.70394997572615059</v>
      </c>
      <c r="AC43" s="24">
        <f t="shared" si="3"/>
        <v>10.608127654601978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269.64423257646359</v>
      </c>
      <c r="AO43" s="62">
        <f t="shared" si="36"/>
        <v>161.0819079811821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160.99999999999997</v>
      </c>
      <c r="BE43" s="14">
        <f>BD43*VLOOKUP('Données projet'!$B$11,Paramètres!$A$1:$I$89,3,0)*VLOOKUP('Données projet'!$B$11,Paramètres!$A$1:$I$89,5,0)</f>
        <v>75.347999999999985</v>
      </c>
      <c r="BF43" s="14">
        <f t="shared" si="37"/>
        <v>20.99581051771704</v>
      </c>
      <c r="BG43" s="22">
        <f t="shared" si="7"/>
        <v>167.79880331835713</v>
      </c>
      <c r="BH43" s="62">
        <f t="shared" si="8"/>
        <v>461.13213665169042</v>
      </c>
      <c r="BI43" s="62">
        <f ca="1">AVERAGE(OFFSET($BH$3,0,0,'Données projet'!$E$11+1,1))-AVERAGE(OFFSET($H$3,0,0,'Données projet'!$E$11+1,1))</f>
        <v>90.797383835887558</v>
      </c>
      <c r="BJ43" s="62">
        <f t="shared" si="38"/>
        <v>104.31413437636684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0.79185745993439116</v>
      </c>
      <c r="BQ43" s="23">
        <f>EXP(-LN(2)/25)*BQ42+(1-EXP(-LN(2)/25))/(LN(2)/25)*Calculateur!BL43*Calculateur!BN43*VLOOKUP('Données projet'!$B$11,Paramètres!$A$1:$I$89,3,0)*0.475*44/12</f>
        <v>3.2158376560854403</v>
      </c>
      <c r="BR43" s="23">
        <f>EXP(-LN(2)/2)*BR42+(1-EXP(-LN(2)/2))/(LN(2)/2)*BL43*BO43*VLOOKUP('Données projet'!$B$11,Paramètres!$A$1:$I$89,3,0)*0.475*44/12</f>
        <v>9.2474004425761799E-2</v>
      </c>
      <c r="BS43" s="24">
        <f t="shared" si="9"/>
        <v>4.1001691204455932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11.5</v>
      </c>
      <c r="BY43" s="13">
        <f>IF('Données projet'!$A$114&gt;35,BY42+BX43-CG42,IF(A43&lt;'Données projet'!$A$114,$BV$205^A43,IF(A43='Données projet'!$A$114,'Données projet'!$B$114,BY42+BX43-CG42)))</f>
        <v>232</v>
      </c>
      <c r="BZ43" s="14">
        <f>BY43*VLOOKUP('Données projet'!$B$12,Paramètres!$A$1:$I$89,3,0)*VLOOKUP('Données projet'!$B$12,Paramètres!$A$1:$I$89,5,0)</f>
        <v>144.768</v>
      </c>
      <c r="CA43" s="14">
        <f t="shared" si="39"/>
        <v>37.387149255707826</v>
      </c>
      <c r="CB43" s="22">
        <f t="shared" si="10"/>
        <v>317.25355162035777</v>
      </c>
      <c r="CC43" s="62">
        <f t="shared" si="11"/>
        <v>610.58688495369108</v>
      </c>
      <c r="CD43" s="62">
        <f ca="1">AVERAGE(OFFSET($CC$3,0,0,'Données projet'!$E$12+1,1))-AVERAGE(OFFSET($H$3,0,0,'Données projet'!$E$12+1,1))</f>
        <v>179.44051550872138</v>
      </c>
      <c r="CE43" s="62">
        <f t="shared" si="40"/>
        <v>272.9500808380069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4.094951043666569</v>
      </c>
      <c r="CL43" s="23">
        <f>EXP(-LN(2)/25)*CL42+(1-EXP(-LN(2)/25))/(LN(2)/25)*Calculateur!CG43*Calculateur!CI43*VLOOKUP('Données projet'!$B$12,Paramètres!$A$1:$I$89,3,0)*0.475*44/12</f>
        <v>15.206580540703181</v>
      </c>
      <c r="CM43" s="23">
        <f>EXP(-LN(2)/2)*CM42+(1-EXP(-LN(2)/2))/(LN(2)/2)*CG43*CJ43*VLOOKUP('Données projet'!$B$12,Paramètres!$A$1:$I$89,3,0)*0.475*44/12</f>
        <v>0.64399261250918416</v>
      </c>
      <c r="CN43" s="24">
        <f t="shared" si="12"/>
        <v>19.945524196878932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14</v>
      </c>
      <c r="CT43" s="13">
        <f>IF('Données projet'!$A$140&gt;35,CT42+CS43-DB42,IF(A43&lt;'Données projet'!$A$140,$CQ$205^A43,IF(A43='Données projet'!$A$140,'Données projet'!$B$140,CT42+CS43-DB42)))</f>
        <v>249.99999999999994</v>
      </c>
      <c r="CU43" s="18">
        <f>CT43*VLOOKUP('Données projet'!$B$13,Paramètres!$A$1:$I$89,3,0)*VLOOKUP('Données projet'!$B$13,Paramètres!$A$1:$I$89,5,0)</f>
        <v>136.49999999999997</v>
      </c>
      <c r="CV43" s="14">
        <f t="shared" si="41"/>
        <v>35.494027024087352</v>
      </c>
      <c r="CW43" s="22">
        <f t="shared" si="13"/>
        <v>299.55626373361878</v>
      </c>
      <c r="CX43" s="62">
        <f t="shared" si="14"/>
        <v>592.88959706695209</v>
      </c>
      <c r="CY43" s="62">
        <f ca="1">AVERAGE(OFFSET($CX$3,0,0,'Données projet'!$E$13+1,1))-AVERAGE(OFFSET($H$3,0,0,'Données projet'!$E$13+1,1))</f>
        <v>159.92263609041913</v>
      </c>
      <c r="CZ43" s="62">
        <f t="shared" si="42"/>
        <v>271.78119133009307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5.3685451670097937</v>
      </c>
      <c r="DG43" s="23">
        <f>EXP(-LN(2)/25)*DG42+(1-EXP(-LN(2)/25))/(LN(2)/25)*Calculateur!DB43*Calculateur!DD43*VLOOKUP('Données projet'!$B$13,Paramètres!$A$1:$I$89,3,0)*0.475*44/12</f>
        <v>22.17651481529866</v>
      </c>
      <c r="DH43" s="23">
        <f>EXP(-LN(2)/2)*DH42+(1-EXP(-LN(2)/2))/(LN(2)/2)*DB43*DE43*VLOOKUP('Données projet'!$B$13,Paramètres!$A$1:$I$89,3,0)*0.475*44/12</f>
        <v>0.85733366149859014</v>
      </c>
      <c r="DI43" s="24">
        <f t="shared" si="15"/>
        <v>28.402393643807041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21</v>
      </c>
      <c r="DO43" s="13">
        <f>IF('Données projet'!$A$166&gt;35,DO42+DN43-DW42,IF(A43&lt;'Données projet'!$A$166,$DL$205^A43,IF(A43='Données projet'!$A$166,'Données projet'!$B$166,DO42+DN43-DW42)))</f>
        <v>124.99999999999997</v>
      </c>
      <c r="DP43" s="18">
        <f>DO43*VLOOKUP('Données projet'!$B$14,Paramètres!$A$1:$I$89,3,0)*VLOOKUP('Données projet'!$B$14,Paramètres!$A$1:$I$89,5,0)</f>
        <v>60.124999999999986</v>
      </c>
      <c r="DQ43" s="14">
        <f t="shared" si="43"/>
        <v>17.199869105363195</v>
      </c>
      <c r="DR43" s="22">
        <f t="shared" si="16"/>
        <v>134.67414702517419</v>
      </c>
      <c r="DS43" s="62">
        <f t="shared" si="17"/>
        <v>428.00748035850751</v>
      </c>
      <c r="DT43" s="62">
        <f ca="1">AVERAGE(OFFSET($DS$3,0,0,'Données projet'!$E$14+1,1))-AVERAGE(OFFSET($H$3,0,0,'Données projet'!$E$14+1,1))</f>
        <v>122.60806128440754</v>
      </c>
      <c r="DU43" s="62">
        <f t="shared" si="44"/>
        <v>73.937252053142004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>
        <f>EJ43*VLOOKUP('Données projet'!$B$15,Paramètres!$A$1:$I$89,3,0)*VLOOKUP('Données projet'!$B$15,Paramètres!$A$1:$I$89,5,0)</f>
        <v>0</v>
      </c>
      <c r="EL43" s="14" t="e">
        <f t="shared" si="45"/>
        <v>#NUM!</v>
      </c>
      <c r="EM43" s="22" t="e">
        <f t="shared" si="19"/>
        <v>#NUM!</v>
      </c>
      <c r="EN43" s="62" t="e">
        <f t="shared" si="20"/>
        <v>#NUM!</v>
      </c>
      <c r="EO43" s="62">
        <f ca="1">AVERAGE(OFFSET($EN$3,0,0,'Données projet'!$E$15+1,1))-AVERAGE(OFFSET($H$3,0,0,'Données projet'!$E$15+1,1))</f>
        <v>0</v>
      </c>
      <c r="EP43" s="62">
        <f t="shared" si="46"/>
        <v>0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382.55387448074327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1.7712798674928059</v>
      </c>
      <c r="AA44" s="23">
        <f>EXP(-LN(2)/25)*AA43+(1-EXP(-LN(2)/25))/(LN(2)/25)*Calculateur!V44*Calculateur!X44*VLOOKUP('Données projet'!$B$9,Paramètres!$A$1:$I$89,3,0)*0.475*44/12</f>
        <v>7.8760436377310121</v>
      </c>
      <c r="AB44" s="23">
        <f>EXP(-LN(2)/2)*AB43+(1-EXP(-LN(2)/2))/(LN(2)/2)*V44*Y44*VLOOKUP('Données projet'!$B$9,Paramètres!$A$1:$I$89,3,0)*0.475*44/12</f>
        <v>0.49776780145206662</v>
      </c>
      <c r="AC44" s="24">
        <f t="shared" si="3"/>
        <v>10.145091306675885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269.64423257646359</v>
      </c>
      <c r="AO44" s="62">
        <f t="shared" si="36"/>
        <v>161.0819079811821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</v>
      </c>
      <c r="BD44" s="13">
        <f>IF('Données projet'!$A$88&gt;35,BD43+BC44-BL43,IF(A44&lt;'Données projet'!$A$88,$BA$205^A44,IF(A44='Données projet'!$A$88,'Données projet'!$B$88,BD43+BC44-BL43)))</f>
        <v>167.99999999999997</v>
      </c>
      <c r="BE44" s="14">
        <f>BD44*VLOOKUP('Données projet'!$B$11,Paramètres!$A$1:$I$89,3,0)*VLOOKUP('Données projet'!$B$11,Paramètres!$A$1:$I$89,5,0)</f>
        <v>78.623999999999995</v>
      </c>
      <c r="BF44" s="14">
        <f t="shared" si="37"/>
        <v>21.800406010684444</v>
      </c>
      <c r="BG44" s="22">
        <f t="shared" si="7"/>
        <v>174.90584046860872</v>
      </c>
      <c r="BH44" s="62">
        <f t="shared" si="8"/>
        <v>468.239173801942</v>
      </c>
      <c r="BI44" s="62">
        <f ca="1">AVERAGE(OFFSET($BH$3,0,0,'Données projet'!$E$11+1,1))-AVERAGE(OFFSET($H$3,0,0,'Données projet'!$E$11+1,1))</f>
        <v>90.797383835887558</v>
      </c>
      <c r="BJ44" s="62">
        <f t="shared" si="38"/>
        <v>104.31413437636684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0.77632961813043744</v>
      </c>
      <c r="BQ44" s="23">
        <f>EXP(-LN(2)/25)*BQ43+(1-EXP(-LN(2)/25))/(LN(2)/25)*Calculateur!BL44*Calculateur!BN44*VLOOKUP('Données projet'!$B$11,Paramètres!$A$1:$I$89,3,0)*0.475*44/12</f>
        <v>3.1279004062662317</v>
      </c>
      <c r="BR44" s="23">
        <f>EXP(-LN(2)/2)*BR43+(1-EXP(-LN(2)/2))/(LN(2)/2)*BL44*BO44*VLOOKUP('Données projet'!$B$11,Paramètres!$A$1:$I$89,3,0)*0.475*44/12</f>
        <v>6.5388995612930975E-2</v>
      </c>
      <c r="BS44" s="24">
        <f t="shared" si="9"/>
        <v>3.9696190200096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11.5</v>
      </c>
      <c r="BY44" s="13">
        <f>IF('Données projet'!$A$114&gt;35,BY43+BX44-CG43,IF(A44&lt;'Données projet'!$A$114,$BV$205^A44,IF(A44='Données projet'!$A$114,'Données projet'!$B$114,BY43+BX44-CG43)))</f>
        <v>243.5</v>
      </c>
      <c r="BZ44" s="14">
        <f>BY44*VLOOKUP('Données projet'!$B$12,Paramètres!$A$1:$I$89,3,0)*VLOOKUP('Données projet'!$B$12,Paramètres!$A$1:$I$89,5,0)</f>
        <v>151.94399999999999</v>
      </c>
      <c r="CA44" s="14">
        <f t="shared" si="39"/>
        <v>39.02003496976517</v>
      </c>
      <c r="CB44" s="22">
        <f t="shared" si="10"/>
        <v>332.59569423900763</v>
      </c>
      <c r="CC44" s="62">
        <f t="shared" si="11"/>
        <v>625.92902757234094</v>
      </c>
      <c r="CD44" s="62">
        <f ca="1">AVERAGE(OFFSET($CC$3,0,0,'Données projet'!$E$12+1,1))-AVERAGE(OFFSET($H$3,0,0,'Données projet'!$E$12+1,1))</f>
        <v>179.44051550872138</v>
      </c>
      <c r="CE44" s="62">
        <f t="shared" si="40"/>
        <v>272.9500808380069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4.0146515513737793</v>
      </c>
      <c r="CL44" s="23">
        <f>EXP(-LN(2)/25)*CL43+(1-EXP(-LN(2)/25))/(LN(2)/25)*Calculateur!CG44*Calculateur!CI44*VLOOKUP('Données projet'!$B$12,Paramètres!$A$1:$I$89,3,0)*0.475*44/12</f>
        <v>14.790755796138336</v>
      </c>
      <c r="CM44" s="23">
        <f>EXP(-LN(2)/2)*CM43+(1-EXP(-LN(2)/2))/(LN(2)/2)*CG44*CJ44*VLOOKUP('Données projet'!$B$12,Paramètres!$A$1:$I$89,3,0)*0.475*44/12</f>
        <v>0.45537154333928481</v>
      </c>
      <c r="CN44" s="24">
        <f t="shared" si="12"/>
        <v>19.260778890851402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14</v>
      </c>
      <c r="CT44" s="13">
        <f>IF('Données projet'!$A$140&gt;35,CT43+CS44-DB43,IF(A44&lt;'Données projet'!$A$140,$CQ$205^A44,IF(A44='Données projet'!$A$140,'Données projet'!$B$140,CT43+CS44-DB43)))</f>
        <v>263.99999999999994</v>
      </c>
      <c r="CU44" s="18">
        <f>CT44*VLOOKUP('Données projet'!$B$13,Paramètres!$A$1:$I$89,3,0)*VLOOKUP('Données projet'!$B$13,Paramètres!$A$1:$I$89,5,0)</f>
        <v>144.14399999999995</v>
      </c>
      <c r="CV44" s="14">
        <f t="shared" si="41"/>
        <v>37.244720006976216</v>
      </c>
      <c r="CW44" s="22">
        <f t="shared" si="13"/>
        <v>315.91868734548348</v>
      </c>
      <c r="CX44" s="62">
        <f t="shared" si="14"/>
        <v>609.25202067881673</v>
      </c>
      <c r="CY44" s="62">
        <f ca="1">AVERAGE(OFFSET($CX$3,0,0,'Données projet'!$E$13+1,1))-AVERAGE(OFFSET($H$3,0,0,'Données projet'!$E$13+1,1))</f>
        <v>159.92263609041913</v>
      </c>
      <c r="CZ44" s="62">
        <f t="shared" si="42"/>
        <v>271.78119133009307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5.2632712707739548</v>
      </c>
      <c r="DG44" s="23">
        <f>EXP(-LN(2)/25)*DG43+(1-EXP(-LN(2)/25))/(LN(2)/25)*Calculateur!DB44*Calculateur!DD44*VLOOKUP('Données projet'!$B$13,Paramètres!$A$1:$I$89,3,0)*0.475*44/12</f>
        <v>21.57009685146209</v>
      </c>
      <c r="DH44" s="23">
        <f>EXP(-LN(2)/2)*DH43+(1-EXP(-LN(2)/2))/(LN(2)/2)*DB44*DE44*VLOOKUP('Données projet'!$B$13,Paramètres!$A$1:$I$89,3,0)*0.475*44/12</f>
        <v>0.60622644578514517</v>
      </c>
      <c r="DI44" s="24">
        <f t="shared" si="15"/>
        <v>27.439594568021192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21</v>
      </c>
      <c r="DO44" s="13">
        <f>IF('Données projet'!$A$166&gt;35,DO43+DN44-DW43,IF(A44&lt;'Données projet'!$A$166,$DL$205^A44,IF(A44='Données projet'!$A$166,'Données projet'!$B$166,DO43+DN44-DW43)))</f>
        <v>145.99999999999997</v>
      </c>
      <c r="DP44" s="18">
        <f>DO44*VLOOKUP('Données projet'!$B$14,Paramètres!$A$1:$I$89,3,0)*VLOOKUP('Données projet'!$B$14,Paramètres!$A$1:$I$89,5,0)</f>
        <v>70.225999999999985</v>
      </c>
      <c r="DQ44" s="14">
        <f t="shared" si="43"/>
        <v>19.729570803453036</v>
      </c>
      <c r="DR44" s="22">
        <f t="shared" si="16"/>
        <v>156.6726191493473</v>
      </c>
      <c r="DS44" s="62">
        <f t="shared" si="17"/>
        <v>450.00595248268064</v>
      </c>
      <c r="DT44" s="62">
        <f ca="1">AVERAGE(OFFSET($DS$3,0,0,'Données projet'!$E$14+1,1))-AVERAGE(OFFSET($H$3,0,0,'Données projet'!$E$14+1,1))</f>
        <v>122.60806128440754</v>
      </c>
      <c r="DU44" s="62">
        <f t="shared" si="44"/>
        <v>73.937252053142004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>
        <f>EJ44*VLOOKUP('Données projet'!$B$15,Paramètres!$A$1:$I$89,3,0)*VLOOKUP('Données projet'!$B$15,Paramètres!$A$1:$I$89,5,0)</f>
        <v>0</v>
      </c>
      <c r="EL44" s="14" t="e">
        <f t="shared" si="45"/>
        <v>#NUM!</v>
      </c>
      <c r="EM44" s="22" t="e">
        <f t="shared" si="19"/>
        <v>#NUM!</v>
      </c>
      <c r="EN44" s="62" t="e">
        <f t="shared" si="20"/>
        <v>#NUM!</v>
      </c>
      <c r="EO44" s="62">
        <f ca="1">AVERAGE(OFFSET($EN$3,0,0,'Données projet'!$E$15+1,1))-AVERAGE(OFFSET($H$3,0,0,'Données projet'!$E$15+1,1))</f>
        <v>0</v>
      </c>
      <c r="EP44" s="62">
        <f t="shared" si="46"/>
        <v>0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382.55387448074327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1.736546149665313</v>
      </c>
      <c r="AA45" s="23">
        <f>EXP(-LN(2)/25)*AA44+(1-EXP(-LN(2)/25))/(LN(2)/25)*Calculateur!V45*Calculateur!X45*VLOOKUP('Données projet'!$B$9,Paramètres!$A$1:$I$89,3,0)*0.475*44/12</f>
        <v>7.6606728102741233</v>
      </c>
      <c r="AB45" s="23">
        <f>EXP(-LN(2)/2)*AB44+(1-EXP(-LN(2)/2))/(LN(2)/2)*V45*Y45*VLOOKUP('Données projet'!$B$9,Paramètres!$A$1:$I$89,3,0)*0.475*44/12</f>
        <v>0.35197498786307535</v>
      </c>
      <c r="AC45" s="24">
        <f t="shared" si="3"/>
        <v>9.749193947802512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269.64423257646359</v>
      </c>
      <c r="AO45" s="62">
        <f t="shared" si="36"/>
        <v>161.0819079811821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</v>
      </c>
      <c r="BD45" s="13">
        <f>IF('Données projet'!$A$88&gt;35,BD44+BC45-BL44,IF(A45&lt;'Données projet'!$A$88,$BA$205^A45,IF(A45='Données projet'!$A$88,'Données projet'!$B$88,BD44+BC45-BL44)))</f>
        <v>174.99999999999997</v>
      </c>
      <c r="BE45" s="14">
        <f>BD45*VLOOKUP('Données projet'!$B$11,Paramètres!$A$1:$I$89,3,0)*VLOOKUP('Données projet'!$B$11,Paramètres!$A$1:$I$89,5,0)</f>
        <v>81.899999999999977</v>
      </c>
      <c r="BF45" s="14">
        <f t="shared" si="37"/>
        <v>22.601107473346342</v>
      </c>
      <c r="BG45" s="22">
        <f t="shared" si="7"/>
        <v>182.00609551607818</v>
      </c>
      <c r="BH45" s="62">
        <f t="shared" si="8"/>
        <v>475.33942884941149</v>
      </c>
      <c r="BI45" s="62">
        <f ca="1">AVERAGE(OFFSET($BH$3,0,0,'Données projet'!$E$11+1,1))-AVERAGE(OFFSET($H$3,0,0,'Données projet'!$E$11+1,1))</f>
        <v>90.797383835887558</v>
      </c>
      <c r="BJ45" s="62">
        <f t="shared" si="38"/>
        <v>104.31413437636684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0.761106267833211</v>
      </c>
      <c r="BQ45" s="23">
        <f>EXP(-LN(2)/25)*BQ44+(1-EXP(-LN(2)/25))/(LN(2)/25)*Calculateur!BL45*Calculateur!BN45*VLOOKUP('Données projet'!$B$11,Paramètres!$A$1:$I$89,3,0)*0.475*44/12</f>
        <v>3.0423678051677481</v>
      </c>
      <c r="BR45" s="23">
        <f>EXP(-LN(2)/2)*BR44+(1-EXP(-LN(2)/2))/(LN(2)/2)*BL45*BO45*VLOOKUP('Données projet'!$B$11,Paramètres!$A$1:$I$89,3,0)*0.475*44/12</f>
        <v>4.62370022128809E-2</v>
      </c>
      <c r="BS45" s="24">
        <f t="shared" si="9"/>
        <v>3.8497110752138402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255</v>
      </c>
      <c r="BW45" s="13">
        <f>VLOOKUP(A45,'Données projet'!$A$113:$I$133,9,0)</f>
        <v>11.5</v>
      </c>
      <c r="BX45" s="13">
        <f t="array" ref="BX45">INDEX(BW:BW,MIN(IF(ISNUMBER(BW45:BW241),ROW(BW45:BW241),"")))</f>
        <v>11.5</v>
      </c>
      <c r="BY45" s="13">
        <f>IF('Données projet'!$A$114&gt;35,BY44+BX45-CG44,IF(A45&lt;'Données projet'!$A$114,$BV$205^A45,IF(A45='Données projet'!$A$114,'Données projet'!$B$114,BY44+BX45-CG44)))</f>
        <v>255</v>
      </c>
      <c r="BZ45" s="14">
        <f>BY45*VLOOKUP('Données projet'!$B$12,Paramètres!$A$1:$I$89,3,0)*VLOOKUP('Données projet'!$B$12,Paramètres!$A$1:$I$89,5,0)</f>
        <v>159.12</v>
      </c>
      <c r="CA45" s="14">
        <f t="shared" si="39"/>
        <v>40.643965284387697</v>
      </c>
      <c r="CB45" s="22">
        <f t="shared" si="10"/>
        <v>347.92223953697521</v>
      </c>
      <c r="CC45" s="62">
        <f t="shared" si="11"/>
        <v>641.25557287030847</v>
      </c>
      <c r="CD45" s="62">
        <f ca="1">AVERAGE(OFFSET($CC$3,0,0,'Données projet'!$E$12+1,1))-AVERAGE(OFFSET($H$3,0,0,'Données projet'!$E$12+1,1))</f>
        <v>179.44051550872138</v>
      </c>
      <c r="CE45" s="62">
        <f t="shared" si="40"/>
        <v>272.9500808380069</v>
      </c>
      <c r="CF45" s="16">
        <f>IF(ISNA(VLOOKUP(A45,'Données projet'!$A$113:$I$133,3,0)),0,VLOOKUP(A45,'Données projet'!$A$113:$I$133,3,0))</f>
        <v>6</v>
      </c>
      <c r="CG45" s="16">
        <f>IF(ISNA(VLOOKUP(A45,'Données projet'!$A$113:$I$133,4,0)),0,VLOOKUP(A45,'Données projet'!$A$113:$I$133,4,0))</f>
        <v>67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3.935926683146997</v>
      </c>
      <c r="CL45" s="23">
        <f>EXP(-LN(2)/25)*CL44+(1-EXP(-LN(2)/25))/(LN(2)/25)*Calculateur!CG45*Calculateur!CI45*VLOOKUP('Données projet'!$B$12,Paramètres!$A$1:$I$89,3,0)*0.475*44/12</f>
        <v>14.386301801080892</v>
      </c>
      <c r="CM45" s="23">
        <f>EXP(-LN(2)/2)*CM44+(1-EXP(-LN(2)/2))/(LN(2)/2)*CG45*CJ45*VLOOKUP('Données projet'!$B$12,Paramètres!$A$1:$I$89,3,0)*0.475*44/12</f>
        <v>0.32199630625459214</v>
      </c>
      <c r="CN45" s="24">
        <f t="shared" si="12"/>
        <v>18.644224790482482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278</v>
      </c>
      <c r="CR45" s="13">
        <f>VLOOKUP(A45,'Données projet'!$A$139:$I$159,9,0)</f>
        <v>14</v>
      </c>
      <c r="CS45" s="13">
        <f t="array" ref="CS45">INDEX(CR:CR,MIN(IF(ISNUMBER(CR45:CR241),ROW(CR45:CR241),"")))</f>
        <v>14</v>
      </c>
      <c r="CT45" s="13">
        <f>IF('Données projet'!$A$140&gt;35,CT44+CS45-DB44,IF(A45&lt;'Données projet'!$A$140,$CQ$205^A45,IF(A45='Données projet'!$A$140,'Données projet'!$B$140,CT44+CS45-DB44)))</f>
        <v>277.99999999999994</v>
      </c>
      <c r="CU45" s="18">
        <f>CT45*VLOOKUP('Données projet'!$B$13,Paramètres!$A$1:$I$89,3,0)*VLOOKUP('Données projet'!$B$13,Paramètres!$A$1:$I$89,5,0)</f>
        <v>151.78799999999998</v>
      </c>
      <c r="CV45" s="14">
        <f t="shared" si="41"/>
        <v>38.984634390835623</v>
      </c>
      <c r="CW45" s="22">
        <f t="shared" si="13"/>
        <v>332.26233823070532</v>
      </c>
      <c r="CX45" s="62">
        <f t="shared" si="14"/>
        <v>625.59567156403864</v>
      </c>
      <c r="CY45" s="62">
        <f ca="1">AVERAGE(OFFSET($CX$3,0,0,'Données projet'!$E$13+1,1))-AVERAGE(OFFSET($H$3,0,0,'Données projet'!$E$13+1,1))</f>
        <v>159.92263609041913</v>
      </c>
      <c r="CZ45" s="62">
        <f t="shared" si="42"/>
        <v>271.78119133009307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5.1600617314325641</v>
      </c>
      <c r="DG45" s="23">
        <f>EXP(-LN(2)/25)*DG44+(1-EXP(-LN(2)/25))/(LN(2)/25)*Calculateur!DB45*Calculateur!DD45*VLOOKUP('Données projet'!$B$13,Paramètres!$A$1:$I$89,3,0)*0.475*44/12</f>
        <v>20.980261418736763</v>
      </c>
      <c r="DH45" s="23">
        <f>EXP(-LN(2)/2)*DH44+(1-EXP(-LN(2)/2))/(LN(2)/2)*DB45*DE45*VLOOKUP('Données projet'!$B$13,Paramètres!$A$1:$I$89,3,0)*0.475*44/12</f>
        <v>0.42866683074929507</v>
      </c>
      <c r="DI45" s="24">
        <f t="shared" si="15"/>
        <v>26.568989980918623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21</v>
      </c>
      <c r="DO45" s="13">
        <f>IF('Données projet'!$A$166&gt;35,DO44+DN45-DW44,IF(A45&lt;'Données projet'!$A$166,$DL$205^A45,IF(A45='Données projet'!$A$166,'Données projet'!$B$166,DO44+DN45-DW44)))</f>
        <v>166.99999999999997</v>
      </c>
      <c r="DP45" s="18">
        <f>DO45*VLOOKUP('Données projet'!$B$14,Paramètres!$A$1:$I$89,3,0)*VLOOKUP('Données projet'!$B$14,Paramètres!$A$1:$I$89,5,0)</f>
        <v>80.326999999999998</v>
      </c>
      <c r="DQ45" s="14">
        <f t="shared" si="43"/>
        <v>22.217118337239182</v>
      </c>
      <c r="DR45" s="22">
        <f t="shared" si="16"/>
        <v>178.59767277069156</v>
      </c>
      <c r="DS45" s="62">
        <f t="shared" si="17"/>
        <v>471.93100610402485</v>
      </c>
      <c r="DT45" s="62">
        <f ca="1">AVERAGE(OFFSET($DS$3,0,0,'Données projet'!$E$14+1,1))-AVERAGE(OFFSET($H$3,0,0,'Données projet'!$E$14+1,1))</f>
        <v>122.60806128440754</v>
      </c>
      <c r="DU45" s="62">
        <f t="shared" si="44"/>
        <v>73.937252053142004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>
        <f>EJ45*VLOOKUP('Données projet'!$B$15,Paramètres!$A$1:$I$89,3,0)*VLOOKUP('Données projet'!$B$15,Paramètres!$A$1:$I$89,5,0)</f>
        <v>0</v>
      </c>
      <c r="EL45" s="14" t="e">
        <f t="shared" si="45"/>
        <v>#NUM!</v>
      </c>
      <c r="EM45" s="22" t="e">
        <f t="shared" si="19"/>
        <v>#NUM!</v>
      </c>
      <c r="EN45" s="62" t="e">
        <f t="shared" si="20"/>
        <v>#NUM!</v>
      </c>
      <c r="EO45" s="62">
        <f ca="1">AVERAGE(OFFSET($EN$3,0,0,'Données projet'!$E$15+1,1))-AVERAGE(OFFSET($H$3,0,0,'Données projet'!$E$15+1,1))</f>
        <v>0</v>
      </c>
      <c r="EP45" s="62">
        <f t="shared" si="46"/>
        <v>0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382.55387448074327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1.7024935388589413</v>
      </c>
      <c r="AA46" s="23">
        <f>EXP(-LN(2)/25)*AA45+(1-EXP(-LN(2)/25))/(LN(2)/25)*Calculateur!V46*Calculateur!X46*VLOOKUP('Données projet'!$B$9,Paramètres!$A$1:$I$89,3,0)*0.475*44/12</f>
        <v>7.4511913094199027</v>
      </c>
      <c r="AB46" s="23">
        <f>EXP(-LN(2)/2)*AB45+(1-EXP(-LN(2)/2))/(LN(2)/2)*V46*Y46*VLOOKUP('Données projet'!$B$9,Paramètres!$A$1:$I$89,3,0)*0.475*44/12</f>
        <v>0.24888390072603336</v>
      </c>
      <c r="AC46" s="24">
        <f t="shared" si="3"/>
        <v>9.4025687490048782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269.64423257646359</v>
      </c>
      <c r="AO46" s="62">
        <f t="shared" si="36"/>
        <v>161.0819079811821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</v>
      </c>
      <c r="BD46" s="13">
        <f>IF('Données projet'!$A$88&gt;35,BD45+BC46-BL45,IF(A46&lt;'Données projet'!$A$88,$BA$205^A46,IF(A46='Données projet'!$A$88,'Données projet'!$B$88,BD45+BC46-BL45)))</f>
        <v>181.99999999999997</v>
      </c>
      <c r="BE46" s="14">
        <f>BD46*VLOOKUP('Données projet'!$B$11,Paramètres!$A$1:$I$89,3,0)*VLOOKUP('Données projet'!$B$11,Paramètres!$A$1:$I$89,5,0)</f>
        <v>85.175999999999974</v>
      </c>
      <c r="BF46" s="14">
        <f t="shared" si="37"/>
        <v>23.398088487656434</v>
      </c>
      <c r="BG46" s="22">
        <f t="shared" si="7"/>
        <v>189.09987078266826</v>
      </c>
      <c r="BH46" s="62">
        <f t="shared" si="8"/>
        <v>482.43320411600155</v>
      </c>
      <c r="BI46" s="62">
        <f ca="1">AVERAGE(OFFSET($BH$3,0,0,'Données projet'!$E$11+1,1))-AVERAGE(OFFSET($H$3,0,0,'Données projet'!$E$11+1,1))</f>
        <v>90.797383835887558</v>
      </c>
      <c r="BJ46" s="62">
        <f t="shared" si="38"/>
        <v>104.31413437636684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0.74618143814998628</v>
      </c>
      <c r="BQ46" s="23">
        <f>EXP(-LN(2)/25)*BQ45+(1-EXP(-LN(2)/25))/(LN(2)/25)*Calculateur!BL46*Calculateur!BN46*VLOOKUP('Données projet'!$B$11,Paramètres!$A$1:$I$89,3,0)*0.475*44/12</f>
        <v>2.9591740975442664</v>
      </c>
      <c r="BR46" s="23">
        <f>EXP(-LN(2)/2)*BR45+(1-EXP(-LN(2)/2))/(LN(2)/2)*BL46*BO46*VLOOKUP('Données projet'!$B$11,Paramètres!$A$1:$I$89,3,0)*0.475*44/12</f>
        <v>3.2694497806465488E-2</v>
      </c>
      <c r="BS46" s="24">
        <f t="shared" si="9"/>
        <v>3.7380500335007181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10.666666666666666</v>
      </c>
      <c r="BY46" s="13">
        <f>IF('Données projet'!$A$114&gt;35,BY45+BX46-CG45,IF(A46&lt;'Données projet'!$A$114,$BV$205^A46,IF(A46='Données projet'!$A$114,'Données projet'!$B$114,BY45+BX46-CG45)))</f>
        <v>198.66666666666669</v>
      </c>
      <c r="BZ46" s="14">
        <f>BY46*VLOOKUP('Données projet'!$B$12,Paramètres!$A$1:$I$89,3,0)*VLOOKUP('Données projet'!$B$12,Paramètres!$A$1:$I$89,5,0)</f>
        <v>123.968</v>
      </c>
      <c r="CA46" s="14">
        <f t="shared" si="39"/>
        <v>32.598710622532096</v>
      </c>
      <c r="CB46" s="22">
        <f t="shared" si="10"/>
        <v>272.68702100091008</v>
      </c>
      <c r="CC46" s="62">
        <f t="shared" si="11"/>
        <v>566.02035433424339</v>
      </c>
      <c r="CD46" s="62">
        <f ca="1">AVERAGE(OFFSET($CC$3,0,0,'Données projet'!$E$12+1,1))-AVERAGE(OFFSET($H$3,0,0,'Données projet'!$E$12+1,1))</f>
        <v>179.44051550872138</v>
      </c>
      <c r="CE46" s="62">
        <f t="shared" si="40"/>
        <v>272.9500808380069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3.8587455615687136</v>
      </c>
      <c r="CL46" s="23">
        <f>EXP(-LN(2)/25)*CL45+(1-EXP(-LN(2)/25))/(LN(2)/25)*Calculateur!CG46*Calculateur!CI46*VLOOKUP('Données projet'!$B$12,Paramètres!$A$1:$I$89,3,0)*0.475*44/12</f>
        <v>13.992907621787603</v>
      </c>
      <c r="CM46" s="23">
        <f>EXP(-LN(2)/2)*CM45+(1-EXP(-LN(2)/2))/(LN(2)/2)*CG46*CJ46*VLOOKUP('Données projet'!$B$12,Paramètres!$A$1:$I$89,3,0)*0.475*44/12</f>
        <v>0.22768577166964243</v>
      </c>
      <c r="CN46" s="24">
        <f t="shared" si="12"/>
        <v>18.079338955025957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277.99999999999994</v>
      </c>
      <c r="CU46" s="18">
        <f>CT46*VLOOKUP('Données projet'!$B$13,Paramètres!$A$1:$I$89,3,0)*VLOOKUP('Données projet'!$B$13,Paramètres!$A$1:$I$89,5,0)</f>
        <v>151.78799999999998</v>
      </c>
      <c r="CV46" s="14">
        <f t="shared" si="41"/>
        <v>38.984634390835623</v>
      </c>
      <c r="CW46" s="22">
        <f t="shared" si="13"/>
        <v>332.26233823070532</v>
      </c>
      <c r="CX46" s="62">
        <f t="shared" si="14"/>
        <v>625.59567156403864</v>
      </c>
      <c r="CY46" s="62">
        <f ca="1">AVERAGE(OFFSET($CX$3,0,0,'Données projet'!$E$13+1,1))-AVERAGE(OFFSET($H$3,0,0,'Données projet'!$E$13+1,1))</f>
        <v>159.92263609041913</v>
      </c>
      <c r="CZ46" s="62">
        <f t="shared" si="42"/>
        <v>271.78119133009307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5.0588760682060547</v>
      </c>
      <c r="DG46" s="23">
        <f>EXP(-LN(2)/25)*DG45+(1-EXP(-LN(2)/25))/(LN(2)/25)*Calculateur!DB46*Calculateur!DD46*VLOOKUP('Données projet'!$B$13,Paramètres!$A$1:$I$89,3,0)*0.475*44/12</f>
        <v>20.406555066937408</v>
      </c>
      <c r="DH46" s="23">
        <f>EXP(-LN(2)/2)*DH45+(1-EXP(-LN(2)/2))/(LN(2)/2)*DB46*DE46*VLOOKUP('Données projet'!$B$13,Paramètres!$A$1:$I$89,3,0)*0.475*44/12</f>
        <v>0.30311322289257259</v>
      </c>
      <c r="DI46" s="24">
        <f t="shared" si="15"/>
        <v>25.768544358036035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21</v>
      </c>
      <c r="DO46" s="13">
        <f>IF('Données projet'!$A$166&gt;35,DO45+DN46-DW45,IF(A46&lt;'Données projet'!$A$166,$DL$205^A46,IF(A46='Données projet'!$A$166,'Données projet'!$B$166,DO45+DN46-DW45)))</f>
        <v>187.99999999999997</v>
      </c>
      <c r="DP46" s="18">
        <f>DO46*VLOOKUP('Données projet'!$B$14,Paramètres!$A$1:$I$89,3,0)*VLOOKUP('Données projet'!$B$14,Paramètres!$A$1:$I$89,5,0)</f>
        <v>90.427999999999983</v>
      </c>
      <c r="DQ46" s="14">
        <f t="shared" si="43"/>
        <v>24.668419768668851</v>
      </c>
      <c r="DR46" s="22">
        <f t="shared" si="16"/>
        <v>200.45959776376489</v>
      </c>
      <c r="DS46" s="62">
        <f t="shared" si="17"/>
        <v>493.79293109709818</v>
      </c>
      <c r="DT46" s="62">
        <f ca="1">AVERAGE(OFFSET($DS$3,0,0,'Données projet'!$E$14+1,1))-AVERAGE(OFFSET($H$3,0,0,'Données projet'!$E$14+1,1))</f>
        <v>122.60806128440754</v>
      </c>
      <c r="DU46" s="62">
        <f t="shared" si="44"/>
        <v>73.937252053142004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>
        <f>EJ46*VLOOKUP('Données projet'!$B$15,Paramètres!$A$1:$I$89,3,0)*VLOOKUP('Données projet'!$B$15,Paramètres!$A$1:$I$89,5,0)</f>
        <v>0</v>
      </c>
      <c r="EL46" s="14" t="e">
        <f t="shared" si="45"/>
        <v>#NUM!</v>
      </c>
      <c r="EM46" s="22" t="e">
        <f t="shared" si="19"/>
        <v>#NUM!</v>
      </c>
      <c r="EN46" s="62" t="e">
        <f t="shared" si="20"/>
        <v>#NUM!</v>
      </c>
      <c r="EO46" s="62">
        <f ca="1">AVERAGE(OFFSET($EN$3,0,0,'Données projet'!$E$15+1,1))-AVERAGE(OFFSET($H$3,0,0,'Données projet'!$E$15+1,1))</f>
        <v>0</v>
      </c>
      <c r="EP46" s="62">
        <f t="shared" si="46"/>
        <v>0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382.55387448074327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1.6691086789804408</v>
      </c>
      <c r="AA47" s="23">
        <f>EXP(-LN(2)/25)*AA46+(1-EXP(-LN(2)/25))/(LN(2)/25)*Calculateur!V47*Calculateur!X47*VLOOKUP('Données projet'!$B$9,Paramètres!$A$1:$I$89,3,0)*0.475*44/12</f>
        <v>7.2474380912226941</v>
      </c>
      <c r="AB47" s="23">
        <f>EXP(-LN(2)/2)*AB46+(1-EXP(-LN(2)/2))/(LN(2)/2)*V47*Y47*VLOOKUP('Données projet'!$B$9,Paramètres!$A$1:$I$89,3,0)*0.475*44/12</f>
        <v>0.1759874939315377</v>
      </c>
      <c r="AC47" s="24">
        <f t="shared" si="3"/>
        <v>9.0925342641346738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269.64423257646359</v>
      </c>
      <c r="AO47" s="62">
        <f t="shared" si="36"/>
        <v>161.0819079811821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</v>
      </c>
      <c r="BD47" s="13">
        <f>IF('Données projet'!$A$88&gt;35,BD46+BC47-BL46,IF(A47&lt;'Données projet'!$A$88,$BA$205^A47,IF(A47='Données projet'!$A$88,'Données projet'!$B$88,BD46+BC47-BL46)))</f>
        <v>188.99999999999997</v>
      </c>
      <c r="BE47" s="14">
        <f>BD47*VLOOKUP('Données projet'!$B$11,Paramètres!$A$1:$I$89,3,0)*VLOOKUP('Données projet'!$B$11,Paramètres!$A$1:$I$89,5,0)</f>
        <v>88.451999999999998</v>
      </c>
      <c r="BF47" s="14">
        <f t="shared" si="37"/>
        <v>24.191508526943956</v>
      </c>
      <c r="BG47" s="22">
        <f t="shared" si="7"/>
        <v>196.18744401776067</v>
      </c>
      <c r="BH47" s="62">
        <f t="shared" si="8"/>
        <v>489.52077735109401</v>
      </c>
      <c r="BI47" s="62">
        <f ca="1">AVERAGE(OFFSET($BH$3,0,0,'Données projet'!$E$11+1,1))-AVERAGE(OFFSET($H$3,0,0,'Données projet'!$E$11+1,1))</f>
        <v>90.797383835887558</v>
      </c>
      <c r="BJ47" s="62">
        <f t="shared" si="38"/>
        <v>104.31413437636684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0.73154927527360236</v>
      </c>
      <c r="BQ47" s="23">
        <f>EXP(-LN(2)/25)*BQ46+(1-EXP(-LN(2)/25))/(LN(2)/25)*Calculateur!BL47*Calculateur!BN47*VLOOKUP('Données projet'!$B$11,Paramètres!$A$1:$I$89,3,0)*0.475*44/12</f>
        <v>2.878255326230716</v>
      </c>
      <c r="BR47" s="23">
        <f>EXP(-LN(2)/2)*BR46+(1-EXP(-LN(2)/2))/(LN(2)/2)*BL47*BO47*VLOOKUP('Données projet'!$B$11,Paramètres!$A$1:$I$89,3,0)*0.475*44/12</f>
        <v>2.311850110644045E-2</v>
      </c>
      <c r="BS47" s="24">
        <f t="shared" si="9"/>
        <v>3.6329231026107589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10.666666666666666</v>
      </c>
      <c r="BY47" s="13">
        <f>IF('Données projet'!$A$114&gt;35,BY46+BX47-CG46,IF(A47&lt;'Données projet'!$A$114,$BV$205^A47,IF(A47='Données projet'!$A$114,'Données projet'!$B$114,BY46+BX47-CG46)))</f>
        <v>209.33333333333334</v>
      </c>
      <c r="BZ47" s="14">
        <f>BY47*VLOOKUP('Données projet'!$B$12,Paramètres!$A$1:$I$89,3,0)*VLOOKUP('Données projet'!$B$12,Paramètres!$A$1:$I$89,5,0)</f>
        <v>130.62400000000002</v>
      </c>
      <c r="CA47" s="14">
        <f t="shared" si="39"/>
        <v>34.140507202645395</v>
      </c>
      <c r="CB47" s="22">
        <f t="shared" si="10"/>
        <v>286.96485004460743</v>
      </c>
      <c r="CC47" s="62">
        <f t="shared" si="11"/>
        <v>580.29818337794075</v>
      </c>
      <c r="CD47" s="62">
        <f ca="1">AVERAGE(OFFSET($CC$3,0,0,'Données projet'!$E$12+1,1))-AVERAGE(OFFSET($H$3,0,0,'Données projet'!$E$12+1,1))</f>
        <v>179.44051550872138</v>
      </c>
      <c r="CE47" s="62">
        <f t="shared" si="40"/>
        <v>272.9500808380069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3.7830779147087448</v>
      </c>
      <c r="CL47" s="23">
        <f>EXP(-LN(2)/25)*CL46+(1-EXP(-LN(2)/25))/(LN(2)/25)*Calculateur!CG47*Calculateur!CI47*VLOOKUP('Données projet'!$B$12,Paramètres!$A$1:$I$89,3,0)*0.475*44/12</f>
        <v>13.610270827014791</v>
      </c>
      <c r="CM47" s="23">
        <f>EXP(-LN(2)/2)*CM46+(1-EXP(-LN(2)/2))/(LN(2)/2)*CG47*CJ47*VLOOKUP('Données projet'!$B$12,Paramètres!$A$1:$I$89,3,0)*0.475*44/12</f>
        <v>0.1609981531272961</v>
      </c>
      <c r="CN47" s="24">
        <f t="shared" si="12"/>
        <v>17.554346894850831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277.99999999999994</v>
      </c>
      <c r="CU47" s="18">
        <f>CT47*VLOOKUP('Données projet'!$B$13,Paramètres!$A$1:$I$89,3,0)*VLOOKUP('Données projet'!$B$13,Paramètres!$A$1:$I$89,5,0)</f>
        <v>151.78799999999998</v>
      </c>
      <c r="CV47" s="14">
        <f t="shared" si="41"/>
        <v>38.984634390835623</v>
      </c>
      <c r="CW47" s="22">
        <f t="shared" si="13"/>
        <v>332.26233823070532</v>
      </c>
      <c r="CX47" s="62">
        <f t="shared" si="14"/>
        <v>625.59567156403864</v>
      </c>
      <c r="CY47" s="62">
        <f ca="1">AVERAGE(OFFSET($CX$3,0,0,'Données projet'!$E$13+1,1))-AVERAGE(OFFSET($H$3,0,0,'Données projet'!$E$13+1,1))</f>
        <v>159.92263609041913</v>
      </c>
      <c r="CZ47" s="62">
        <f t="shared" si="42"/>
        <v>271.78119133009307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4.9596745941182565</v>
      </c>
      <c r="DG47" s="23">
        <f>EXP(-LN(2)/25)*DG46+(1-EXP(-LN(2)/25))/(LN(2)/25)*Calculateur!DB47*Calculateur!DD47*VLOOKUP('Données projet'!$B$13,Paramètres!$A$1:$I$89,3,0)*0.475*44/12</f>
        <v>19.848536745497913</v>
      </c>
      <c r="DH47" s="23">
        <f>EXP(-LN(2)/2)*DH46+(1-EXP(-LN(2)/2))/(LN(2)/2)*DB47*DE47*VLOOKUP('Données projet'!$B$13,Paramètres!$A$1:$I$89,3,0)*0.475*44/12</f>
        <v>0.21433341537464753</v>
      </c>
      <c r="DI47" s="24">
        <f t="shared" si="15"/>
        <v>25.022544754990818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21</v>
      </c>
      <c r="DO47" s="13">
        <f>IF('Données projet'!$A$166&gt;35,DO46+DN47-DW46,IF(A47&lt;'Données projet'!$A$166,$DL$205^A47,IF(A47='Données projet'!$A$166,'Données projet'!$B$166,DO46+DN47-DW46)))</f>
        <v>208.99999999999997</v>
      </c>
      <c r="DP47" s="18">
        <f>DO47*VLOOKUP('Données projet'!$B$14,Paramètres!$A$1:$I$89,3,0)*VLOOKUP('Données projet'!$B$14,Paramètres!$A$1:$I$89,5,0)</f>
        <v>100.52899999999998</v>
      </c>
      <c r="DQ47" s="14">
        <f t="shared" si="43"/>
        <v>27.08798577886229</v>
      </c>
      <c r="DR47" s="22">
        <f t="shared" si="16"/>
        <v>222.26625023151846</v>
      </c>
      <c r="DS47" s="62">
        <f t="shared" si="17"/>
        <v>515.59958356485174</v>
      </c>
      <c r="DT47" s="62">
        <f ca="1">AVERAGE(OFFSET($DS$3,0,0,'Données projet'!$E$14+1,1))-AVERAGE(OFFSET($H$3,0,0,'Données projet'!$E$14+1,1))</f>
        <v>122.60806128440754</v>
      </c>
      <c r="DU47" s="62">
        <f t="shared" si="44"/>
        <v>73.937252053142004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>
        <f>EJ47*VLOOKUP('Données projet'!$B$15,Paramètres!$A$1:$I$89,3,0)*VLOOKUP('Données projet'!$B$15,Paramètres!$A$1:$I$89,5,0)</f>
        <v>0</v>
      </c>
      <c r="EL47" s="14" t="e">
        <f t="shared" si="45"/>
        <v>#NUM!</v>
      </c>
      <c r="EM47" s="22" t="e">
        <f t="shared" si="19"/>
        <v>#NUM!</v>
      </c>
      <c r="EN47" s="62" t="e">
        <f t="shared" si="20"/>
        <v>#NUM!</v>
      </c>
      <c r="EO47" s="62">
        <f ca="1">AVERAGE(OFFSET($EN$3,0,0,'Données projet'!$E$15+1,1))-AVERAGE(OFFSET($H$3,0,0,'Données projet'!$E$15+1,1))</f>
        <v>0</v>
      </c>
      <c r="EP47" s="62">
        <f t="shared" si="46"/>
        <v>0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382.55387448074327</v>
      </c>
      <c r="T48" s="62">
        <f t="shared" si="34"/>
        <v>476.29465646955543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1.6363784758414039</v>
      </c>
      <c r="AA48" s="23">
        <f>EXP(-LN(2)/25)*AA47+(1-EXP(-LN(2)/25))/(LN(2)/25)*Calculateur!V48*Calculateur!X48*VLOOKUP('Données projet'!$B$9,Paramètres!$A$1:$I$89,3,0)*0.475*44/12</f>
        <v>7.0492565154920044</v>
      </c>
      <c r="AB48" s="23">
        <f>EXP(-LN(2)/2)*AB47+(1-EXP(-LN(2)/2))/(LN(2)/2)*V48*Y48*VLOOKUP('Données projet'!$B$9,Paramètres!$A$1:$I$89,3,0)*0.475*44/12</f>
        <v>0.1244419503630167</v>
      </c>
      <c r="AC48" s="24">
        <f t="shared" si="3"/>
        <v>8.8100769416964244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269.64423257646359</v>
      </c>
      <c r="AO48" s="62">
        <f t="shared" si="36"/>
        <v>161.0819079811821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196</v>
      </c>
      <c r="BB48" s="13">
        <f>VLOOKUP(A48,'Données projet'!$A$87:$I$107,9,0)</f>
        <v>7</v>
      </c>
      <c r="BC48" s="13">
        <f t="array" ref="BC48">INDEX(BB:BB,MIN(IF(ISNUMBER(BB48:BB244),ROW(BB48:BB244),"")))</f>
        <v>7</v>
      </c>
      <c r="BD48" s="13">
        <f>IF('Données projet'!$A$88&gt;35,BD47+BC48-BL47,IF(A48&lt;'Données projet'!$A$88,$BA$205^A48,IF(A48='Données projet'!$A$88,'Données projet'!$B$88,BD47+BC48-BL47)))</f>
        <v>195.99999999999997</v>
      </c>
      <c r="BE48" s="14">
        <f>BD48*VLOOKUP('Données projet'!$B$11,Paramètres!$A$1:$I$89,3,0)*VLOOKUP('Données projet'!$B$11,Paramètres!$A$1:$I$89,5,0)</f>
        <v>91.727999999999994</v>
      </c>
      <c r="BF48" s="14">
        <f t="shared" si="37"/>
        <v>24.981514582386563</v>
      </c>
      <c r="BG48" s="22">
        <f t="shared" si="7"/>
        <v>203.26907123098991</v>
      </c>
      <c r="BH48" s="62">
        <f t="shared" si="8"/>
        <v>496.60240456432325</v>
      </c>
      <c r="BI48" s="62">
        <f ca="1">AVERAGE(OFFSET($BH$3,0,0,'Données projet'!$E$11+1,1))-AVERAGE(OFFSET($H$3,0,0,'Données projet'!$E$11+1,1))</f>
        <v>90.797383835887558</v>
      </c>
      <c r="BJ48" s="62">
        <f t="shared" si="38"/>
        <v>104.31413437636684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40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0.7172040401864862</v>
      </c>
      <c r="BQ48" s="23">
        <f>EXP(-LN(2)/25)*BQ47+(1-EXP(-LN(2)/25))/(LN(2)/25)*Calculateur!BL48*Calculateur!BN48*VLOOKUP('Données projet'!$B$11,Paramètres!$A$1:$I$89,3,0)*0.475*44/12</f>
        <v>2.799549282974068</v>
      </c>
      <c r="BR48" s="23">
        <f>EXP(-LN(2)/2)*BR47+(1-EXP(-LN(2)/2))/(LN(2)/2)*BL48*BO48*VLOOKUP('Données projet'!$B$11,Paramètres!$A$1:$I$89,3,0)*0.475*44/12</f>
        <v>1.6347248903232744E-2</v>
      </c>
      <c r="BS48" s="24">
        <f t="shared" si="9"/>
        <v>3.5331005720637871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10.666666666666666</v>
      </c>
      <c r="BY48" s="13">
        <f>IF('Données projet'!$A$114&gt;35,BY47+BX48-CG47,IF(A48&lt;'Données projet'!$A$114,$BV$205^A48,IF(A48='Données projet'!$A$114,'Données projet'!$B$114,BY47+BX48-CG47)))</f>
        <v>220</v>
      </c>
      <c r="BZ48" s="14">
        <f>BY48*VLOOKUP('Données projet'!$B$12,Paramètres!$A$1:$I$89,3,0)*VLOOKUP('Données projet'!$B$12,Paramètres!$A$1:$I$89,5,0)</f>
        <v>137.28</v>
      </c>
      <c r="CA48" s="14">
        <f t="shared" si="39"/>
        <v>35.673181961873446</v>
      </c>
      <c r="CB48" s="22">
        <f t="shared" si="10"/>
        <v>301.22679191692959</v>
      </c>
      <c r="CC48" s="62">
        <f t="shared" si="11"/>
        <v>594.5601252502629</v>
      </c>
      <c r="CD48" s="62">
        <f ca="1">AVERAGE(OFFSET($CC$3,0,0,'Données projet'!$E$12+1,1))-AVERAGE(OFFSET($H$3,0,0,'Données projet'!$E$12+1,1))</f>
        <v>179.44051550872138</v>
      </c>
      <c r="CE48" s="62">
        <f t="shared" si="40"/>
        <v>272.9500808380069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3.7088940642509924</v>
      </c>
      <c r="CL48" s="23">
        <f>EXP(-LN(2)/25)*CL47+(1-EXP(-LN(2)/25))/(LN(2)/25)*Calculateur!CG48*Calculateur!CI48*VLOOKUP('Données projet'!$B$12,Paramètres!$A$1:$I$89,3,0)*0.475*44/12</f>
        <v>13.238097255517035</v>
      </c>
      <c r="CM48" s="23">
        <f>EXP(-LN(2)/2)*CM47+(1-EXP(-LN(2)/2))/(LN(2)/2)*CG48*CJ48*VLOOKUP('Données projet'!$B$12,Paramètres!$A$1:$I$89,3,0)*0.475*44/12</f>
        <v>0.11384288583482124</v>
      </c>
      <c r="CN48" s="24">
        <f t="shared" si="12"/>
        <v>17.060834205602848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277.99999999999994</v>
      </c>
      <c r="CU48" s="18">
        <f>CT48*VLOOKUP('Données projet'!$B$13,Paramètres!$A$1:$I$89,3,0)*VLOOKUP('Données projet'!$B$13,Paramètres!$A$1:$I$89,5,0)</f>
        <v>151.78799999999998</v>
      </c>
      <c r="CV48" s="14">
        <f t="shared" si="41"/>
        <v>38.984634390835623</v>
      </c>
      <c r="CW48" s="22">
        <f t="shared" si="13"/>
        <v>332.26233823070532</v>
      </c>
      <c r="CX48" s="62">
        <f t="shared" si="14"/>
        <v>625.59567156403864</v>
      </c>
      <c r="CY48" s="62">
        <f ca="1">AVERAGE(OFFSET($CX$3,0,0,'Données projet'!$E$13+1,1))-AVERAGE(OFFSET($H$3,0,0,'Données projet'!$E$13+1,1))</f>
        <v>159.92263609041913</v>
      </c>
      <c r="CZ48" s="62">
        <f t="shared" si="42"/>
        <v>271.78119133009307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4.8624184004303954</v>
      </c>
      <c r="DG48" s="23">
        <f>EXP(-LN(2)/25)*DG47+(1-EXP(-LN(2)/25))/(LN(2)/25)*Calculateur!DB48*Calculateur!DD48*VLOOKUP('Données projet'!$B$13,Paramètres!$A$1:$I$89,3,0)*0.475*44/12</f>
        <v>19.305777464403089</v>
      </c>
      <c r="DH48" s="23">
        <f>EXP(-LN(2)/2)*DH47+(1-EXP(-LN(2)/2))/(LN(2)/2)*DB48*DE48*VLOOKUP('Données projet'!$B$13,Paramètres!$A$1:$I$89,3,0)*0.475*44/12</f>
        <v>0.15155661144628629</v>
      </c>
      <c r="DI48" s="24">
        <f t="shared" si="15"/>
        <v>24.319752476279771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21</v>
      </c>
      <c r="DO48" s="13">
        <f>IF('Données projet'!$A$166&gt;35,DO47+DN48-DW47,IF(A48&lt;'Données projet'!$A$166,$DL$205^A48,IF(A48='Données projet'!$A$166,'Données projet'!$B$166,DO47+DN48-DW47)))</f>
        <v>229.99999999999997</v>
      </c>
      <c r="DP48" s="18">
        <f>DO48*VLOOKUP('Données projet'!$B$14,Paramètres!$A$1:$I$89,3,0)*VLOOKUP('Données projet'!$B$14,Paramètres!$A$1:$I$89,5,0)</f>
        <v>110.63</v>
      </c>
      <c r="DQ48" s="14">
        <f t="shared" si="43"/>
        <v>29.479368114771031</v>
      </c>
      <c r="DR48" s="22">
        <f t="shared" si="16"/>
        <v>244.02381613322621</v>
      </c>
      <c r="DS48" s="62">
        <f t="shared" si="17"/>
        <v>537.35714946655958</v>
      </c>
      <c r="DT48" s="62">
        <f ca="1">AVERAGE(OFFSET($DS$3,0,0,'Données projet'!$E$14+1,1))-AVERAGE(OFFSET($H$3,0,0,'Données projet'!$E$14+1,1))</f>
        <v>122.60806128440754</v>
      </c>
      <c r="DU48" s="62">
        <f t="shared" si="44"/>
        <v>73.937252053142004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>
        <f>EJ48*VLOOKUP('Données projet'!$B$15,Paramètres!$A$1:$I$89,3,0)*VLOOKUP('Données projet'!$B$15,Paramètres!$A$1:$I$89,5,0)</f>
        <v>0</v>
      </c>
      <c r="EL48" s="14" t="e">
        <f t="shared" si="45"/>
        <v>#NUM!</v>
      </c>
      <c r="EM48" s="22" t="e">
        <f t="shared" si="19"/>
        <v>#NUM!</v>
      </c>
      <c r="EN48" s="62" t="e">
        <f t="shared" si="20"/>
        <v>#NUM!</v>
      </c>
      <c r="EO48" s="62">
        <f ca="1">AVERAGE(OFFSET($EN$3,0,0,'Données projet'!$E$15+1,1))-AVERAGE(OFFSET($H$3,0,0,'Données projet'!$E$15+1,1))</f>
        <v>0</v>
      </c>
      <c r="EP48" s="62">
        <f t="shared" si="46"/>
        <v>0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382.55387448074327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1.6042900920224707</v>
      </c>
      <c r="AA49" s="23">
        <f>EXP(-LN(2)/25)*AA48+(1-EXP(-LN(2)/25))/(LN(2)/25)*Calculateur!V49*Calculateur!X49*VLOOKUP('Données projet'!$B$9,Paramètres!$A$1:$I$89,3,0)*0.475*44/12</f>
        <v>6.8564942253715868</v>
      </c>
      <c r="AB49" s="23">
        <f>EXP(-LN(2)/2)*AB48+(1-EXP(-LN(2)/2))/(LN(2)/2)*V49*Y49*VLOOKUP('Données projet'!$B$9,Paramètres!$A$1:$I$89,3,0)*0.475*44/12</f>
        <v>8.7993746965768865E-2</v>
      </c>
      <c r="AC49" s="24">
        <f t="shared" si="3"/>
        <v>8.5487780643598263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269.64423257646359</v>
      </c>
      <c r="AO49" s="62">
        <f t="shared" si="36"/>
        <v>161.0819079811821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7.4444444444444446</v>
      </c>
      <c r="BD49" s="13">
        <f>IF('Données projet'!$A$88&gt;35,BD48+BC49-BL48,IF(A49&lt;'Données projet'!$A$88,$BA$205^A49,IF(A49='Données projet'!$A$88,'Données projet'!$B$88,BD48+BC49-BL48)))</f>
        <v>163.44444444444443</v>
      </c>
      <c r="BE49" s="14">
        <f>BD49*VLOOKUP('Données projet'!$B$11,Paramètres!$A$1:$I$89,3,0)*VLOOKUP('Données projet'!$B$11,Paramètres!$A$1:$I$89,5,0)</f>
        <v>76.49199999999999</v>
      </c>
      <c r="BF49" s="14">
        <f t="shared" si="37"/>
        <v>21.277234347483091</v>
      </c>
      <c r="BG49" s="22">
        <f t="shared" si="7"/>
        <v>170.28141648853304</v>
      </c>
      <c r="BH49" s="62">
        <f t="shared" si="8"/>
        <v>463.61474982186633</v>
      </c>
      <c r="BI49" s="62">
        <f ca="1">AVERAGE(OFFSET($BH$3,0,0,'Données projet'!$E$11+1,1))-AVERAGE(OFFSET($H$3,0,0,'Données projet'!$E$11+1,1))</f>
        <v>90.797383835887558</v>
      </c>
      <c r="BJ49" s="62">
        <f t="shared" si="38"/>
        <v>104.31413437636684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0.70314010640969904</v>
      </c>
      <c r="BQ49" s="23">
        <f>EXP(-LN(2)/25)*BQ48+(1-EXP(-LN(2)/25))/(LN(2)/25)*Calculateur!BL49*Calculateur!BN49*VLOOKUP('Données projet'!$B$11,Paramètres!$A$1:$I$89,3,0)*0.475*44/12</f>
        <v>2.7229954606092437</v>
      </c>
      <c r="BR49" s="23">
        <f>EXP(-LN(2)/2)*BR48+(1-EXP(-LN(2)/2))/(LN(2)/2)*BL49*BO49*VLOOKUP('Données projet'!$B$11,Paramètres!$A$1:$I$89,3,0)*0.475*44/12</f>
        <v>1.1559250553220225E-2</v>
      </c>
      <c r="BS49" s="24">
        <f t="shared" si="9"/>
        <v>3.4376948175721629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10.666666666666666</v>
      </c>
      <c r="BY49" s="13">
        <f>IF('Données projet'!$A$114&gt;35,BY48+BX49-CG48,IF(A49&lt;'Données projet'!$A$114,$BV$205^A49,IF(A49='Données projet'!$A$114,'Données projet'!$B$114,BY48+BX49-CG48)))</f>
        <v>230.66666666666666</v>
      </c>
      <c r="BZ49" s="14">
        <f>BY49*VLOOKUP('Données projet'!$B$12,Paramètres!$A$1:$I$89,3,0)*VLOOKUP('Données projet'!$B$12,Paramètres!$A$1:$I$89,5,0)</f>
        <v>143.93599999999998</v>
      </c>
      <c r="CA49" s="14">
        <f t="shared" si="39"/>
        <v>37.197227655019397</v>
      </c>
      <c r="CB49" s="22">
        <f t="shared" si="10"/>
        <v>315.47370483249205</v>
      </c>
      <c r="CC49" s="62">
        <f t="shared" si="11"/>
        <v>608.80703816582536</v>
      </c>
      <c r="CD49" s="62">
        <f ca="1">AVERAGE(OFFSET($CC$3,0,0,'Données projet'!$E$12+1,1))-AVERAGE(OFFSET($H$3,0,0,'Données projet'!$E$12+1,1))</f>
        <v>179.44051550872138</v>
      </c>
      <c r="CE49" s="62">
        <f t="shared" si="40"/>
        <v>272.9500808380069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3.6361649138530359</v>
      </c>
      <c r="CL49" s="23">
        <f>EXP(-LN(2)/25)*CL48+(1-EXP(-LN(2)/25))/(LN(2)/25)*Calculateur!CG49*Calculateur!CI49*VLOOKUP('Données projet'!$B$12,Paramètres!$A$1:$I$89,3,0)*0.475*44/12</f>
        <v>12.876100789903642</v>
      </c>
      <c r="CM49" s="23">
        <f>EXP(-LN(2)/2)*CM48+(1-EXP(-LN(2)/2))/(LN(2)/2)*CG49*CJ49*VLOOKUP('Données projet'!$B$12,Paramètres!$A$1:$I$89,3,0)*0.475*44/12</f>
        <v>8.0499076563648062E-2</v>
      </c>
      <c r="CN49" s="24">
        <f t="shared" si="12"/>
        <v>16.592764780320326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277.99999999999994</v>
      </c>
      <c r="CU49" s="18">
        <f>CT49*VLOOKUP('Données projet'!$B$13,Paramètres!$A$1:$I$89,3,0)*VLOOKUP('Données projet'!$B$13,Paramètres!$A$1:$I$89,5,0)</f>
        <v>151.78799999999998</v>
      </c>
      <c r="CV49" s="14">
        <f t="shared" si="41"/>
        <v>38.984634390835623</v>
      </c>
      <c r="CW49" s="22">
        <f t="shared" si="13"/>
        <v>332.26233823070532</v>
      </c>
      <c r="CX49" s="62">
        <f t="shared" si="14"/>
        <v>625.59567156403864</v>
      </c>
      <c r="CY49" s="62">
        <f ca="1">AVERAGE(OFFSET($CX$3,0,0,'Données projet'!$E$13+1,1))-AVERAGE(OFFSET($H$3,0,0,'Données projet'!$E$13+1,1))</f>
        <v>159.92263609041913</v>
      </c>
      <c r="CZ49" s="62">
        <f t="shared" si="42"/>
        <v>271.78119133009307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4.7670693413803331</v>
      </c>
      <c r="DG49" s="23">
        <f>EXP(-LN(2)/25)*DG48+(1-EXP(-LN(2)/25))/(LN(2)/25)*Calculateur!DB49*Calculateur!DD49*VLOOKUP('Données projet'!$B$13,Paramètres!$A$1:$I$89,3,0)*0.475*44/12</f>
        <v>18.777859964392274</v>
      </c>
      <c r="DH49" s="23">
        <f>EXP(-LN(2)/2)*DH48+(1-EXP(-LN(2)/2))/(LN(2)/2)*DB49*DE49*VLOOKUP('Données projet'!$B$13,Paramètres!$A$1:$I$89,3,0)*0.475*44/12</f>
        <v>0.10716670768732377</v>
      </c>
      <c r="DI49" s="24">
        <f t="shared" si="15"/>
        <v>23.652096013459929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>
        <f>VLOOKUP(A49,'Données projet'!$A$165:$I$185,2,0)</f>
        <v>251</v>
      </c>
      <c r="DM49" s="13">
        <f>VLOOKUP(A49,'Données projet'!$A$165:$I$185,9,0)</f>
        <v>21</v>
      </c>
      <c r="DN49" s="13">
        <f t="array" ref="DN49">INDEX(DM:DM,MIN(IF(ISNUMBER(DM49:DM245),ROW(DM49:DM245),"")))</f>
        <v>21</v>
      </c>
      <c r="DO49" s="13">
        <f>IF('Données projet'!$A$166&gt;35,DO48+DN49-DW48,IF(A49&lt;'Données projet'!$A$166,$DL$205^A49,IF(A49='Données projet'!$A$166,'Données projet'!$B$166,DO48+DN49-DW48)))</f>
        <v>250.99999999999997</v>
      </c>
      <c r="DP49" s="18">
        <f>DO49*VLOOKUP('Données projet'!$B$14,Paramètres!$A$1:$I$89,3,0)*VLOOKUP('Données projet'!$B$14,Paramètres!$A$1:$I$89,5,0)</f>
        <v>120.73099999999999</v>
      </c>
      <c r="DQ49" s="14">
        <f t="shared" si="43"/>
        <v>31.845432730325943</v>
      </c>
      <c r="DR49" s="22">
        <f t="shared" si="16"/>
        <v>265.73728700531768</v>
      </c>
      <c r="DS49" s="62">
        <f t="shared" si="17"/>
        <v>559.070620338651</v>
      </c>
      <c r="DT49" s="62">
        <f ca="1">AVERAGE(OFFSET($DS$3,0,0,'Données projet'!$E$14+1,1))-AVERAGE(OFFSET($H$3,0,0,'Données projet'!$E$14+1,1))</f>
        <v>122.60806128440754</v>
      </c>
      <c r="DU49" s="62">
        <f t="shared" si="44"/>
        <v>73.937252053142004</v>
      </c>
      <c r="DV49" s="16">
        <f>IF(ISNA(VLOOKUP(A49,'Données projet'!$A$165:$I$185,3,0)),0,VLOOKUP(A49,'Données projet'!$A$165:$I$185,3,0))</f>
        <v>2</v>
      </c>
      <c r="DW49" s="16">
        <f>IF(ISNA(VLOOKUP(A49,'Données projet'!$A$165:$I$185,4,0)),0,VLOOKUP(A49,'Données projet'!$A$165:$I$185,4,0))</f>
        <v>50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>
        <f>EJ49*VLOOKUP('Données projet'!$B$15,Paramètres!$A$1:$I$89,3,0)*VLOOKUP('Données projet'!$B$15,Paramètres!$A$1:$I$89,5,0)</f>
        <v>0</v>
      </c>
      <c r="EL49" s="14" t="e">
        <f t="shared" si="45"/>
        <v>#NUM!</v>
      </c>
      <c r="EM49" s="22" t="e">
        <f t="shared" si="19"/>
        <v>#NUM!</v>
      </c>
      <c r="EN49" s="62" t="e">
        <f t="shared" si="20"/>
        <v>#NUM!</v>
      </c>
      <c r="EO49" s="62">
        <f ca="1">AVERAGE(OFFSET($EN$3,0,0,'Données projet'!$E$15+1,1))-AVERAGE(OFFSET($H$3,0,0,'Données projet'!$E$15+1,1))</f>
        <v>0</v>
      </c>
      <c r="EP49" s="62">
        <f t="shared" si="46"/>
        <v>0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382.55387448074327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1.5728309418382453</v>
      </c>
      <c r="AA50" s="23">
        <f>EXP(-LN(2)/25)*AA49+(1-EXP(-LN(2)/25))/(LN(2)/25)*Calculateur!V50*Calculateur!X50*VLOOKUP('Données projet'!$B$9,Paramètres!$A$1:$I$89,3,0)*0.475*44/12</f>
        <v>6.6690030302114405</v>
      </c>
      <c r="AB50" s="23">
        <f>EXP(-LN(2)/2)*AB49+(1-EXP(-LN(2)/2))/(LN(2)/2)*V50*Y50*VLOOKUP('Données projet'!$B$9,Paramètres!$A$1:$I$89,3,0)*0.475*44/12</f>
        <v>6.2220975181508362E-2</v>
      </c>
      <c r="AC50" s="24">
        <f t="shared" si="3"/>
        <v>8.3040549472311955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269.64423257646359</v>
      </c>
      <c r="AO50" s="62">
        <f t="shared" si="36"/>
        <v>161.0819079811821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7.4444444444444446</v>
      </c>
      <c r="BD50" s="13">
        <f>IF('Données projet'!$A$88&gt;35,BD49+BC50-BL49,IF(A50&lt;'Données projet'!$A$88,$BA$205^A50,IF(A50='Données projet'!$A$88,'Données projet'!$B$88,BD49+BC50-BL49)))</f>
        <v>170.88888888888889</v>
      </c>
      <c r="BE50" s="14">
        <f>BD50*VLOOKUP('Données projet'!$B$11,Paramètres!$A$1:$I$89,3,0)*VLOOKUP('Données projet'!$B$11,Paramètres!$A$1:$I$89,5,0)</f>
        <v>79.975999999999999</v>
      </c>
      <c r="BF50" s="14">
        <f t="shared" si="37"/>
        <v>22.131315901423608</v>
      </c>
      <c r="BG50" s="22">
        <f t="shared" si="7"/>
        <v>177.83690852831276</v>
      </c>
      <c r="BH50" s="62">
        <f t="shared" si="8"/>
        <v>471.1702418616461</v>
      </c>
      <c r="BI50" s="62">
        <f ca="1">AVERAGE(OFFSET($BH$3,0,0,'Données projet'!$E$11+1,1))-AVERAGE(OFFSET($H$3,0,0,'Données projet'!$E$11+1,1))</f>
        <v>90.797383835887558</v>
      </c>
      <c r="BJ50" s="62">
        <f t="shared" si="38"/>
        <v>104.31413437636684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0.68935195779612202</v>
      </c>
      <c r="BQ50" s="23">
        <f>EXP(-LN(2)/25)*BQ49+(1-EXP(-LN(2)/25))/(LN(2)/25)*Calculateur!BL50*Calculateur!BN50*VLOOKUP('Données projet'!$B$11,Paramètres!$A$1:$I$89,3,0)*0.475*44/12</f>
        <v>2.648535006542776</v>
      </c>
      <c r="BR50" s="23">
        <f>EXP(-LN(2)/2)*BR49+(1-EXP(-LN(2)/2))/(LN(2)/2)*BL50*BO50*VLOOKUP('Données projet'!$B$11,Paramètres!$A$1:$I$89,3,0)*0.475*44/12</f>
        <v>8.1736244516163719E-3</v>
      </c>
      <c r="BS50" s="24">
        <f t="shared" si="9"/>
        <v>3.3460605887905142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10.666666666666666</v>
      </c>
      <c r="BY50" s="13">
        <f>IF('Données projet'!$A$114&gt;35,BY49+BX50-CG49,IF(A50&lt;'Données projet'!$A$114,$BV$205^A50,IF(A50='Données projet'!$A$114,'Données projet'!$B$114,BY49+BX50-CG49)))</f>
        <v>241.33333333333331</v>
      </c>
      <c r="BZ50" s="14">
        <f>BY50*VLOOKUP('Données projet'!$B$12,Paramètres!$A$1:$I$89,3,0)*VLOOKUP('Données projet'!$B$12,Paramètres!$A$1:$I$89,5,0)</f>
        <v>150.59199999999998</v>
      </c>
      <c r="CA50" s="14">
        <f t="shared" si="39"/>
        <v>38.713088888505631</v>
      </c>
      <c r="CB50" s="22">
        <f t="shared" si="10"/>
        <v>329.70636314748066</v>
      </c>
      <c r="CC50" s="62">
        <f t="shared" si="11"/>
        <v>623.03969648081397</v>
      </c>
      <c r="CD50" s="62">
        <f ca="1">AVERAGE(OFFSET($CC$3,0,0,'Données projet'!$E$12+1,1))-AVERAGE(OFFSET($H$3,0,0,'Données projet'!$E$12+1,1))</f>
        <v>179.44051550872138</v>
      </c>
      <c r="CE50" s="62">
        <f t="shared" si="40"/>
        <v>272.9500808380069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3.5648619377339816</v>
      </c>
      <c r="CL50" s="23">
        <f>EXP(-LN(2)/25)*CL49+(1-EXP(-LN(2)/25))/(LN(2)/25)*Calculateur!CG50*Calculateur!CI50*VLOOKUP('Données projet'!$B$12,Paramètres!$A$1:$I$89,3,0)*0.475*44/12</f>
        <v>12.524003136679015</v>
      </c>
      <c r="CM50" s="23">
        <f>EXP(-LN(2)/2)*CM49+(1-EXP(-LN(2)/2))/(LN(2)/2)*CG50*CJ50*VLOOKUP('Données projet'!$B$12,Paramètres!$A$1:$I$89,3,0)*0.475*44/12</f>
        <v>5.6921442917410629E-2</v>
      </c>
      <c r="CN50" s="24">
        <f t="shared" si="12"/>
        <v>16.145786517330407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277.99999999999994</v>
      </c>
      <c r="CU50" s="18">
        <f>CT50*VLOOKUP('Données projet'!$B$13,Paramètres!$A$1:$I$89,3,0)*VLOOKUP('Données projet'!$B$13,Paramètres!$A$1:$I$89,5,0)</f>
        <v>151.78799999999998</v>
      </c>
      <c r="CV50" s="14">
        <f t="shared" si="41"/>
        <v>38.984634390835623</v>
      </c>
      <c r="CW50" s="22">
        <f t="shared" si="13"/>
        <v>332.26233823070532</v>
      </c>
      <c r="CX50" s="62">
        <f t="shared" si="14"/>
        <v>625.59567156403864</v>
      </c>
      <c r="CY50" s="62">
        <f ca="1">AVERAGE(OFFSET($CX$3,0,0,'Données projet'!$E$13+1,1))-AVERAGE(OFFSET($H$3,0,0,'Données projet'!$E$13+1,1))</f>
        <v>159.92263609041913</v>
      </c>
      <c r="CZ50" s="62">
        <f t="shared" si="42"/>
        <v>271.78119133009307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4.6735900192210593</v>
      </c>
      <c r="DG50" s="23">
        <f>EXP(-LN(2)/25)*DG49+(1-EXP(-LN(2)/25))/(LN(2)/25)*Calculateur!DB50*Calculateur!DD50*VLOOKUP('Données projet'!$B$13,Paramètres!$A$1:$I$89,3,0)*0.475*44/12</f>
        <v>18.264378396181229</v>
      </c>
      <c r="DH50" s="23">
        <f>EXP(-LN(2)/2)*DH49+(1-EXP(-LN(2)/2))/(LN(2)/2)*DB50*DE50*VLOOKUP('Données projet'!$B$13,Paramètres!$A$1:$I$89,3,0)*0.475*44/12</f>
        <v>7.5778305723143147E-2</v>
      </c>
      <c r="DI50" s="24">
        <f t="shared" si="15"/>
        <v>23.013746721125433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26.142857142857142</v>
      </c>
      <c r="DO50" s="13">
        <f>IF('Données projet'!$A$166&gt;35,DO49+DN50-DW49,IF(A50&lt;'Données projet'!$A$166,$DL$205^A50,IF(A50='Données projet'!$A$166,'Données projet'!$B$166,DO49+DN50-DW49)))</f>
        <v>227.14285714285711</v>
      </c>
      <c r="DP50" s="18">
        <f>DO50*VLOOKUP('Données projet'!$B$14,Paramètres!$A$1:$I$89,3,0)*VLOOKUP('Données projet'!$B$14,Paramètres!$A$1:$I$89,5,0)</f>
        <v>109.25571428571428</v>
      </c>
      <c r="DQ50" s="14">
        <f t="shared" si="43"/>
        <v>29.155555822888118</v>
      </c>
      <c r="DR50" s="22">
        <f t="shared" si="16"/>
        <v>241.06629543914914</v>
      </c>
      <c r="DS50" s="62">
        <f t="shared" si="17"/>
        <v>534.3996287724824</v>
      </c>
      <c r="DT50" s="62">
        <f ca="1">AVERAGE(OFFSET($DS$3,0,0,'Données projet'!$E$14+1,1))-AVERAGE(OFFSET($H$3,0,0,'Données projet'!$E$14+1,1))</f>
        <v>122.60806128440754</v>
      </c>
      <c r="DU50" s="62">
        <f t="shared" si="44"/>
        <v>73.937252053142004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>
        <f>EJ50*VLOOKUP('Données projet'!$B$15,Paramètres!$A$1:$I$89,3,0)*VLOOKUP('Données projet'!$B$15,Paramètres!$A$1:$I$89,5,0)</f>
        <v>0</v>
      </c>
      <c r="EL50" s="14" t="e">
        <f t="shared" si="45"/>
        <v>#NUM!</v>
      </c>
      <c r="EM50" s="22" t="e">
        <f t="shared" si="19"/>
        <v>#NUM!</v>
      </c>
      <c r="EN50" s="62" t="e">
        <f t="shared" si="20"/>
        <v>#NUM!</v>
      </c>
      <c r="EO50" s="62">
        <f ca="1">AVERAGE(OFFSET($EN$3,0,0,'Données projet'!$E$15+1,1))-AVERAGE(OFFSET($H$3,0,0,'Données projet'!$E$15+1,1))</f>
        <v>0</v>
      </c>
      <c r="EP50" s="62">
        <f t="shared" si="46"/>
        <v>0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382.55387448074327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1.5419886864009458</v>
      </c>
      <c r="AA51" s="23">
        <f>EXP(-LN(2)/25)*AA50+(1-EXP(-LN(2)/25))/(LN(2)/25)*Calculateur!V51*Calculateur!X51*VLOOKUP('Données projet'!$B$9,Paramètres!$A$1:$I$89,3,0)*0.475*44/12</f>
        <v>6.4866387916426813</v>
      </c>
      <c r="AB51" s="23">
        <f>EXP(-LN(2)/2)*AB50+(1-EXP(-LN(2)/2))/(LN(2)/2)*V51*Y51*VLOOKUP('Données projet'!$B$9,Paramètres!$A$1:$I$89,3,0)*0.475*44/12</f>
        <v>4.399687348288444E-2</v>
      </c>
      <c r="AC51" s="24">
        <f t="shared" si="3"/>
        <v>8.0726243515265121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269.64423257646359</v>
      </c>
      <c r="AO51" s="62">
        <f t="shared" si="36"/>
        <v>161.0819079811821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7.4444444444444446</v>
      </c>
      <c r="BD51" s="13">
        <f>IF('Données projet'!$A$88&gt;35,BD50+BC51-BL50,IF(A51&lt;'Données projet'!$A$88,$BA$205^A51,IF(A51='Données projet'!$A$88,'Données projet'!$B$88,BD50+BC51-BL50)))</f>
        <v>178.33333333333334</v>
      </c>
      <c r="BE51" s="14">
        <f>BD51*VLOOKUP('Données projet'!$B$11,Paramètres!$A$1:$I$89,3,0)*VLOOKUP('Données projet'!$B$11,Paramètres!$A$1:$I$89,5,0)</f>
        <v>83.460000000000008</v>
      </c>
      <c r="BF51" s="14">
        <f t="shared" si="37"/>
        <v>22.981076147201239</v>
      </c>
      <c r="BG51" s="22">
        <f t="shared" si="7"/>
        <v>185.38487428970882</v>
      </c>
      <c r="BH51" s="62">
        <f t="shared" si="8"/>
        <v>478.71820762304213</v>
      </c>
      <c r="BI51" s="62">
        <f ca="1">AVERAGE(OFFSET($BH$3,0,0,'Données projet'!$E$11+1,1))-AVERAGE(OFFSET($H$3,0,0,'Données projet'!$E$11+1,1))</f>
        <v>90.797383835887558</v>
      </c>
      <c r="BJ51" s="62">
        <f t="shared" si="38"/>
        <v>104.31413437636684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0.67583418636691706</v>
      </c>
      <c r="BQ51" s="23">
        <f>EXP(-LN(2)/25)*BQ50+(1-EXP(-LN(2)/25))/(LN(2)/25)*Calculateur!BL51*Calculateur!BN51*VLOOKUP('Données projet'!$B$11,Paramètres!$A$1:$I$89,3,0)*0.475*44/12</f>
        <v>2.5761106775084612</v>
      </c>
      <c r="BR51" s="23">
        <f>EXP(-LN(2)/2)*BR50+(1-EXP(-LN(2)/2))/(LN(2)/2)*BL51*BO51*VLOOKUP('Données projet'!$B$11,Paramètres!$A$1:$I$89,3,0)*0.475*44/12</f>
        <v>5.7796252766101125E-3</v>
      </c>
      <c r="BS51" s="24">
        <f t="shared" si="9"/>
        <v>3.2577244891519883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>
        <f>VLOOKUP(A51,'Données projet'!$A$113:$I$133,2,0)</f>
        <v>252</v>
      </c>
      <c r="BW51" s="13">
        <f>VLOOKUP(A51,'Données projet'!$A$113:$I$133,9,0)</f>
        <v>10.666666666666666</v>
      </c>
      <c r="BX51" s="13">
        <f t="array" ref="BX51">INDEX(BW:BW,MIN(IF(ISNUMBER(BW51:BW247),ROW(BW51:BW247),"")))</f>
        <v>10.666666666666666</v>
      </c>
      <c r="BY51" s="13">
        <f>IF('Données projet'!$A$114&gt;35,BY50+BX51-CG50,IF(A51&lt;'Données projet'!$A$114,$BV$205^A51,IF(A51='Données projet'!$A$114,'Données projet'!$B$114,BY50+BX51-CG50)))</f>
        <v>251.99999999999997</v>
      </c>
      <c r="BZ51" s="14">
        <f>BY51*VLOOKUP('Données projet'!$B$12,Paramètres!$A$1:$I$89,3,0)*VLOOKUP('Données projet'!$B$12,Paramètres!$A$1:$I$89,5,0)</f>
        <v>157.24799999999999</v>
      </c>
      <c r="CA51" s="14">
        <f t="shared" si="39"/>
        <v>40.22116874434861</v>
      </c>
      <c r="CB51" s="22">
        <f t="shared" si="10"/>
        <v>343.92546889640715</v>
      </c>
      <c r="CC51" s="62">
        <f t="shared" si="11"/>
        <v>637.25880222974047</v>
      </c>
      <c r="CD51" s="62">
        <f ca="1">AVERAGE(OFFSET($CC$3,0,0,'Données projet'!$E$12+1,1))-AVERAGE(OFFSET($H$3,0,0,'Données projet'!$E$12+1,1))</f>
        <v>179.44051550872138</v>
      </c>
      <c r="CE51" s="62">
        <f t="shared" si="40"/>
        <v>272.9500808380069</v>
      </c>
      <c r="CF51" s="16">
        <f>IF(ISNA(VLOOKUP(A51,'Données projet'!$A$113:$I$133,3,0)),0,VLOOKUP(A51,'Données projet'!$A$113:$I$133,3,0))</f>
        <v>7</v>
      </c>
      <c r="CG51" s="16">
        <f>IF(ISNA(VLOOKUP(A51,'Données projet'!$A$113:$I$133,4,0)),0,VLOOKUP(A51,'Données projet'!$A$113:$I$133,4,0))</f>
        <v>65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3.494957169486101</v>
      </c>
      <c r="CL51" s="23">
        <f>EXP(-LN(2)/25)*CL50+(1-EXP(-LN(2)/25))/(LN(2)/25)*Calculateur!CG51*Calculateur!CI51*VLOOKUP('Données projet'!$B$12,Paramètres!$A$1:$I$89,3,0)*0.475*44/12</f>
        <v>12.181533612297827</v>
      </c>
      <c r="CM51" s="23">
        <f>EXP(-LN(2)/2)*CM50+(1-EXP(-LN(2)/2))/(LN(2)/2)*CG51*CJ51*VLOOKUP('Données projet'!$B$12,Paramètres!$A$1:$I$89,3,0)*0.475*44/12</f>
        <v>4.0249538281824038E-2</v>
      </c>
      <c r="CN51" s="24">
        <f t="shared" si="12"/>
        <v>15.716740320065751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277.99999999999994</v>
      </c>
      <c r="CU51" s="18">
        <f>CT51*VLOOKUP('Données projet'!$B$13,Paramètres!$A$1:$I$89,3,0)*VLOOKUP('Données projet'!$B$13,Paramètres!$A$1:$I$89,5,0)</f>
        <v>151.78799999999998</v>
      </c>
      <c r="CV51" s="14">
        <f t="shared" si="41"/>
        <v>38.984634390835623</v>
      </c>
      <c r="CW51" s="22">
        <f t="shared" si="13"/>
        <v>332.26233823070532</v>
      </c>
      <c r="CX51" s="62">
        <f t="shared" si="14"/>
        <v>625.59567156403864</v>
      </c>
      <c r="CY51" s="62">
        <f ca="1">AVERAGE(OFFSET($CX$3,0,0,'Données projet'!$E$13+1,1))-AVERAGE(OFFSET($H$3,0,0,'Données projet'!$E$13+1,1))</f>
        <v>159.92263609041913</v>
      </c>
      <c r="CZ51" s="62">
        <f t="shared" si="42"/>
        <v>271.78119133009307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4.5819437695525718</v>
      </c>
      <c r="DG51" s="23">
        <f>EXP(-LN(2)/25)*DG50+(1-EXP(-LN(2)/25))/(LN(2)/25)*Calculateur!DB51*Calculateur!DD51*VLOOKUP('Données projet'!$B$13,Paramètres!$A$1:$I$89,3,0)*0.475*44/12</f>
        <v>17.764938008455736</v>
      </c>
      <c r="DH51" s="23">
        <f>EXP(-LN(2)/2)*DH50+(1-EXP(-LN(2)/2))/(LN(2)/2)*DB51*DE51*VLOOKUP('Données projet'!$B$13,Paramètres!$A$1:$I$89,3,0)*0.475*44/12</f>
        <v>5.3583353843661884E-2</v>
      </c>
      <c r="DI51" s="24">
        <f t="shared" si="15"/>
        <v>22.400465131851973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26.142857142857142</v>
      </c>
      <c r="DO51" s="13">
        <f>IF('Données projet'!$A$166&gt;35,DO50+DN51-DW50,IF(A51&lt;'Données projet'!$A$166,$DL$205^A51,IF(A51='Données projet'!$A$166,'Données projet'!$B$166,DO50+DN51-DW50)))</f>
        <v>253.28571428571425</v>
      </c>
      <c r="DP51" s="18">
        <f>DO51*VLOOKUP('Données projet'!$B$14,Paramètres!$A$1:$I$89,3,0)*VLOOKUP('Données projet'!$B$14,Paramètres!$A$1:$I$89,5,0)</f>
        <v>121.83042857142856</v>
      </c>
      <c r="DQ51" s="14">
        <f t="shared" si="43"/>
        <v>32.10153983421624</v>
      </c>
      <c r="DR51" s="22">
        <f t="shared" si="16"/>
        <v>268.09817830649803</v>
      </c>
      <c r="DS51" s="62">
        <f t="shared" si="17"/>
        <v>561.43151163983134</v>
      </c>
      <c r="DT51" s="62">
        <f ca="1">AVERAGE(OFFSET($DS$3,0,0,'Données projet'!$E$14+1,1))-AVERAGE(OFFSET($H$3,0,0,'Données projet'!$E$14+1,1))</f>
        <v>122.60806128440754</v>
      </c>
      <c r="DU51" s="62">
        <f t="shared" si="44"/>
        <v>73.937252053142004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>
        <f>EJ51*VLOOKUP('Données projet'!$B$15,Paramètres!$A$1:$I$89,3,0)*VLOOKUP('Données projet'!$B$15,Paramètres!$A$1:$I$89,5,0)</f>
        <v>0</v>
      </c>
      <c r="EL51" s="14" t="e">
        <f t="shared" si="45"/>
        <v>#NUM!</v>
      </c>
      <c r="EM51" s="22" t="e">
        <f t="shared" si="19"/>
        <v>#NUM!</v>
      </c>
      <c r="EN51" s="62" t="e">
        <f t="shared" si="20"/>
        <v>#NUM!</v>
      </c>
      <c r="EO51" s="62">
        <f ca="1">AVERAGE(OFFSET($EN$3,0,0,'Données projet'!$E$15+1,1))-AVERAGE(OFFSET($H$3,0,0,'Données projet'!$E$15+1,1))</f>
        <v>0</v>
      </c>
      <c r="EP51" s="62">
        <f t="shared" si="46"/>
        <v>0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382.55387448074327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1.5117512287808532</v>
      </c>
      <c r="AA52" s="23">
        <f>EXP(-LN(2)/25)*AA51+(1-EXP(-LN(2)/25))/(LN(2)/25)*Calculateur!V52*Calculateur!X52*VLOOKUP('Données projet'!$B$9,Paramètres!$A$1:$I$89,3,0)*0.475*44/12</f>
        <v>6.3092613127677035</v>
      </c>
      <c r="AB52" s="23">
        <f>EXP(-LN(2)/2)*AB51+(1-EXP(-LN(2)/2))/(LN(2)/2)*V52*Y52*VLOOKUP('Données projet'!$B$9,Paramètres!$A$1:$I$89,3,0)*0.475*44/12</f>
        <v>3.1110487590754184E-2</v>
      </c>
      <c r="AC52" s="24">
        <f t="shared" si="3"/>
        <v>7.8521230291393112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269.64423257646359</v>
      </c>
      <c r="AO52" s="62">
        <f t="shared" si="36"/>
        <v>161.0819079811821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7.4444444444444446</v>
      </c>
      <c r="BD52" s="13">
        <f>IF('Données projet'!$A$88&gt;35,BD51+BC52-BL51,IF(A52&lt;'Données projet'!$A$88,$BA$205^A52,IF(A52='Données projet'!$A$88,'Données projet'!$B$88,BD51+BC52-BL51)))</f>
        <v>185.7777777777778</v>
      </c>
      <c r="BE52" s="14">
        <f>BD52*VLOOKUP('Données projet'!$B$11,Paramètres!$A$1:$I$89,3,0)*VLOOKUP('Données projet'!$B$11,Paramètres!$A$1:$I$89,5,0)</f>
        <v>86.944000000000017</v>
      </c>
      <c r="BF52" s="14">
        <f t="shared" si="37"/>
        <v>23.826716103983021</v>
      </c>
      <c r="BG52" s="22">
        <f t="shared" si="7"/>
        <v>192.92566388110376</v>
      </c>
      <c r="BH52" s="62">
        <f t="shared" si="8"/>
        <v>486.25899721443704</v>
      </c>
      <c r="BI52" s="62">
        <f ca="1">AVERAGE(OFFSET($BH$3,0,0,'Données projet'!$E$11+1,1))-AVERAGE(OFFSET($H$3,0,0,'Données projet'!$E$11+1,1))</f>
        <v>90.797383835887558</v>
      </c>
      <c r="BJ52" s="62">
        <f t="shared" si="38"/>
        <v>104.31413437636684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0.66258149019041235</v>
      </c>
      <c r="BQ52" s="23">
        <f>EXP(-LN(2)/25)*BQ51+(1-EXP(-LN(2)/25))/(LN(2)/25)*Calculateur!BL52*Calculateur!BN52*VLOOKUP('Données projet'!$B$11,Paramètres!$A$1:$I$89,3,0)*0.475*44/12</f>
        <v>2.5056667955602197</v>
      </c>
      <c r="BR52" s="23">
        <f>EXP(-LN(2)/2)*BR51+(1-EXP(-LN(2)/2))/(LN(2)/2)*BL52*BO52*VLOOKUP('Données projet'!$B$11,Paramètres!$A$1:$I$89,3,0)*0.475*44/12</f>
        <v>4.0868122258081859E-3</v>
      </c>
      <c r="BS52" s="24">
        <f t="shared" si="9"/>
        <v>3.1723350979764402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9.75</v>
      </c>
      <c r="BY52" s="13">
        <f>IF('Données projet'!$A$114&gt;35,BY51+BX52-CG51,IF(A52&lt;'Données projet'!$A$114,$BV$205^A52,IF(A52='Données projet'!$A$114,'Données projet'!$B$114,BY51+BX52-CG51)))</f>
        <v>196.75</v>
      </c>
      <c r="BZ52" s="14">
        <f>BY52*VLOOKUP('Données projet'!$B$12,Paramètres!$A$1:$I$89,3,0)*VLOOKUP('Données projet'!$B$12,Paramètres!$A$1:$I$89,5,0)</f>
        <v>122.77200000000001</v>
      </c>
      <c r="CA52" s="14">
        <f t="shared" si="39"/>
        <v>32.320660955470466</v>
      </c>
      <c r="CB52" s="22">
        <f t="shared" si="10"/>
        <v>270.11971783077774</v>
      </c>
      <c r="CC52" s="62">
        <f t="shared" si="11"/>
        <v>563.453051164111</v>
      </c>
      <c r="CD52" s="62">
        <f ca="1">AVERAGE(OFFSET($CC$3,0,0,'Données projet'!$E$12+1,1))-AVERAGE(OFFSET($H$3,0,0,'Données projet'!$E$12+1,1))</f>
        <v>179.44051550872138</v>
      </c>
      <c r="CE52" s="62">
        <f t="shared" si="40"/>
        <v>272.9500808380069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3.4264231911058629</v>
      </c>
      <c r="CL52" s="23">
        <f>EXP(-LN(2)/25)*CL51+(1-EXP(-LN(2)/25))/(LN(2)/25)*Calculateur!CG52*Calculateur!CI52*VLOOKUP('Données projet'!$B$12,Paramètres!$A$1:$I$89,3,0)*0.475*44/12</f>
        <v>11.848428935070531</v>
      </c>
      <c r="CM52" s="23">
        <f>EXP(-LN(2)/2)*CM51+(1-EXP(-LN(2)/2))/(LN(2)/2)*CG52*CJ52*VLOOKUP('Données projet'!$B$12,Paramètres!$A$1:$I$89,3,0)*0.475*44/12</f>
        <v>2.8460721458705318E-2</v>
      </c>
      <c r="CN52" s="24">
        <f t="shared" si="12"/>
        <v>15.3033128476351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277.99999999999994</v>
      </c>
      <c r="CU52" s="18">
        <f>CT52*VLOOKUP('Données projet'!$B$13,Paramètres!$A$1:$I$89,3,0)*VLOOKUP('Données projet'!$B$13,Paramètres!$A$1:$I$89,5,0)</f>
        <v>151.78799999999998</v>
      </c>
      <c r="CV52" s="14">
        <f t="shared" si="41"/>
        <v>38.984634390835623</v>
      </c>
      <c r="CW52" s="22">
        <f t="shared" si="13"/>
        <v>332.26233823070532</v>
      </c>
      <c r="CX52" s="62">
        <f t="shared" si="14"/>
        <v>625.59567156403864</v>
      </c>
      <c r="CY52" s="62">
        <f ca="1">AVERAGE(OFFSET($CX$3,0,0,'Données projet'!$E$13+1,1))-AVERAGE(OFFSET($H$3,0,0,'Données projet'!$E$13+1,1))</f>
        <v>159.92263609041913</v>
      </c>
      <c r="CZ52" s="62">
        <f t="shared" si="42"/>
        <v>271.78119133009307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4.4920946469413909</v>
      </c>
      <c r="DG52" s="23">
        <f>EXP(-LN(2)/25)*DG51+(1-EXP(-LN(2)/25))/(LN(2)/25)*Calculateur!DB52*Calculateur!DD52*VLOOKUP('Données projet'!$B$13,Paramètres!$A$1:$I$89,3,0)*0.475*44/12</f>
        <v>17.279154844397027</v>
      </c>
      <c r="DH52" s="23">
        <f>EXP(-LN(2)/2)*DH51+(1-EXP(-LN(2)/2))/(LN(2)/2)*DB52*DE52*VLOOKUP('Données projet'!$B$13,Paramètres!$A$1:$I$89,3,0)*0.475*44/12</f>
        <v>3.7889152861571573E-2</v>
      </c>
      <c r="DI52" s="24">
        <f t="shared" si="15"/>
        <v>21.809138644199987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26.142857142857142</v>
      </c>
      <c r="DO52" s="13">
        <f>IF('Données projet'!$A$166&gt;35,DO51+DN52-DW51,IF(A52&lt;'Données projet'!$A$166,$DL$205^A52,IF(A52='Données projet'!$A$166,'Données projet'!$B$166,DO51+DN52-DW51)))</f>
        <v>279.42857142857139</v>
      </c>
      <c r="DP52" s="18">
        <f>DO52*VLOOKUP('Données projet'!$B$14,Paramètres!$A$1:$I$89,3,0)*VLOOKUP('Données projet'!$B$14,Paramètres!$A$1:$I$89,5,0)</f>
        <v>134.40514285714283</v>
      </c>
      <c r="DQ52" s="14">
        <f t="shared" si="43"/>
        <v>35.012275929500404</v>
      </c>
      <c r="DR52" s="22">
        <f t="shared" si="16"/>
        <v>295.06867105340359</v>
      </c>
      <c r="DS52" s="62">
        <f t="shared" si="17"/>
        <v>588.40200438673696</v>
      </c>
      <c r="DT52" s="62">
        <f ca="1">AVERAGE(OFFSET($DS$3,0,0,'Données projet'!$E$14+1,1))-AVERAGE(OFFSET($H$3,0,0,'Données projet'!$E$14+1,1))</f>
        <v>122.60806128440754</v>
      </c>
      <c r="DU52" s="62">
        <f t="shared" si="44"/>
        <v>73.937252053142004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>
        <f>EJ52*VLOOKUP('Données projet'!$B$15,Paramètres!$A$1:$I$89,3,0)*VLOOKUP('Données projet'!$B$15,Paramètres!$A$1:$I$89,5,0)</f>
        <v>0</v>
      </c>
      <c r="EL52" s="14" t="e">
        <f t="shared" si="45"/>
        <v>#NUM!</v>
      </c>
      <c r="EM52" s="22" t="e">
        <f t="shared" si="19"/>
        <v>#NUM!</v>
      </c>
      <c r="EN52" s="62" t="e">
        <f t="shared" si="20"/>
        <v>#NUM!</v>
      </c>
      <c r="EO52" s="62">
        <f ca="1">AVERAGE(OFFSET($EN$3,0,0,'Données projet'!$E$15+1,1))-AVERAGE(OFFSET($H$3,0,0,'Données projet'!$E$15+1,1))</f>
        <v>0</v>
      </c>
      <c r="EP52" s="62">
        <f t="shared" si="46"/>
        <v>0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382.55387448074327</v>
      </c>
      <c r="T53" s="62">
        <f t="shared" si="34"/>
        <v>476.29465646955543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1.4821067092616627</v>
      </c>
      <c r="AA53" s="23">
        <f>EXP(-LN(2)/25)*AA52+(1-EXP(-LN(2)/25))/(LN(2)/25)*Calculateur!V53*Calculateur!X53*VLOOKUP('Données projet'!$B$9,Paramètres!$A$1:$I$89,3,0)*0.475*44/12</f>
        <v>6.136734230380438</v>
      </c>
      <c r="AB53" s="23">
        <f>EXP(-LN(2)/2)*AB52+(1-EXP(-LN(2)/2))/(LN(2)/2)*V53*Y53*VLOOKUP('Données projet'!$B$9,Paramètres!$A$1:$I$89,3,0)*0.475*44/12</f>
        <v>2.1998436741442223E-2</v>
      </c>
      <c r="AC53" s="24">
        <f t="shared" si="3"/>
        <v>7.6408393763835427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269.64423257646359</v>
      </c>
      <c r="AO53" s="62">
        <f t="shared" si="36"/>
        <v>161.0819079811821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7.4444444444444446</v>
      </c>
      <c r="BD53" s="13">
        <f>IF('Données projet'!$A$88&gt;35,BD52+BC53-BL52,IF(A53&lt;'Données projet'!$A$88,$BA$205^A53,IF(A53='Données projet'!$A$88,'Données projet'!$B$88,BD52+BC53-BL52)))</f>
        <v>193.22222222222226</v>
      </c>
      <c r="BE53" s="14">
        <f>BD53*VLOOKUP('Données projet'!$B$11,Paramètres!$A$1:$I$89,3,0)*VLOOKUP('Données projet'!$B$11,Paramètres!$A$1:$I$89,5,0)</f>
        <v>90.428000000000026</v>
      </c>
      <c r="BF53" s="14">
        <f t="shared" si="37"/>
        <v>24.668419768668851</v>
      </c>
      <c r="BG53" s="22">
        <f t="shared" si="7"/>
        <v>200.45959776376495</v>
      </c>
      <c r="BH53" s="62">
        <f t="shared" si="8"/>
        <v>493.79293109709829</v>
      </c>
      <c r="BI53" s="62">
        <f ca="1">AVERAGE(OFFSET($BH$3,0,0,'Données projet'!$E$11+1,1))-AVERAGE(OFFSET($H$3,0,0,'Données projet'!$E$11+1,1))</f>
        <v>90.797383835887558</v>
      </c>
      <c r="BJ53" s="62">
        <f t="shared" si="38"/>
        <v>104.31413437636684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0.64958867130258235</v>
      </c>
      <c r="BQ53" s="23">
        <f>EXP(-LN(2)/25)*BQ52+(1-EXP(-LN(2)/25))/(LN(2)/25)*Calculateur!BL53*Calculateur!BN53*VLOOKUP('Données projet'!$B$11,Paramètres!$A$1:$I$89,3,0)*0.475*44/12</f>
        <v>2.4371492052683355</v>
      </c>
      <c r="BR53" s="23">
        <f>EXP(-LN(2)/2)*BR52+(1-EXP(-LN(2)/2))/(LN(2)/2)*BL53*BO53*VLOOKUP('Données projet'!$B$11,Paramètres!$A$1:$I$89,3,0)*0.475*44/12</f>
        <v>2.8898126383050562E-3</v>
      </c>
      <c r="BS53" s="24">
        <f t="shared" si="9"/>
        <v>3.0896276892092231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9.75</v>
      </c>
      <c r="BY53" s="13">
        <f>IF('Données projet'!$A$114&gt;35,BY52+BX53-CG52,IF(A53&lt;'Données projet'!$A$114,$BV$205^A53,IF(A53='Données projet'!$A$114,'Données projet'!$B$114,BY52+BX53-CG52)))</f>
        <v>206.5</v>
      </c>
      <c r="BZ53" s="14">
        <f>BY53*VLOOKUP('Données projet'!$B$12,Paramètres!$A$1:$I$89,3,0)*VLOOKUP('Données projet'!$B$12,Paramètres!$A$1:$I$89,5,0)</f>
        <v>128.85599999999999</v>
      </c>
      <c r="CA53" s="14">
        <f t="shared" si="39"/>
        <v>33.731878688740906</v>
      </c>
      <c r="CB53" s="22">
        <f t="shared" si="10"/>
        <v>283.1738887162237</v>
      </c>
      <c r="CC53" s="62">
        <f t="shared" si="11"/>
        <v>576.50722204955696</v>
      </c>
      <c r="CD53" s="62">
        <f ca="1">AVERAGE(OFFSET($CC$3,0,0,'Données projet'!$E$12+1,1))-AVERAGE(OFFSET($H$3,0,0,'Données projet'!$E$12+1,1))</f>
        <v>179.44051550872138</v>
      </c>
      <c r="CE53" s="62">
        <f t="shared" si="40"/>
        <v>272.9500808380069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3.3592331222400618</v>
      </c>
      <c r="CL53" s="23">
        <f>EXP(-LN(2)/25)*CL52+(1-EXP(-LN(2)/25))/(LN(2)/25)*Calculateur!CG53*Calculateur!CI53*VLOOKUP('Données projet'!$B$12,Paramètres!$A$1:$I$89,3,0)*0.475*44/12</f>
        <v>11.524433022759229</v>
      </c>
      <c r="CM53" s="23">
        <f>EXP(-LN(2)/2)*CM52+(1-EXP(-LN(2)/2))/(LN(2)/2)*CG53*CJ53*VLOOKUP('Données projet'!$B$12,Paramètres!$A$1:$I$89,3,0)*0.475*44/12</f>
        <v>2.0124769140912019E-2</v>
      </c>
      <c r="CN53" s="24">
        <f t="shared" si="12"/>
        <v>14.903790914140203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277.99999999999994</v>
      </c>
      <c r="CU53" s="18">
        <f>CT53*VLOOKUP('Données projet'!$B$13,Paramètres!$A$1:$I$89,3,0)*VLOOKUP('Données projet'!$B$13,Paramètres!$A$1:$I$89,5,0)</f>
        <v>151.78799999999998</v>
      </c>
      <c r="CV53" s="14">
        <f t="shared" si="41"/>
        <v>38.984634390835623</v>
      </c>
      <c r="CW53" s="22">
        <f t="shared" si="13"/>
        <v>332.26233823070532</v>
      </c>
      <c r="CX53" s="62">
        <f t="shared" si="14"/>
        <v>625.59567156403864</v>
      </c>
      <c r="CY53" s="62">
        <f ca="1">AVERAGE(OFFSET($CX$3,0,0,'Données projet'!$E$13+1,1))-AVERAGE(OFFSET($H$3,0,0,'Données projet'!$E$13+1,1))</f>
        <v>159.92263609041913</v>
      </c>
      <c r="CZ53" s="62">
        <f t="shared" si="42"/>
        <v>271.78119133009307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4.4040074108220617</v>
      </c>
      <c r="DG53" s="23">
        <f>EXP(-LN(2)/25)*DG52+(1-EXP(-LN(2)/25))/(LN(2)/25)*Calculateur!DB53*Calculateur!DD53*VLOOKUP('Données projet'!$B$13,Paramètres!$A$1:$I$89,3,0)*0.475*44/12</f>
        <v>16.806655446505729</v>
      </c>
      <c r="DH53" s="23">
        <f>EXP(-LN(2)/2)*DH52+(1-EXP(-LN(2)/2))/(LN(2)/2)*DB53*DE53*VLOOKUP('Données projet'!$B$13,Paramètres!$A$1:$I$89,3,0)*0.475*44/12</f>
        <v>2.6791676921830942E-2</v>
      </c>
      <c r="DI53" s="24">
        <f t="shared" si="15"/>
        <v>21.237454534249622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26.142857142857142</v>
      </c>
      <c r="DO53" s="13">
        <f>IF('Données projet'!$A$166&gt;35,DO52+DN53-DW52,IF(A53&lt;'Données projet'!$A$166,$DL$205^A53,IF(A53='Données projet'!$A$166,'Données projet'!$B$166,DO52+DN53-DW52)))</f>
        <v>305.57142857142856</v>
      </c>
      <c r="DP53" s="18">
        <f>DO53*VLOOKUP('Données projet'!$B$14,Paramètres!$A$1:$I$89,3,0)*VLOOKUP('Données projet'!$B$14,Paramètres!$A$1:$I$89,5,0)</f>
        <v>146.97985714285713</v>
      </c>
      <c r="DQ53" s="14">
        <f t="shared" si="43"/>
        <v>37.891436966329309</v>
      </c>
      <c r="DR53" s="22">
        <f t="shared" si="16"/>
        <v>321.98417057349968</v>
      </c>
      <c r="DS53" s="62">
        <f t="shared" si="17"/>
        <v>615.31750390683305</v>
      </c>
      <c r="DT53" s="62">
        <f ca="1">AVERAGE(OFFSET($DS$3,0,0,'Données projet'!$E$14+1,1))-AVERAGE(OFFSET($H$3,0,0,'Données projet'!$E$14+1,1))</f>
        <v>122.60806128440754</v>
      </c>
      <c r="DU53" s="62">
        <f t="shared" si="44"/>
        <v>73.937252053142004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>
        <f>EJ53*VLOOKUP('Données projet'!$B$15,Paramètres!$A$1:$I$89,3,0)*VLOOKUP('Données projet'!$B$15,Paramètres!$A$1:$I$89,5,0)</f>
        <v>0</v>
      </c>
      <c r="EL53" s="14" t="e">
        <f t="shared" si="45"/>
        <v>#NUM!</v>
      </c>
      <c r="EM53" s="22" t="e">
        <f t="shared" si="19"/>
        <v>#NUM!</v>
      </c>
      <c r="EN53" s="62" t="e">
        <f t="shared" si="20"/>
        <v>#NUM!</v>
      </c>
      <c r="EO53" s="62">
        <f ca="1">AVERAGE(OFFSET($EN$3,0,0,'Données projet'!$E$15+1,1))-AVERAGE(OFFSET($H$3,0,0,'Données projet'!$E$15+1,1))</f>
        <v>0</v>
      </c>
      <c r="EP53" s="62">
        <f t="shared" si="46"/>
        <v>0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382.55387448074327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1.453043500688872</v>
      </c>
      <c r="AA54" s="23">
        <f>EXP(-LN(2)/25)*AA53+(1-EXP(-LN(2)/25))/(LN(2)/25)*Calculateur!V54*Calculateur!X54*VLOOKUP('Données projet'!$B$9,Paramètres!$A$1:$I$89,3,0)*0.475*44/12</f>
        <v>5.9689249101338575</v>
      </c>
      <c r="AB54" s="23">
        <f>EXP(-LN(2)/2)*AB53+(1-EXP(-LN(2)/2))/(LN(2)/2)*V54*Y54*VLOOKUP('Données projet'!$B$9,Paramètres!$A$1:$I$89,3,0)*0.475*44/12</f>
        <v>1.5555243795377096E-2</v>
      </c>
      <c r="AC54" s="24">
        <f t="shared" si="3"/>
        <v>7.4375236546181061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269.64423257646359</v>
      </c>
      <c r="AO54" s="62">
        <f t="shared" si="36"/>
        <v>161.0819079811821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7.4444444444444446</v>
      </c>
      <c r="BD54" s="13">
        <f>IF('Données projet'!$A$88&gt;35,BD53+BC54-BL53,IF(A54&lt;'Données projet'!$A$88,$BA$205^A54,IF(A54='Données projet'!$A$88,'Données projet'!$B$88,BD53+BC54-BL53)))</f>
        <v>200.66666666666671</v>
      </c>
      <c r="BE54" s="14">
        <f>BD54*VLOOKUP('Données projet'!$B$11,Paramètres!$A$1:$I$89,3,0)*VLOOKUP('Données projet'!$B$11,Paramètres!$A$1:$I$89,5,0)</f>
        <v>93.91200000000002</v>
      </c>
      <c r="BF54" s="14">
        <f t="shared" si="37"/>
        <v>25.506356157232645</v>
      </c>
      <c r="BG54" s="22">
        <f t="shared" si="7"/>
        <v>207.9869703071802</v>
      </c>
      <c r="BH54" s="62">
        <f t="shared" si="8"/>
        <v>501.32030364051354</v>
      </c>
      <c r="BI54" s="62">
        <f ca="1">AVERAGE(OFFSET($BH$3,0,0,'Données projet'!$E$11+1,1))-AVERAGE(OFFSET($H$3,0,0,'Données projet'!$E$11+1,1))</f>
        <v>90.797383835887558</v>
      </c>
      <c r="BJ54" s="62">
        <f t="shared" si="38"/>
        <v>104.31413437636684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0.63685063366830574</v>
      </c>
      <c r="BQ54" s="23">
        <f>EXP(-LN(2)/25)*BQ53+(1-EXP(-LN(2)/25))/(LN(2)/25)*Calculateur!BL54*Calculateur!BN54*VLOOKUP('Données projet'!$B$11,Paramètres!$A$1:$I$89,3,0)*0.475*44/12</f>
        <v>2.3705052320861664</v>
      </c>
      <c r="BR54" s="23">
        <f>EXP(-LN(2)/2)*BR53+(1-EXP(-LN(2)/2))/(LN(2)/2)*BL54*BO54*VLOOKUP('Données projet'!$B$11,Paramètres!$A$1:$I$89,3,0)*0.475*44/12</f>
        <v>2.043406112904093E-3</v>
      </c>
      <c r="BS54" s="24">
        <f t="shared" si="9"/>
        <v>3.0093992718673763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9.75</v>
      </c>
      <c r="BY54" s="13">
        <f>IF('Données projet'!$A$114&gt;35,BY53+BX54-CG53,IF(A54&lt;'Données projet'!$A$114,$BV$205^A54,IF(A54='Données projet'!$A$114,'Données projet'!$B$114,BY53+BX54-CG53)))</f>
        <v>216.25</v>
      </c>
      <c r="BZ54" s="14">
        <f>BY54*VLOOKUP('Données projet'!$B$12,Paramètres!$A$1:$I$89,3,0)*VLOOKUP('Données projet'!$B$12,Paramètres!$A$1:$I$89,5,0)</f>
        <v>134.94</v>
      </c>
      <c r="CA54" s="14">
        <f t="shared" si="39"/>
        <v>35.135358771568036</v>
      </c>
      <c r="CB54" s="22">
        <f t="shared" si="10"/>
        <v>296.21458319381429</v>
      </c>
      <c r="CC54" s="62">
        <f t="shared" si="11"/>
        <v>589.54791652714766</v>
      </c>
      <c r="CD54" s="62">
        <f ca="1">AVERAGE(OFFSET($CC$3,0,0,'Données projet'!$E$12+1,1))-AVERAGE(OFFSET($H$3,0,0,'Données projet'!$E$12+1,1))</f>
        <v>179.44051550872138</v>
      </c>
      <c r="CE54" s="62">
        <f t="shared" si="40"/>
        <v>272.9500808380069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3.2933606096428236</v>
      </c>
      <c r="CL54" s="23">
        <f>EXP(-LN(2)/25)*CL53+(1-EXP(-LN(2)/25))/(LN(2)/25)*Calculateur!CG54*Calculateur!CI54*VLOOKUP('Données projet'!$B$12,Paramètres!$A$1:$I$89,3,0)*0.475*44/12</f>
        <v>11.209296795708285</v>
      </c>
      <c r="CM54" s="23">
        <f>EXP(-LN(2)/2)*CM53+(1-EXP(-LN(2)/2))/(LN(2)/2)*CG54*CJ54*VLOOKUP('Données projet'!$B$12,Paramètres!$A$1:$I$89,3,0)*0.475*44/12</f>
        <v>1.4230360729352659E-2</v>
      </c>
      <c r="CN54" s="24">
        <f t="shared" si="12"/>
        <v>14.516887766080462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277.99999999999994</v>
      </c>
      <c r="CU54" s="18">
        <f>CT54*VLOOKUP('Données projet'!$B$13,Paramètres!$A$1:$I$89,3,0)*VLOOKUP('Données projet'!$B$13,Paramètres!$A$1:$I$89,5,0)</f>
        <v>151.78799999999998</v>
      </c>
      <c r="CV54" s="14">
        <f t="shared" si="41"/>
        <v>38.984634390835623</v>
      </c>
      <c r="CW54" s="22">
        <f t="shared" si="13"/>
        <v>332.26233823070532</v>
      </c>
      <c r="CX54" s="62">
        <f t="shared" si="14"/>
        <v>625.59567156403864</v>
      </c>
      <c r="CY54" s="62">
        <f ca="1">AVERAGE(OFFSET($CX$3,0,0,'Données projet'!$E$13+1,1))-AVERAGE(OFFSET($H$3,0,0,'Données projet'!$E$13+1,1))</f>
        <v>159.92263609041913</v>
      </c>
      <c r="CZ54" s="62">
        <f t="shared" si="42"/>
        <v>271.78119133009307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4.3176475116751236</v>
      </c>
      <c r="DG54" s="23">
        <f>EXP(-LN(2)/25)*DG53+(1-EXP(-LN(2)/25))/(LN(2)/25)*Calculateur!DB54*Calculateur!DD54*VLOOKUP('Données projet'!$B$13,Paramètres!$A$1:$I$89,3,0)*0.475*44/12</f>
        <v>16.347076569497432</v>
      </c>
      <c r="DH54" s="23">
        <f>EXP(-LN(2)/2)*DH53+(1-EXP(-LN(2)/2))/(LN(2)/2)*DB54*DE54*VLOOKUP('Données projet'!$B$13,Paramètres!$A$1:$I$89,3,0)*0.475*44/12</f>
        <v>1.8944576430785787E-2</v>
      </c>
      <c r="DI54" s="24">
        <f t="shared" si="15"/>
        <v>20.683668657603342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26.142857142857142</v>
      </c>
      <c r="DO54" s="13">
        <f>IF('Données projet'!$A$166&gt;35,DO53+DN54-DW53,IF(A54&lt;'Données projet'!$A$166,$DL$205^A54,IF(A54='Données projet'!$A$166,'Données projet'!$B$166,DO53+DN54-DW53)))</f>
        <v>331.71428571428572</v>
      </c>
      <c r="DP54" s="18">
        <f>DO54*VLOOKUP('Données projet'!$B$14,Paramètres!$A$1:$I$89,3,0)*VLOOKUP('Données projet'!$B$14,Paramètres!$A$1:$I$89,5,0)</f>
        <v>159.55457142857145</v>
      </c>
      <c r="DQ54" s="14">
        <f t="shared" si="43"/>
        <v>40.742031453945096</v>
      </c>
      <c r="DR54" s="22">
        <f t="shared" si="16"/>
        <v>348.84991668704964</v>
      </c>
      <c r="DS54" s="62">
        <f t="shared" si="17"/>
        <v>642.18325002038296</v>
      </c>
      <c r="DT54" s="62">
        <f ca="1">AVERAGE(OFFSET($DS$3,0,0,'Données projet'!$E$14+1,1))-AVERAGE(OFFSET($H$3,0,0,'Données projet'!$E$14+1,1))</f>
        <v>122.60806128440754</v>
      </c>
      <c r="DU54" s="62">
        <f t="shared" si="44"/>
        <v>73.937252053142004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>
        <f>EJ54*VLOOKUP('Données projet'!$B$15,Paramètres!$A$1:$I$89,3,0)*VLOOKUP('Données projet'!$B$15,Paramètres!$A$1:$I$89,5,0)</f>
        <v>0</v>
      </c>
      <c r="EL54" s="14" t="e">
        <f t="shared" si="45"/>
        <v>#NUM!</v>
      </c>
      <c r="EM54" s="22" t="e">
        <f t="shared" si="19"/>
        <v>#NUM!</v>
      </c>
      <c r="EN54" s="62" t="e">
        <f t="shared" si="20"/>
        <v>#NUM!</v>
      </c>
      <c r="EO54" s="62">
        <f ca="1">AVERAGE(OFFSET($EN$3,0,0,'Données projet'!$E$15+1,1))-AVERAGE(OFFSET($H$3,0,0,'Données projet'!$E$15+1,1))</f>
        <v>0</v>
      </c>
      <c r="EP54" s="62">
        <f t="shared" si="46"/>
        <v>0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382.55387448074327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1.4245502039093869</v>
      </c>
      <c r="AA55" s="23">
        <f>EXP(-LN(2)/25)*AA54+(1-EXP(-LN(2)/25))/(LN(2)/25)*Calculateur!V55*Calculateur!X55*VLOOKUP('Données projet'!$B$9,Paramètres!$A$1:$I$89,3,0)*0.475*44/12</f>
        <v>5.8057043445741279</v>
      </c>
      <c r="AB55" s="23">
        <f>EXP(-LN(2)/2)*AB54+(1-EXP(-LN(2)/2))/(LN(2)/2)*V55*Y55*VLOOKUP('Données projet'!$B$9,Paramètres!$A$1:$I$89,3,0)*0.475*44/12</f>
        <v>1.0999218370721113E-2</v>
      </c>
      <c r="AC55" s="24">
        <f t="shared" si="3"/>
        <v>7.2412537668542365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269.64423257646359</v>
      </c>
      <c r="AO55" s="62">
        <f t="shared" si="36"/>
        <v>161.0819079811821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7.4444444444444446</v>
      </c>
      <c r="BD55" s="13">
        <f>IF('Données projet'!$A$88&gt;35,BD54+BC55-BL54,IF(A55&lt;'Données projet'!$A$88,$BA$205^A55,IF(A55='Données projet'!$A$88,'Données projet'!$B$88,BD54+BC55-BL54)))</f>
        <v>208.11111111111117</v>
      </c>
      <c r="BE55" s="14">
        <f>BD55*VLOOKUP('Données projet'!$B$11,Paramètres!$A$1:$I$89,3,0)*VLOOKUP('Données projet'!$B$11,Paramètres!$A$1:$I$89,5,0)</f>
        <v>97.396000000000029</v>
      </c>
      <c r="BF55" s="14">
        <f t="shared" si="37"/>
        <v>26.340681034624453</v>
      </c>
      <c r="BG55" s="22">
        <f t="shared" si="7"/>
        <v>215.50805280197096</v>
      </c>
      <c r="BH55" s="62">
        <f t="shared" si="8"/>
        <v>508.84138613530428</v>
      </c>
      <c r="BI55" s="62">
        <f ca="1">AVERAGE(OFFSET($BH$3,0,0,'Données projet'!$E$11+1,1))-AVERAGE(OFFSET($H$3,0,0,'Données projet'!$E$11+1,1))</f>
        <v>90.797383835887558</v>
      </c>
      <c r="BJ55" s="62">
        <f t="shared" si="38"/>
        <v>104.31413437636684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0.62436238118260146</v>
      </c>
      <c r="BQ55" s="23">
        <f>EXP(-LN(2)/25)*BQ54+(1-EXP(-LN(2)/25))/(LN(2)/25)*Calculateur!BL55*Calculateur!BN55*VLOOKUP('Données projet'!$B$11,Paramètres!$A$1:$I$89,3,0)*0.475*44/12</f>
        <v>2.3056836418553179</v>
      </c>
      <c r="BR55" s="23">
        <f>EXP(-LN(2)/2)*BR54+(1-EXP(-LN(2)/2))/(LN(2)/2)*BL55*BO55*VLOOKUP('Données projet'!$B$11,Paramètres!$A$1:$I$89,3,0)*0.475*44/12</f>
        <v>1.4449063191525281E-3</v>
      </c>
      <c r="BS55" s="24">
        <f t="shared" si="9"/>
        <v>2.9314909293570719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9.75</v>
      </c>
      <c r="BY55" s="13">
        <f>IF('Données projet'!$A$114&gt;35,BY54+BX55-CG54,IF(A55&lt;'Données projet'!$A$114,$BV$205^A55,IF(A55='Données projet'!$A$114,'Données projet'!$B$114,BY54+BX55-CG54)))</f>
        <v>226</v>
      </c>
      <c r="BZ55" s="14">
        <f>BY55*VLOOKUP('Données projet'!$B$12,Paramètres!$A$1:$I$89,3,0)*VLOOKUP('Données projet'!$B$12,Paramètres!$A$1:$I$89,5,0)</f>
        <v>141.024</v>
      </c>
      <c r="CA55" s="14">
        <f t="shared" si="39"/>
        <v>36.531489925882461</v>
      </c>
      <c r="CB55" s="22">
        <f t="shared" si="10"/>
        <v>309.24247828757859</v>
      </c>
      <c r="CC55" s="62">
        <f t="shared" si="11"/>
        <v>602.57581162091196</v>
      </c>
      <c r="CD55" s="62">
        <f ca="1">AVERAGE(OFFSET($CC$3,0,0,'Données projet'!$E$12+1,1))-AVERAGE(OFFSET($H$3,0,0,'Données projet'!$E$12+1,1))</f>
        <v>179.44051550872138</v>
      </c>
      <c r="CE55" s="62">
        <f t="shared" si="40"/>
        <v>272.9500808380069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3.228779816839352</v>
      </c>
      <c r="CL55" s="23">
        <f>EXP(-LN(2)/25)*CL54+(1-EXP(-LN(2)/25))/(LN(2)/25)*Calculateur!CG55*Calculateur!CI55*VLOOKUP('Données projet'!$B$12,Paramètres!$A$1:$I$89,3,0)*0.475*44/12</f>
        <v>10.902777985358343</v>
      </c>
      <c r="CM55" s="23">
        <f>EXP(-LN(2)/2)*CM54+(1-EXP(-LN(2)/2))/(LN(2)/2)*CG55*CJ55*VLOOKUP('Données projet'!$B$12,Paramètres!$A$1:$I$89,3,0)*0.475*44/12</f>
        <v>1.0062384570456009E-2</v>
      </c>
      <c r="CN55" s="24">
        <f t="shared" si="12"/>
        <v>14.141620186768151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277.99999999999994</v>
      </c>
      <c r="CU55" s="18">
        <f>CT55*VLOOKUP('Données projet'!$B$13,Paramètres!$A$1:$I$89,3,0)*VLOOKUP('Données projet'!$B$13,Paramètres!$A$1:$I$89,5,0)</f>
        <v>151.78799999999998</v>
      </c>
      <c r="CV55" s="14">
        <f t="shared" si="41"/>
        <v>38.984634390835623</v>
      </c>
      <c r="CW55" s="22">
        <f t="shared" si="13"/>
        <v>332.26233823070532</v>
      </c>
      <c r="CX55" s="62">
        <f t="shared" si="14"/>
        <v>625.59567156403864</v>
      </c>
      <c r="CY55" s="62">
        <f ca="1">AVERAGE(OFFSET($CX$3,0,0,'Données projet'!$E$13+1,1))-AVERAGE(OFFSET($H$3,0,0,'Données projet'!$E$13+1,1))</f>
        <v>159.92263609041913</v>
      </c>
      <c r="CZ55" s="62">
        <f t="shared" si="42"/>
        <v>271.78119133009307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4.2329810774761194</v>
      </c>
      <c r="DG55" s="23">
        <f>EXP(-LN(2)/25)*DG54+(1-EXP(-LN(2)/25))/(LN(2)/25)*Calculateur!DB55*Calculateur!DD55*VLOOKUP('Données projet'!$B$13,Paramètres!$A$1:$I$89,3,0)*0.475*44/12</f>
        <v>15.900064901049129</v>
      </c>
      <c r="DH55" s="23">
        <f>EXP(-LN(2)/2)*DH54+(1-EXP(-LN(2)/2))/(LN(2)/2)*DB55*DE55*VLOOKUP('Données projet'!$B$13,Paramètres!$A$1:$I$89,3,0)*0.475*44/12</f>
        <v>1.3395838460915471E-2</v>
      </c>
      <c r="DI55" s="24">
        <f t="shared" si="15"/>
        <v>20.146441816986165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26.142857142857142</v>
      </c>
      <c r="DO55" s="13">
        <f>IF('Données projet'!$A$166&gt;35,DO54+DN55-DW54,IF(A55&lt;'Données projet'!$A$166,$DL$205^A55,IF(A55='Données projet'!$A$166,'Données projet'!$B$166,DO54+DN55-DW54)))</f>
        <v>357.85714285714289</v>
      </c>
      <c r="DP55" s="18">
        <f>DO55*VLOOKUP('Données projet'!$B$14,Paramètres!$A$1:$I$89,3,0)*VLOOKUP('Données projet'!$B$14,Paramètres!$A$1:$I$89,5,0)</f>
        <v>172.12928571428574</v>
      </c>
      <c r="DQ55" s="14">
        <f t="shared" si="43"/>
        <v>43.566566726366297</v>
      </c>
      <c r="DR55" s="22">
        <f t="shared" si="16"/>
        <v>375.67027633413562</v>
      </c>
      <c r="DS55" s="62">
        <f t="shared" si="17"/>
        <v>669.00360966746894</v>
      </c>
      <c r="DT55" s="62">
        <f ca="1">AVERAGE(OFFSET($DS$3,0,0,'Données projet'!$E$14+1,1))-AVERAGE(OFFSET($H$3,0,0,'Données projet'!$E$14+1,1))</f>
        <v>122.60806128440754</v>
      </c>
      <c r="DU55" s="62">
        <f t="shared" si="44"/>
        <v>73.937252053142004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>
        <f>EJ55*VLOOKUP('Données projet'!$B$15,Paramètres!$A$1:$I$89,3,0)*VLOOKUP('Données projet'!$B$15,Paramètres!$A$1:$I$89,5,0)</f>
        <v>0</v>
      </c>
      <c r="EL55" s="14" t="e">
        <f t="shared" si="45"/>
        <v>#NUM!</v>
      </c>
      <c r="EM55" s="22" t="e">
        <f t="shared" si="19"/>
        <v>#NUM!</v>
      </c>
      <c r="EN55" s="62" t="e">
        <f t="shared" si="20"/>
        <v>#NUM!</v>
      </c>
      <c r="EO55" s="62">
        <f ca="1">AVERAGE(OFFSET($EN$3,0,0,'Données projet'!$E$15+1,1))-AVERAGE(OFFSET($H$3,0,0,'Données projet'!$E$15+1,1))</f>
        <v>0</v>
      </c>
      <c r="EP55" s="62">
        <f t="shared" si="46"/>
        <v>0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382.55387448074327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1.3966156433005525</v>
      </c>
      <c r="AA56" s="23">
        <f>EXP(-LN(2)/25)*AA55+(1-EXP(-LN(2)/25))/(LN(2)/25)*Calculateur!V56*Calculateur!X56*VLOOKUP('Données projet'!$B$9,Paramètres!$A$1:$I$89,3,0)*0.475*44/12</f>
        <v>5.646947053963026</v>
      </c>
      <c r="AB56" s="23">
        <f>EXP(-LN(2)/2)*AB55+(1-EXP(-LN(2)/2))/(LN(2)/2)*V56*Y56*VLOOKUP('Données projet'!$B$9,Paramètres!$A$1:$I$89,3,0)*0.475*44/12</f>
        <v>7.7776218976885487E-3</v>
      </c>
      <c r="AC56" s="24">
        <f t="shared" si="3"/>
        <v>7.0513403191612669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269.64423257646359</v>
      </c>
      <c r="AO56" s="62">
        <f t="shared" si="36"/>
        <v>161.0819079811821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7.4444444444444446</v>
      </c>
      <c r="BD56" s="13">
        <f>IF('Données projet'!$A$88&gt;35,BD55+BC56-BL55,IF(A56&lt;'Données projet'!$A$88,$BA$205^A56,IF(A56='Données projet'!$A$88,'Données projet'!$B$88,BD55+BC56-BL55)))</f>
        <v>215.55555555555563</v>
      </c>
      <c r="BE56" s="14">
        <f>BD56*VLOOKUP('Données projet'!$B$11,Paramètres!$A$1:$I$89,3,0)*VLOOKUP('Données projet'!$B$11,Paramètres!$A$1:$I$89,5,0)</f>
        <v>100.88000000000004</v>
      </c>
      <c r="BF56" s="14">
        <f t="shared" si="37"/>
        <v>27.171538390191962</v>
      </c>
      <c r="BG56" s="22">
        <f t="shared" si="7"/>
        <v>223.02309602958439</v>
      </c>
      <c r="BH56" s="62">
        <f t="shared" si="8"/>
        <v>516.35642936291765</v>
      </c>
      <c r="BI56" s="62">
        <f ca="1">AVERAGE(OFFSET($BH$3,0,0,'Données projet'!$E$11+1,1))-AVERAGE(OFFSET($H$3,0,0,'Données projet'!$E$11+1,1))</f>
        <v>90.797383835887558</v>
      </c>
      <c r="BJ56" s="62">
        <f t="shared" si="38"/>
        <v>104.31413437636684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0.61211901571105998</v>
      </c>
      <c r="BQ56" s="23">
        <f>EXP(-LN(2)/25)*BQ55+(1-EXP(-LN(2)/25))/(LN(2)/25)*Calculateur!BL56*Calculateur!BN56*VLOOKUP('Données projet'!$B$11,Paramètres!$A$1:$I$89,3,0)*0.475*44/12</f>
        <v>2.2426346014181511</v>
      </c>
      <c r="BR56" s="23">
        <f>EXP(-LN(2)/2)*BR55+(1-EXP(-LN(2)/2))/(LN(2)/2)*BL56*BO56*VLOOKUP('Données projet'!$B$11,Paramètres!$A$1:$I$89,3,0)*0.475*44/12</f>
        <v>1.0217030564520465E-3</v>
      </c>
      <c r="BS56" s="24">
        <f t="shared" si="9"/>
        <v>2.8557753201856628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9.75</v>
      </c>
      <c r="BY56" s="13">
        <f>IF('Données projet'!$A$114&gt;35,BY55+BX56-CG55,IF(A56&lt;'Données projet'!$A$114,$BV$205^A56,IF(A56='Données projet'!$A$114,'Données projet'!$B$114,BY55+BX56-CG55)))</f>
        <v>235.75</v>
      </c>
      <c r="BZ56" s="14">
        <f>BY56*VLOOKUP('Données projet'!$B$12,Paramètres!$A$1:$I$89,3,0)*VLOOKUP('Données projet'!$B$12,Paramètres!$A$1:$I$89,5,0)</f>
        <v>147.108</v>
      </c>
      <c r="CA56" s="14">
        <f t="shared" si="39"/>
        <v>37.920625436598897</v>
      </c>
      <c r="CB56" s="22">
        <f t="shared" si="10"/>
        <v>322.25818930207646</v>
      </c>
      <c r="CC56" s="62">
        <f t="shared" si="11"/>
        <v>615.59152263540977</v>
      </c>
      <c r="CD56" s="62">
        <f ca="1">AVERAGE(OFFSET($CC$3,0,0,'Données projet'!$E$12+1,1))-AVERAGE(OFFSET($H$3,0,0,'Données projet'!$E$12+1,1))</f>
        <v>179.44051550872138</v>
      </c>
      <c r="CE56" s="62">
        <f t="shared" si="40"/>
        <v>272.9500808380069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3.1654654139923624</v>
      </c>
      <c r="CL56" s="23">
        <f>EXP(-LN(2)/25)*CL55+(1-EXP(-LN(2)/25))/(LN(2)/25)*Calculateur!CG56*Calculateur!CI56*VLOOKUP('Données projet'!$B$12,Paramètres!$A$1:$I$89,3,0)*0.475*44/12</f>
        <v>10.604640947996543</v>
      </c>
      <c r="CM56" s="23">
        <f>EXP(-LN(2)/2)*CM55+(1-EXP(-LN(2)/2))/(LN(2)/2)*CG56*CJ56*VLOOKUP('Données projet'!$B$12,Paramètres!$A$1:$I$89,3,0)*0.475*44/12</f>
        <v>7.1151803646763295E-3</v>
      </c>
      <c r="CN56" s="24">
        <f t="shared" si="12"/>
        <v>13.777221542353582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277.99999999999994</v>
      </c>
      <c r="CU56" s="18">
        <f>CT56*VLOOKUP('Données projet'!$B$13,Paramètres!$A$1:$I$89,3,0)*VLOOKUP('Données projet'!$B$13,Paramètres!$A$1:$I$89,5,0)</f>
        <v>151.78799999999998</v>
      </c>
      <c r="CV56" s="14">
        <f t="shared" si="41"/>
        <v>38.984634390835623</v>
      </c>
      <c r="CW56" s="22">
        <f t="shared" si="13"/>
        <v>332.26233823070532</v>
      </c>
      <c r="CX56" s="62">
        <f t="shared" si="14"/>
        <v>625.59567156403864</v>
      </c>
      <c r="CY56" s="62">
        <f ca="1">AVERAGE(OFFSET($CX$3,0,0,'Données projet'!$E$13+1,1))-AVERAGE(OFFSET($H$3,0,0,'Données projet'!$E$13+1,1))</f>
        <v>159.92263609041913</v>
      </c>
      <c r="CZ56" s="62">
        <f t="shared" si="42"/>
        <v>271.78119133009307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4.1499749004103323</v>
      </c>
      <c r="DG56" s="23">
        <f>EXP(-LN(2)/25)*DG55+(1-EXP(-LN(2)/25))/(LN(2)/25)*Calculateur!DB56*Calculateur!DD56*VLOOKUP('Données projet'!$B$13,Paramètres!$A$1:$I$89,3,0)*0.475*44/12</f>
        <v>15.465276790181868</v>
      </c>
      <c r="DH56" s="23">
        <f>EXP(-LN(2)/2)*DH55+(1-EXP(-LN(2)/2))/(LN(2)/2)*DB56*DE56*VLOOKUP('Données projet'!$B$13,Paramètres!$A$1:$I$89,3,0)*0.475*44/12</f>
        <v>9.4722882153928933E-3</v>
      </c>
      <c r="DI56" s="24">
        <f t="shared" si="15"/>
        <v>19.624723978807591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>
        <f>VLOOKUP(A56,'Données projet'!$A$165:$I$185,2,0)</f>
        <v>384</v>
      </c>
      <c r="DM56" s="13">
        <f>VLOOKUP(A56,'Données projet'!$A$165:$I$185,9,0)</f>
        <v>26.142857142857142</v>
      </c>
      <c r="DN56" s="13">
        <f t="array" ref="DN56">INDEX(DM:DM,MIN(IF(ISNUMBER(DM56:DM252),ROW(DM56:DM252),"")))</f>
        <v>26.142857142857142</v>
      </c>
      <c r="DO56" s="13">
        <f>IF('Données projet'!$A$166&gt;35,DO55+DN56-DW55,IF(A56&lt;'Données projet'!$A$166,$DL$205^A56,IF(A56='Données projet'!$A$166,'Données projet'!$B$166,DO55+DN56-DW55)))</f>
        <v>384.00000000000006</v>
      </c>
      <c r="DP56" s="18">
        <f>DO56*VLOOKUP('Données projet'!$B$14,Paramètres!$A$1:$I$89,3,0)*VLOOKUP('Données projet'!$B$14,Paramètres!$A$1:$I$89,5,0)</f>
        <v>184.70400000000004</v>
      </c>
      <c r="DQ56" s="14">
        <f t="shared" si="43"/>
        <v>46.367163004184142</v>
      </c>
      <c r="DR56" s="22">
        <f t="shared" si="16"/>
        <v>402.44894223228738</v>
      </c>
      <c r="DS56" s="62">
        <f t="shared" si="17"/>
        <v>695.78227556562069</v>
      </c>
      <c r="DT56" s="62">
        <f ca="1">AVERAGE(OFFSET($DS$3,0,0,'Données projet'!$E$14+1,1))-AVERAGE(OFFSET($H$3,0,0,'Données projet'!$E$14+1,1))</f>
        <v>122.60806128440754</v>
      </c>
      <c r="DU56" s="62">
        <f t="shared" si="44"/>
        <v>73.937252053142004</v>
      </c>
      <c r="DV56" s="16">
        <f>IF(ISNA(VLOOKUP(A56,'Données projet'!$A$165:$I$185,3,0)),0,VLOOKUP(A56,'Données projet'!$A$165:$I$185,3,0))</f>
        <v>3</v>
      </c>
      <c r="DW56" s="16">
        <f>IF(ISNA(VLOOKUP(A56,'Données projet'!$A$165:$I$185,4,0)),0,VLOOKUP(A56,'Données projet'!$A$165:$I$185,4,0))</f>
        <v>75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>
        <f>EJ56*VLOOKUP('Données projet'!$B$15,Paramètres!$A$1:$I$89,3,0)*VLOOKUP('Données projet'!$B$15,Paramètres!$A$1:$I$89,5,0)</f>
        <v>0</v>
      </c>
      <c r="EL56" s="14" t="e">
        <f t="shared" si="45"/>
        <v>#NUM!</v>
      </c>
      <c r="EM56" s="22" t="e">
        <f t="shared" si="19"/>
        <v>#NUM!</v>
      </c>
      <c r="EN56" s="62" t="e">
        <f t="shared" si="20"/>
        <v>#NUM!</v>
      </c>
      <c r="EO56" s="62">
        <f ca="1">AVERAGE(OFFSET($EN$3,0,0,'Données projet'!$E$15+1,1))-AVERAGE(OFFSET($H$3,0,0,'Données projet'!$E$15+1,1))</f>
        <v>0</v>
      </c>
      <c r="EP56" s="62">
        <f t="shared" si="46"/>
        <v>0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382.55387448074327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1.3692288623868578</v>
      </c>
      <c r="AA57" s="23">
        <f>EXP(-LN(2)/25)*AA56+(1-EXP(-LN(2)/25))/(LN(2)/25)*Calculateur!V57*Calculateur!X57*VLOOKUP('Données projet'!$B$9,Paramètres!$A$1:$I$89,3,0)*0.475*44/12</f>
        <v>5.4925309898123675</v>
      </c>
      <c r="AB57" s="23">
        <f>EXP(-LN(2)/2)*AB56+(1-EXP(-LN(2)/2))/(LN(2)/2)*V57*Y57*VLOOKUP('Données projet'!$B$9,Paramètres!$A$1:$I$89,3,0)*0.475*44/12</f>
        <v>5.4996091853605576E-3</v>
      </c>
      <c r="AC57" s="24">
        <f t="shared" si="3"/>
        <v>6.8672594613845854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269.64423257646359</v>
      </c>
      <c r="AO57" s="62">
        <f t="shared" si="36"/>
        <v>161.0819079811821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223</v>
      </c>
      <c r="BB57" s="13">
        <f>VLOOKUP(A57,'Données projet'!$A$87:$I$107,9,0)</f>
        <v>7.4444444444444446</v>
      </c>
      <c r="BC57" s="13">
        <f t="array" ref="BC57">INDEX(BB:BB,MIN(IF(ISNUMBER(BB57:BB253),ROW(BB57:BB253),"")))</f>
        <v>7.4444444444444446</v>
      </c>
      <c r="BD57" s="13">
        <f>IF('Données projet'!$A$88&gt;35,BD56+BC57-BL56,IF(A57&lt;'Données projet'!$A$88,$BA$205^A57,IF(A57='Données projet'!$A$88,'Données projet'!$B$88,BD56+BC57-BL56)))</f>
        <v>223.00000000000009</v>
      </c>
      <c r="BE57" s="14">
        <f>BD57*VLOOKUP('Données projet'!$B$11,Paramètres!$A$1:$I$89,3,0)*VLOOKUP('Données projet'!$B$11,Paramètres!$A$1:$I$89,5,0)</f>
        <v>104.36400000000005</v>
      </c>
      <c r="BF57" s="14">
        <f t="shared" si="37"/>
        <v>27.999061703554649</v>
      </c>
      <c r="BG57" s="22">
        <f t="shared" si="7"/>
        <v>230.53233246702442</v>
      </c>
      <c r="BH57" s="62">
        <f t="shared" si="8"/>
        <v>523.86566580035776</v>
      </c>
      <c r="BI57" s="62">
        <f ca="1">AVERAGE(OFFSET($BH$3,0,0,'Données projet'!$E$11+1,1))-AVERAGE(OFFSET($H$3,0,0,'Données projet'!$E$11+1,1))</f>
        <v>90.797383835887558</v>
      </c>
      <c r="BJ57" s="62">
        <f t="shared" si="38"/>
        <v>104.31413437636684</v>
      </c>
      <c r="BK57" s="16">
        <f>IF(ISNA(VLOOKUP(A57,'Données projet'!$A$87:$I$107,3,0)),0,VLOOKUP(A57,'Données projet'!$A$87:$I$107,3,0))</f>
        <v>5</v>
      </c>
      <c r="BL57" s="16">
        <f>IF(ISNA(VLOOKUP(A57,'Données projet'!$A$87:$I$107,4,0)),0,VLOOKUP(A57,'Données projet'!$A$87:$I$107,4,0))</f>
        <v>50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0.60011573516869987</v>
      </c>
      <c r="BQ57" s="23">
        <f>EXP(-LN(2)/25)*BQ56+(1-EXP(-LN(2)/25))/(LN(2)/25)*Calculateur!BL57*Calculateur!BN57*VLOOKUP('Données projet'!$B$11,Paramètres!$A$1:$I$89,3,0)*0.475*44/12</f>
        <v>2.1813096403073438</v>
      </c>
      <c r="BR57" s="23">
        <f>EXP(-LN(2)/2)*BR56+(1-EXP(-LN(2)/2))/(LN(2)/2)*BL57*BO57*VLOOKUP('Données projet'!$B$11,Paramètres!$A$1:$I$89,3,0)*0.475*44/12</f>
        <v>7.2245315957626406E-4</v>
      </c>
      <c r="BS57" s="24">
        <f t="shared" si="9"/>
        <v>2.7821478286356198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9.75</v>
      </c>
      <c r="BY57" s="13">
        <f>IF('Données projet'!$A$114&gt;35,BY56+BX57-CG56,IF(A57&lt;'Données projet'!$A$114,$BV$205^A57,IF(A57='Données projet'!$A$114,'Données projet'!$B$114,BY56+BX57-CG56)))</f>
        <v>245.5</v>
      </c>
      <c r="BZ57" s="14">
        <f>BY57*VLOOKUP('Données projet'!$B$12,Paramètres!$A$1:$I$89,3,0)*VLOOKUP('Données projet'!$B$12,Paramètres!$A$1:$I$89,5,0)</f>
        <v>153.19199999999998</v>
      </c>
      <c r="CA57" s="14">
        <f t="shared" si="39"/>
        <v>39.303087713366921</v>
      </c>
      <c r="CB57" s="22">
        <f t="shared" si="10"/>
        <v>335.2622777674473</v>
      </c>
      <c r="CC57" s="62">
        <f t="shared" si="11"/>
        <v>628.59561110078062</v>
      </c>
      <c r="CD57" s="62">
        <f ca="1">AVERAGE(OFFSET($CC$3,0,0,'Données projet'!$E$12+1,1))-AVERAGE(OFFSET($H$3,0,0,'Données projet'!$E$12+1,1))</f>
        <v>179.44051550872138</v>
      </c>
      <c r="CE57" s="62">
        <f t="shared" si="40"/>
        <v>272.9500808380069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3.1033925679672296</v>
      </c>
      <c r="CL57" s="23">
        <f>EXP(-LN(2)/25)*CL56+(1-EXP(-LN(2)/25))/(LN(2)/25)*Calculateur!CG57*Calculateur!CI57*VLOOKUP('Données projet'!$B$12,Paramètres!$A$1:$I$89,3,0)*0.475*44/12</f>
        <v>10.314656483599748</v>
      </c>
      <c r="CM57" s="23">
        <f>EXP(-LN(2)/2)*CM56+(1-EXP(-LN(2)/2))/(LN(2)/2)*CG57*CJ57*VLOOKUP('Données projet'!$B$12,Paramètres!$A$1:$I$89,3,0)*0.475*44/12</f>
        <v>5.0311922852280047E-3</v>
      </c>
      <c r="CN57" s="24">
        <f t="shared" si="12"/>
        <v>13.423080243852207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277.99999999999994</v>
      </c>
      <c r="CU57" s="18">
        <f>CT57*VLOOKUP('Données projet'!$B$13,Paramètres!$A$1:$I$89,3,0)*VLOOKUP('Données projet'!$B$13,Paramètres!$A$1:$I$89,5,0)</f>
        <v>151.78799999999998</v>
      </c>
      <c r="CV57" s="14">
        <f t="shared" si="41"/>
        <v>38.984634390835623</v>
      </c>
      <c r="CW57" s="22">
        <f t="shared" si="13"/>
        <v>332.26233823070532</v>
      </c>
      <c r="CX57" s="62">
        <f t="shared" si="14"/>
        <v>625.59567156403864</v>
      </c>
      <c r="CY57" s="62">
        <f ca="1">AVERAGE(OFFSET($CX$3,0,0,'Données projet'!$E$13+1,1))-AVERAGE(OFFSET($H$3,0,0,'Données projet'!$E$13+1,1))</f>
        <v>159.92263609041913</v>
      </c>
      <c r="CZ57" s="62">
        <f t="shared" si="42"/>
        <v>271.78119133009307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4.0685964238480361</v>
      </c>
      <c r="DG57" s="23">
        <f>EXP(-LN(2)/25)*DG56+(1-EXP(-LN(2)/25))/(LN(2)/25)*Calculateur!DB57*Calculateur!DD57*VLOOKUP('Données projet'!$B$13,Paramètres!$A$1:$I$89,3,0)*0.475*44/12</f>
        <v>15.042377983070784</v>
      </c>
      <c r="DH57" s="23">
        <f>EXP(-LN(2)/2)*DH56+(1-EXP(-LN(2)/2))/(LN(2)/2)*DB57*DE57*VLOOKUP('Données projet'!$B$13,Paramètres!$A$1:$I$89,3,0)*0.475*44/12</f>
        <v>6.6979192304577355E-3</v>
      </c>
      <c r="DI57" s="24">
        <f t="shared" si="15"/>
        <v>19.117672326149279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26.857142857142858</v>
      </c>
      <c r="DO57" s="13">
        <f>IF('Données projet'!$A$166&gt;35,DO56+DN57-DW56,IF(A57&lt;'Données projet'!$A$166,$DL$205^A57,IF(A57='Données projet'!$A$166,'Données projet'!$B$166,DO56+DN57-DW56)))</f>
        <v>335.85714285714289</v>
      </c>
      <c r="DP57" s="18">
        <f>DO57*VLOOKUP('Données projet'!$B$14,Paramètres!$A$1:$I$89,3,0)*VLOOKUP('Données projet'!$B$14,Paramètres!$A$1:$I$89,5,0)</f>
        <v>161.54728571428575</v>
      </c>
      <c r="DQ57" s="14">
        <f t="shared" si="43"/>
        <v>41.191314298866409</v>
      </c>
      <c r="DR57" s="22">
        <f t="shared" si="16"/>
        <v>353.10306168957328</v>
      </c>
      <c r="DS57" s="62">
        <f t="shared" si="17"/>
        <v>646.43639502290659</v>
      </c>
      <c r="DT57" s="62">
        <f ca="1">AVERAGE(OFFSET($DS$3,0,0,'Données projet'!$E$14+1,1))-AVERAGE(OFFSET($H$3,0,0,'Données projet'!$E$14+1,1))</f>
        <v>122.60806128440754</v>
      </c>
      <c r="DU57" s="62">
        <f t="shared" si="44"/>
        <v>73.937252053142004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>
        <f>EJ57*VLOOKUP('Données projet'!$B$15,Paramètres!$A$1:$I$89,3,0)*VLOOKUP('Données projet'!$B$15,Paramètres!$A$1:$I$89,5,0)</f>
        <v>0</v>
      </c>
      <c r="EL57" s="14" t="e">
        <f t="shared" si="45"/>
        <v>#NUM!</v>
      </c>
      <c r="EM57" s="22" t="e">
        <f t="shared" si="19"/>
        <v>#NUM!</v>
      </c>
      <c r="EN57" s="62" t="e">
        <f t="shared" si="20"/>
        <v>#NUM!</v>
      </c>
      <c r="EO57" s="62">
        <f ca="1">AVERAGE(OFFSET($EN$3,0,0,'Données projet'!$E$15+1,1))-AVERAGE(OFFSET($H$3,0,0,'Données projet'!$E$15+1,1))</f>
        <v>0</v>
      </c>
      <c r="EP57" s="62">
        <f t="shared" si="46"/>
        <v>0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382.55387448074327</v>
      </c>
      <c r="T58" s="62">
        <f t="shared" si="34"/>
        <v>476.29465646955543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1.3423791195425936</v>
      </c>
      <c r="AA58" s="23">
        <f>EXP(-LN(2)/25)*AA57+(1-EXP(-LN(2)/25))/(LN(2)/25)*Calculateur!V58*Calculateur!X58*VLOOKUP('Données projet'!$B$9,Paramètres!$A$1:$I$89,3,0)*0.475*44/12</f>
        <v>5.3423374410562969</v>
      </c>
      <c r="AB58" s="23">
        <f>EXP(-LN(2)/2)*AB57+(1-EXP(-LN(2)/2))/(LN(2)/2)*V58*Y58*VLOOKUP('Données projet'!$B$9,Paramètres!$A$1:$I$89,3,0)*0.475*44/12</f>
        <v>3.8888109488442748E-3</v>
      </c>
      <c r="AC58" s="24">
        <f t="shared" si="3"/>
        <v>6.6886053715477347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269.64423257646359</v>
      </c>
      <c r="AO58" s="62">
        <f t="shared" si="36"/>
        <v>161.0819079811821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181.00000000000009</v>
      </c>
      <c r="BE58" s="14">
        <f>BD58*VLOOKUP('Données projet'!$B$11,Paramètres!$A$1:$I$89,3,0)*VLOOKUP('Données projet'!$B$11,Paramètres!$A$1:$I$89,5,0)</f>
        <v>84.708000000000041</v>
      </c>
      <c r="BF58" s="14">
        <f t="shared" si="37"/>
        <v>23.284455653273707</v>
      </c>
      <c r="BG58" s="22">
        <f t="shared" si="7"/>
        <v>188.08686026278508</v>
      </c>
      <c r="BH58" s="62">
        <f t="shared" si="8"/>
        <v>481.42019359611839</v>
      </c>
      <c r="BI58" s="62">
        <f ca="1">AVERAGE(OFFSET($BH$3,0,0,'Données projet'!$E$11+1,1))-AVERAGE(OFFSET($H$3,0,0,'Données projet'!$E$11+1,1))</f>
        <v>90.797383835887558</v>
      </c>
      <c r="BJ58" s="62">
        <f t="shared" si="38"/>
        <v>104.31413437636684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0.58834783163649718</v>
      </c>
      <c r="BQ58" s="23">
        <f>EXP(-LN(2)/25)*BQ57+(1-EXP(-LN(2)/25))/(LN(2)/25)*Calculateur!BL58*Calculateur!BN58*VLOOKUP('Données projet'!$B$11,Paramètres!$A$1:$I$89,3,0)*0.475*44/12</f>
        <v>2.121661613483051</v>
      </c>
      <c r="BR58" s="23">
        <f>EXP(-LN(2)/2)*BR57+(1-EXP(-LN(2)/2))/(LN(2)/2)*BL58*BO58*VLOOKUP('Données projet'!$B$11,Paramètres!$A$1:$I$89,3,0)*0.475*44/12</f>
        <v>5.1085152822602324E-4</v>
      </c>
      <c r="BS58" s="24">
        <f t="shared" si="9"/>
        <v>2.7105202966477742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9.75</v>
      </c>
      <c r="BY58" s="13">
        <f>IF('Données projet'!$A$114&gt;35,BY57+BX58-CG57,IF(A58&lt;'Données projet'!$A$114,$BV$205^A58,IF(A58='Données projet'!$A$114,'Données projet'!$B$114,BY57+BX58-CG57)))</f>
        <v>255.25</v>
      </c>
      <c r="BZ58" s="14">
        <f>BY58*VLOOKUP('Données projet'!$B$12,Paramètres!$A$1:$I$89,3,0)*VLOOKUP('Données projet'!$B$12,Paramètres!$A$1:$I$89,5,0)</f>
        <v>159.27600000000001</v>
      </c>
      <c r="CA58" s="14">
        <f t="shared" si="39"/>
        <v>40.679172107249002</v>
      </c>
      <c r="CB58" s="22">
        <f t="shared" si="10"/>
        <v>348.25525808679203</v>
      </c>
      <c r="CC58" s="62">
        <f t="shared" si="11"/>
        <v>641.58859142012534</v>
      </c>
      <c r="CD58" s="62">
        <f ca="1">AVERAGE(OFFSET($CC$3,0,0,'Données projet'!$E$12+1,1))-AVERAGE(OFFSET($H$3,0,0,'Données projet'!$E$12+1,1))</f>
        <v>179.44051550872138</v>
      </c>
      <c r="CE58" s="62">
        <f t="shared" si="40"/>
        <v>272.9500808380069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3.0425369325919522</v>
      </c>
      <c r="CL58" s="23">
        <f>EXP(-LN(2)/25)*CL57+(1-EXP(-LN(2)/25))/(LN(2)/25)*Calculateur!CG58*Calculateur!CI58*VLOOKUP('Données projet'!$B$12,Paramètres!$A$1:$I$89,3,0)*0.475*44/12</f>
        <v>10.032601659631503</v>
      </c>
      <c r="CM58" s="23">
        <f>EXP(-LN(2)/2)*CM57+(1-EXP(-LN(2)/2))/(LN(2)/2)*CG58*CJ58*VLOOKUP('Données projet'!$B$12,Paramètres!$A$1:$I$89,3,0)*0.475*44/12</f>
        <v>3.5575901823381648E-3</v>
      </c>
      <c r="CN58" s="24">
        <f t="shared" si="12"/>
        <v>13.078696182405793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277.99999999999994</v>
      </c>
      <c r="CU58" s="18">
        <f>CT58*VLOOKUP('Données projet'!$B$13,Paramètres!$A$1:$I$89,3,0)*VLOOKUP('Données projet'!$B$13,Paramètres!$A$1:$I$89,5,0)</f>
        <v>151.78799999999998</v>
      </c>
      <c r="CV58" s="14">
        <f t="shared" si="41"/>
        <v>38.984634390835623</v>
      </c>
      <c r="CW58" s="22">
        <f t="shared" si="13"/>
        <v>332.26233823070532</v>
      </c>
      <c r="CX58" s="62">
        <f t="shared" si="14"/>
        <v>625.59567156403864</v>
      </c>
      <c r="CY58" s="62">
        <f ca="1">AVERAGE(OFFSET($CX$3,0,0,'Données projet'!$E$13+1,1))-AVERAGE(OFFSET($H$3,0,0,'Données projet'!$E$13+1,1))</f>
        <v>159.92263609041913</v>
      </c>
      <c r="CZ58" s="62">
        <f t="shared" si="42"/>
        <v>271.78119133009307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3.9888137295751571</v>
      </c>
      <c r="DG58" s="23">
        <f>EXP(-LN(2)/25)*DG57+(1-EXP(-LN(2)/25))/(LN(2)/25)*Calculateur!DB58*Calculateur!DD58*VLOOKUP('Données projet'!$B$13,Paramètres!$A$1:$I$89,3,0)*0.475*44/12</f>
        <v>14.631043366079435</v>
      </c>
      <c r="DH58" s="23">
        <f>EXP(-LN(2)/2)*DH57+(1-EXP(-LN(2)/2))/(LN(2)/2)*DB58*DE58*VLOOKUP('Données projet'!$B$13,Paramètres!$A$1:$I$89,3,0)*0.475*44/12</f>
        <v>4.7361441076964467E-3</v>
      </c>
      <c r="DI58" s="24">
        <f t="shared" si="15"/>
        <v>18.624593239762287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26.857142857142858</v>
      </c>
      <c r="DO58" s="13">
        <f>IF('Données projet'!$A$166&gt;35,DO57+DN58-DW57,IF(A58&lt;'Données projet'!$A$166,$DL$205^A58,IF(A58='Données projet'!$A$166,'Données projet'!$B$166,DO57+DN58-DW57)))</f>
        <v>362.71428571428572</v>
      </c>
      <c r="DP58" s="18">
        <f>DO58*VLOOKUP('Données projet'!$B$14,Paramètres!$A$1:$I$89,3,0)*VLOOKUP('Données projet'!$B$14,Paramètres!$A$1:$I$89,5,0)</f>
        <v>174.46557142857142</v>
      </c>
      <c r="DQ58" s="14">
        <f t="shared" si="43"/>
        <v>44.088648762553667</v>
      </c>
      <c r="DR58" s="22">
        <f t="shared" si="16"/>
        <v>380.64860016620952</v>
      </c>
      <c r="DS58" s="62">
        <f t="shared" si="17"/>
        <v>673.98193349954283</v>
      </c>
      <c r="DT58" s="62">
        <f ca="1">AVERAGE(OFFSET($DS$3,0,0,'Données projet'!$E$14+1,1))-AVERAGE(OFFSET($H$3,0,0,'Données projet'!$E$14+1,1))</f>
        <v>122.60806128440754</v>
      </c>
      <c r="DU58" s="62">
        <f t="shared" si="44"/>
        <v>73.937252053142004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>
        <f>EJ58*VLOOKUP('Données projet'!$B$15,Paramètres!$A$1:$I$89,3,0)*VLOOKUP('Données projet'!$B$15,Paramètres!$A$1:$I$89,5,0)</f>
        <v>0</v>
      </c>
      <c r="EL58" s="14" t="e">
        <f t="shared" si="45"/>
        <v>#NUM!</v>
      </c>
      <c r="EM58" s="22" t="e">
        <f t="shared" si="19"/>
        <v>#NUM!</v>
      </c>
      <c r="EN58" s="62" t="e">
        <f t="shared" si="20"/>
        <v>#NUM!</v>
      </c>
      <c r="EO58" s="62">
        <f ca="1">AVERAGE(OFFSET($EN$3,0,0,'Données projet'!$E$15+1,1))-AVERAGE(OFFSET($H$3,0,0,'Données projet'!$E$15+1,1))</f>
        <v>0</v>
      </c>
      <c r="EP58" s="62">
        <f t="shared" si="46"/>
        <v>0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382.55387448074327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1.3160558837787795</v>
      </c>
      <c r="AA59" s="23">
        <f>EXP(-LN(2)/25)*AA58+(1-EXP(-LN(2)/25))/(LN(2)/25)*Calculateur!V59*Calculateur!X59*VLOOKUP('Données projet'!$B$9,Paramètres!$A$1:$I$89,3,0)*0.475*44/12</f>
        <v>5.1962509427892964</v>
      </c>
      <c r="AB59" s="23">
        <f>EXP(-LN(2)/2)*AB58+(1-EXP(-LN(2)/2))/(LN(2)/2)*V59*Y59*VLOOKUP('Données projet'!$B$9,Paramètres!$A$1:$I$89,3,0)*0.475*44/12</f>
        <v>2.7498045926802792E-3</v>
      </c>
      <c r="AC59" s="24">
        <f t="shared" si="3"/>
        <v>6.5150566311607561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269.64423257646359</v>
      </c>
      <c r="AO59" s="62">
        <f t="shared" si="36"/>
        <v>161.0819079811821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</v>
      </c>
      <c r="BD59" s="13">
        <f>IF('Données projet'!$A$88&gt;35,BD58+BC59-BL58,IF(A59&lt;'Données projet'!$A$88,$BA$205^A59,IF(A59='Données projet'!$A$88,'Données projet'!$B$88,BD58+BC59-BL58)))</f>
        <v>189.00000000000009</v>
      </c>
      <c r="BE59" s="14">
        <f>BD59*VLOOKUP('Données projet'!$B$11,Paramètres!$A$1:$I$89,3,0)*VLOOKUP('Données projet'!$B$11,Paramètres!$A$1:$I$89,5,0)</f>
        <v>88.452000000000055</v>
      </c>
      <c r="BF59" s="14">
        <f t="shared" si="37"/>
        <v>24.191508526943977</v>
      </c>
      <c r="BG59" s="22">
        <f t="shared" si="7"/>
        <v>196.18744401776087</v>
      </c>
      <c r="BH59" s="62">
        <f t="shared" si="8"/>
        <v>489.52077735109418</v>
      </c>
      <c r="BI59" s="62">
        <f ca="1">AVERAGE(OFFSET($BH$3,0,0,'Données projet'!$E$11+1,1))-AVERAGE(OFFSET($H$3,0,0,'Données projet'!$E$11+1,1))</f>
        <v>90.797383835887558</v>
      </c>
      <c r="BJ59" s="62">
        <f t="shared" si="38"/>
        <v>104.31413437636684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0.5768106895148486</v>
      </c>
      <c r="BQ59" s="23">
        <f>EXP(-LN(2)/25)*BQ58+(1-EXP(-LN(2)/25))/(LN(2)/25)*Calculateur!BL59*Calculateur!BN59*VLOOKUP('Données projet'!$B$11,Paramètres!$A$1:$I$89,3,0)*0.475*44/12</f>
        <v>2.0636446650890217</v>
      </c>
      <c r="BR59" s="23">
        <f>EXP(-LN(2)/2)*BR58+(1-EXP(-LN(2)/2))/(LN(2)/2)*BL59*BO59*VLOOKUP('Données projet'!$B$11,Paramètres!$A$1:$I$89,3,0)*0.475*44/12</f>
        <v>3.6122657978813203E-4</v>
      </c>
      <c r="BS59" s="24">
        <f t="shared" si="9"/>
        <v>2.6408165811836581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9.75</v>
      </c>
      <c r="BY59" s="13">
        <f>IF('Données projet'!$A$114&gt;35,BY58+BX59-CG58,IF(A59&lt;'Données projet'!$A$114,$BV$205^A59,IF(A59='Données projet'!$A$114,'Données projet'!$B$114,BY58+BX59-CG58)))</f>
        <v>265</v>
      </c>
      <c r="BZ59" s="14">
        <f>BY59*VLOOKUP('Données projet'!$B$12,Paramètres!$A$1:$I$89,3,0)*VLOOKUP('Données projet'!$B$12,Paramètres!$A$1:$I$89,5,0)</f>
        <v>165.35999999999999</v>
      </c>
      <c r="CA59" s="14">
        <f t="shared" si="39"/>
        <v>42.04915012784209</v>
      </c>
      <c r="CB59" s="22">
        <f t="shared" si="10"/>
        <v>361.2376031393249</v>
      </c>
      <c r="CC59" s="62">
        <f t="shared" si="11"/>
        <v>654.57093647265822</v>
      </c>
      <c r="CD59" s="62">
        <f ca="1">AVERAGE(OFFSET($CC$3,0,0,'Données projet'!$E$12+1,1))-AVERAGE(OFFSET($H$3,0,0,'Données projet'!$E$12+1,1))</f>
        <v>179.44051550872138</v>
      </c>
      <c r="CE59" s="62">
        <f t="shared" si="40"/>
        <v>272.9500808380069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2.9828746391081116</v>
      </c>
      <c r="CL59" s="23">
        <f>EXP(-LN(2)/25)*CL58+(1-EXP(-LN(2)/25))/(LN(2)/25)*Calculateur!CG59*Calculateur!CI59*VLOOKUP('Données projet'!$B$12,Paramètres!$A$1:$I$89,3,0)*0.475*44/12</f>
        <v>9.7582596396572878</v>
      </c>
      <c r="CM59" s="23">
        <f>EXP(-LN(2)/2)*CM58+(1-EXP(-LN(2)/2))/(LN(2)/2)*CG59*CJ59*VLOOKUP('Données projet'!$B$12,Paramètres!$A$1:$I$89,3,0)*0.475*44/12</f>
        <v>2.5155961426140024E-3</v>
      </c>
      <c r="CN59" s="24">
        <f t="shared" si="12"/>
        <v>12.743649874908012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277.99999999999994</v>
      </c>
      <c r="CU59" s="18">
        <f>CT59*VLOOKUP('Données projet'!$B$13,Paramètres!$A$1:$I$89,3,0)*VLOOKUP('Données projet'!$B$13,Paramètres!$A$1:$I$89,5,0)</f>
        <v>151.78799999999998</v>
      </c>
      <c r="CV59" s="14">
        <f t="shared" si="41"/>
        <v>38.984634390835623</v>
      </c>
      <c r="CW59" s="22">
        <f t="shared" si="13"/>
        <v>332.26233823070532</v>
      </c>
      <c r="CX59" s="62">
        <f t="shared" si="14"/>
        <v>625.59567156403864</v>
      </c>
      <c r="CY59" s="62">
        <f ca="1">AVERAGE(OFFSET($CX$3,0,0,'Données projet'!$E$13+1,1))-AVERAGE(OFFSET($H$3,0,0,'Données projet'!$E$13+1,1))</f>
        <v>159.92263609041913</v>
      </c>
      <c r="CZ59" s="62">
        <f t="shared" si="42"/>
        <v>271.78119133009307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3.910595525274331</v>
      </c>
      <c r="DG59" s="23">
        <f>EXP(-LN(2)/25)*DG58+(1-EXP(-LN(2)/25))/(LN(2)/25)*Calculateur!DB59*Calculateur!DD59*VLOOKUP('Données projet'!$B$13,Paramètres!$A$1:$I$89,3,0)*0.475*44/12</f>
        <v>14.230956715820863</v>
      </c>
      <c r="DH59" s="23">
        <f>EXP(-LN(2)/2)*DH58+(1-EXP(-LN(2)/2))/(LN(2)/2)*DB59*DE59*VLOOKUP('Données projet'!$B$13,Paramètres!$A$1:$I$89,3,0)*0.475*44/12</f>
        <v>3.3489596152288677E-3</v>
      </c>
      <c r="DI59" s="24">
        <f t="shared" si="15"/>
        <v>18.144901200710422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26.857142857142858</v>
      </c>
      <c r="DO59" s="13">
        <f>IF('Données projet'!$A$166&gt;35,DO58+DN59-DW58,IF(A59&lt;'Données projet'!$A$166,$DL$205^A59,IF(A59='Données projet'!$A$166,'Données projet'!$B$166,DO58+DN59-DW58)))</f>
        <v>389.57142857142856</v>
      </c>
      <c r="DP59" s="18">
        <f>DO59*VLOOKUP('Données projet'!$B$14,Paramètres!$A$1:$I$89,3,0)*VLOOKUP('Données projet'!$B$14,Paramètres!$A$1:$I$89,5,0)</f>
        <v>187.38385714285715</v>
      </c>
      <c r="DQ59" s="14">
        <f t="shared" si="43"/>
        <v>46.961094914001464</v>
      </c>
      <c r="DR59" s="22">
        <f t="shared" si="16"/>
        <v>408.1507914990288</v>
      </c>
      <c r="DS59" s="62">
        <f t="shared" si="17"/>
        <v>701.48412483236211</v>
      </c>
      <c r="DT59" s="62">
        <f ca="1">AVERAGE(OFFSET($DS$3,0,0,'Données projet'!$E$14+1,1))-AVERAGE(OFFSET($H$3,0,0,'Données projet'!$E$14+1,1))</f>
        <v>122.60806128440754</v>
      </c>
      <c r="DU59" s="62">
        <f t="shared" si="44"/>
        <v>73.937252053142004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>
        <f>EJ59*VLOOKUP('Données projet'!$B$15,Paramètres!$A$1:$I$89,3,0)*VLOOKUP('Données projet'!$B$15,Paramètres!$A$1:$I$89,5,0)</f>
        <v>0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0</v>
      </c>
      <c r="EP59" s="62">
        <f t="shared" si="46"/>
        <v>0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382.55387448074327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1.2902488306127051</v>
      </c>
      <c r="AA60" s="23">
        <f>EXP(-LN(2)/25)*AA59+(1-EXP(-LN(2)/25))/(LN(2)/25)*Calculateur!V60*Calculateur!X60*VLOOKUP('Données projet'!$B$9,Paramètres!$A$1:$I$89,3,0)*0.475*44/12</f>
        <v>5.0541591874997627</v>
      </c>
      <c r="AB60" s="23">
        <f>EXP(-LN(2)/2)*AB59+(1-EXP(-LN(2)/2))/(LN(2)/2)*V60*Y60*VLOOKUP('Données projet'!$B$9,Paramètres!$A$1:$I$89,3,0)*0.475*44/12</f>
        <v>1.9444054744221378E-3</v>
      </c>
      <c r="AC60" s="24">
        <f t="shared" si="3"/>
        <v>6.3463524235868896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269.64423257646359</v>
      </c>
      <c r="AO60" s="62">
        <f t="shared" si="36"/>
        <v>161.0819079811821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</v>
      </c>
      <c r="BD60" s="13">
        <f>IF('Données projet'!$A$88&gt;35,BD59+BC60-BL59,IF(A60&lt;'Données projet'!$A$88,$BA$205^A60,IF(A60='Données projet'!$A$88,'Données projet'!$B$88,BD59+BC60-BL59)))</f>
        <v>197.00000000000009</v>
      </c>
      <c r="BE60" s="14">
        <f>BD60*VLOOKUP('Données projet'!$B$11,Paramètres!$A$1:$I$89,3,0)*VLOOKUP('Données projet'!$B$11,Paramètres!$A$1:$I$89,5,0)</f>
        <v>92.196000000000041</v>
      </c>
      <c r="BF60" s="14">
        <f t="shared" si="37"/>
        <v>25.09410195059451</v>
      </c>
      <c r="BG60" s="22">
        <f t="shared" si="7"/>
        <v>204.2802608972855</v>
      </c>
      <c r="BH60" s="62">
        <f t="shared" si="8"/>
        <v>497.61359423061879</v>
      </c>
      <c r="BI60" s="62">
        <f ca="1">AVERAGE(OFFSET($BH$3,0,0,'Données projet'!$E$11+1,1))-AVERAGE(OFFSET($H$3,0,0,'Données projet'!$E$11+1,1))</f>
        <v>90.797383835887558</v>
      </c>
      <c r="BJ60" s="62">
        <f t="shared" si="38"/>
        <v>104.31413437636684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0.56549978371324372</v>
      </c>
      <c r="BQ60" s="23">
        <f>EXP(-LN(2)/25)*BQ59+(1-EXP(-LN(2)/25))/(LN(2)/25)*Calculateur!BL60*Calculateur!BN60*VLOOKUP('Données projet'!$B$11,Paramètres!$A$1:$I$89,3,0)*0.475*44/12</f>
        <v>2.0072141931998058</v>
      </c>
      <c r="BR60" s="23">
        <f>EXP(-LN(2)/2)*BR59+(1-EXP(-LN(2)/2))/(LN(2)/2)*BL60*BO60*VLOOKUP('Données projet'!$B$11,Paramètres!$A$1:$I$89,3,0)*0.475*44/12</f>
        <v>2.5542576411301162E-4</v>
      </c>
      <c r="BS60" s="24">
        <f t="shared" si="9"/>
        <v>2.5729694026771623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9.75</v>
      </c>
      <c r="BY60" s="13">
        <f>IF('Données projet'!$A$114&gt;35,BY59+BX60-CG59,IF(A60&lt;'Données projet'!$A$114,$BV$205^A60,IF(A60='Données projet'!$A$114,'Données projet'!$B$114,BY59+BX60-CG59)))</f>
        <v>274.75</v>
      </c>
      <c r="BZ60" s="14">
        <f>BY60*VLOOKUP('Données projet'!$B$12,Paramètres!$A$1:$I$89,3,0)*VLOOKUP('Données projet'!$B$12,Paramètres!$A$1:$I$89,5,0)</f>
        <v>171.44399999999999</v>
      </c>
      <c r="CA60" s="14">
        <f t="shared" si="39"/>
        <v>43.413272173627242</v>
      </c>
      <c r="CB60" s="22">
        <f t="shared" si="10"/>
        <v>374.20974903573409</v>
      </c>
      <c r="CC60" s="62">
        <f t="shared" si="11"/>
        <v>667.54308236906741</v>
      </c>
      <c r="CD60" s="62">
        <f ca="1">AVERAGE(OFFSET($CC$3,0,0,'Données projet'!$E$12+1,1))-AVERAGE(OFFSET($H$3,0,0,'Données projet'!$E$12+1,1))</f>
        <v>179.44051550872138</v>
      </c>
      <c r="CE60" s="62">
        <f t="shared" si="40"/>
        <v>272.9500808380069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2.9243822868090832</v>
      </c>
      <c r="CL60" s="23">
        <f>EXP(-LN(2)/25)*CL59+(1-EXP(-LN(2)/25))/(LN(2)/25)*Calculateur!CG60*Calculateur!CI60*VLOOKUP('Données projet'!$B$12,Paramètres!$A$1:$I$89,3,0)*0.475*44/12</f>
        <v>9.4914195166462871</v>
      </c>
      <c r="CM60" s="23">
        <f>EXP(-LN(2)/2)*CM59+(1-EXP(-LN(2)/2))/(LN(2)/2)*CG60*CJ60*VLOOKUP('Données projet'!$B$12,Paramètres!$A$1:$I$89,3,0)*0.475*44/12</f>
        <v>1.7787950911690824E-3</v>
      </c>
      <c r="CN60" s="24">
        <f t="shared" si="12"/>
        <v>12.41758059854654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277.99999999999994</v>
      </c>
      <c r="CU60" s="18">
        <f>CT60*VLOOKUP('Données projet'!$B$13,Paramètres!$A$1:$I$89,3,0)*VLOOKUP('Données projet'!$B$13,Paramètres!$A$1:$I$89,5,0)</f>
        <v>151.78799999999998</v>
      </c>
      <c r="CV60" s="14">
        <f t="shared" si="41"/>
        <v>38.984634390835623</v>
      </c>
      <c r="CW60" s="22">
        <f t="shared" si="13"/>
        <v>332.26233823070532</v>
      </c>
      <c r="CX60" s="62">
        <f t="shared" si="14"/>
        <v>625.59567156403864</v>
      </c>
      <c r="CY60" s="62">
        <f ca="1">AVERAGE(OFFSET($CX$3,0,0,'Données projet'!$E$13+1,1))-AVERAGE(OFFSET($H$3,0,0,'Données projet'!$E$13+1,1))</f>
        <v>159.92263609041913</v>
      </c>
      <c r="CZ60" s="62">
        <f t="shared" si="42"/>
        <v>271.78119133009307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3.8339111322514499</v>
      </c>
      <c r="DG60" s="23">
        <f>EXP(-LN(2)/25)*DG59+(1-EXP(-LN(2)/25))/(LN(2)/25)*Calculateur!DB60*Calculateur!DD60*VLOOKUP('Données projet'!$B$13,Paramètres!$A$1:$I$89,3,0)*0.475*44/12</f>
        <v>13.841810456053253</v>
      </c>
      <c r="DH60" s="23">
        <f>EXP(-LN(2)/2)*DH59+(1-EXP(-LN(2)/2))/(LN(2)/2)*DB60*DE60*VLOOKUP('Données projet'!$B$13,Paramètres!$A$1:$I$89,3,0)*0.475*44/12</f>
        <v>2.3680720538482233E-3</v>
      </c>
      <c r="DI60" s="24">
        <f t="shared" si="15"/>
        <v>17.678089660358552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26.857142857142858</v>
      </c>
      <c r="DO60" s="13">
        <f>IF('Données projet'!$A$166&gt;35,DO59+DN60-DW59,IF(A60&lt;'Données projet'!$A$166,$DL$205^A60,IF(A60='Données projet'!$A$166,'Données projet'!$B$166,DO59+DN60-DW59)))</f>
        <v>416.42857142857139</v>
      </c>
      <c r="DP60" s="18">
        <f>DO60*VLOOKUP('Données projet'!$B$14,Paramètres!$A$1:$I$89,3,0)*VLOOKUP('Données projet'!$B$14,Paramètres!$A$1:$I$89,5,0)</f>
        <v>200.30214285714285</v>
      </c>
      <c r="DQ60" s="14">
        <f t="shared" si="43"/>
        <v>49.81056374541992</v>
      </c>
      <c r="DR60" s="22">
        <f t="shared" si="16"/>
        <v>435.61296399946349</v>
      </c>
      <c r="DS60" s="62">
        <f t="shared" si="17"/>
        <v>728.9462973327968</v>
      </c>
      <c r="DT60" s="62">
        <f ca="1">AVERAGE(OFFSET($DS$3,0,0,'Données projet'!$E$14+1,1))-AVERAGE(OFFSET($H$3,0,0,'Données projet'!$E$14+1,1))</f>
        <v>122.60806128440754</v>
      </c>
      <c r="DU60" s="62">
        <f t="shared" si="44"/>
        <v>73.937252053142004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>
        <f>EJ60*VLOOKUP('Données projet'!$B$15,Paramètres!$A$1:$I$89,3,0)*VLOOKUP('Données projet'!$B$15,Paramètres!$A$1:$I$89,5,0)</f>
        <v>0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0</v>
      </c>
      <c r="EP60" s="62">
        <f t="shared" si="46"/>
        <v>0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382.55387448074327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1.2649478380184693</v>
      </c>
      <c r="AA61" s="23">
        <f>EXP(-LN(2)/25)*AA60+(1-EXP(-LN(2)/25))/(LN(2)/25)*Calculateur!V61*Calculateur!X61*VLOOKUP('Données projet'!$B$9,Paramètres!$A$1:$I$89,3,0)*0.475*44/12</f>
        <v>4.9159529387309018</v>
      </c>
      <c r="AB61" s="23">
        <f>EXP(-LN(2)/2)*AB60+(1-EXP(-LN(2)/2))/(LN(2)/2)*V61*Y61*VLOOKUP('Données projet'!$B$9,Paramètres!$A$1:$I$89,3,0)*0.475*44/12</f>
        <v>1.3749022963401398E-3</v>
      </c>
      <c r="AC61" s="24">
        <f t="shared" si="3"/>
        <v>6.182275679045711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269.64423257646359</v>
      </c>
      <c r="AO61" s="62">
        <f t="shared" si="36"/>
        <v>161.0819079811821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</v>
      </c>
      <c r="BD61" s="13">
        <f>IF('Données projet'!$A$88&gt;35,BD60+BC61-BL60,IF(A61&lt;'Données projet'!$A$88,$BA$205^A61,IF(A61='Données projet'!$A$88,'Données projet'!$B$88,BD60+BC61-BL60)))</f>
        <v>205.00000000000009</v>
      </c>
      <c r="BE61" s="14">
        <f>BD61*VLOOKUP('Données projet'!$B$11,Paramètres!$A$1:$I$89,3,0)*VLOOKUP('Données projet'!$B$11,Paramètres!$A$1:$I$89,5,0)</f>
        <v>95.94000000000004</v>
      </c>
      <c r="BF61" s="14">
        <f t="shared" si="37"/>
        <v>25.992437734025188</v>
      </c>
      <c r="BG61" s="22">
        <f t="shared" si="7"/>
        <v>212.36566238676059</v>
      </c>
      <c r="BH61" s="62">
        <f t="shared" si="8"/>
        <v>505.69899572009388</v>
      </c>
      <c r="BI61" s="62">
        <f ca="1">AVERAGE(OFFSET($BH$3,0,0,'Données projet'!$E$11+1,1))-AVERAGE(OFFSET($H$3,0,0,'Données projet'!$E$11+1,1))</f>
        <v>90.797383835887558</v>
      </c>
      <c r="BJ61" s="62">
        <f t="shared" si="38"/>
        <v>104.31413437636684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0.55441067787543696</v>
      </c>
      <c r="BQ61" s="23">
        <f>EXP(-LN(2)/25)*BQ60+(1-EXP(-LN(2)/25))/(LN(2)/25)*Calculateur!BL61*Calculateur!BN61*VLOOKUP('Données projet'!$B$11,Paramètres!$A$1:$I$89,3,0)*0.475*44/12</f>
        <v>1.9523268155319502</v>
      </c>
      <c r="BR61" s="23">
        <f>EXP(-LN(2)/2)*BR60+(1-EXP(-LN(2)/2))/(LN(2)/2)*BL61*BO61*VLOOKUP('Données projet'!$B$11,Paramètres!$A$1:$I$89,3,0)*0.475*44/12</f>
        <v>1.8061328989406601E-4</v>
      </c>
      <c r="BS61" s="24">
        <f t="shared" si="9"/>
        <v>2.5069181066972814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9.75</v>
      </c>
      <c r="BY61" s="13">
        <f>IF('Données projet'!$A$114&gt;35,BY60+BX61-CG60,IF(A61&lt;'Données projet'!$A$114,$BV$205^A61,IF(A61='Données projet'!$A$114,'Données projet'!$B$114,BY60+BX61-CG60)))</f>
        <v>284.5</v>
      </c>
      <c r="BZ61" s="14">
        <f>BY61*VLOOKUP('Données projet'!$B$12,Paramètres!$A$1:$I$89,3,0)*VLOOKUP('Données projet'!$B$12,Paramètres!$A$1:$I$89,5,0)</f>
        <v>177.52800000000002</v>
      </c>
      <c r="CA61" s="14">
        <f t="shared" si="39"/>
        <v>44.771769863863661</v>
      </c>
      <c r="CB61" s="22">
        <f t="shared" si="10"/>
        <v>387.17209917956257</v>
      </c>
      <c r="CC61" s="62">
        <f t="shared" si="11"/>
        <v>680.50543251289582</v>
      </c>
      <c r="CD61" s="62">
        <f ca="1">AVERAGE(OFFSET($CC$3,0,0,'Données projet'!$E$12+1,1))-AVERAGE(OFFSET($H$3,0,0,'Données projet'!$E$12+1,1))</f>
        <v>179.44051550872138</v>
      </c>
      <c r="CE61" s="62">
        <f t="shared" si="40"/>
        <v>272.9500808380069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2.8670369338618267</v>
      </c>
      <c r="CL61" s="23">
        <f>EXP(-LN(2)/25)*CL60+(1-EXP(-LN(2)/25))/(LN(2)/25)*Calculateur!CG61*Calculateur!CI61*VLOOKUP('Données projet'!$B$12,Paramètres!$A$1:$I$89,3,0)*0.475*44/12</f>
        <v>9.2318761508315355</v>
      </c>
      <c r="CM61" s="23">
        <f>EXP(-LN(2)/2)*CM60+(1-EXP(-LN(2)/2))/(LN(2)/2)*CG61*CJ61*VLOOKUP('Données projet'!$B$12,Paramètres!$A$1:$I$89,3,0)*0.475*44/12</f>
        <v>1.2577980713070012E-3</v>
      </c>
      <c r="CN61" s="24">
        <f t="shared" si="12"/>
        <v>12.100170882764669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277.99999999999994</v>
      </c>
      <c r="CU61" s="18">
        <f>CT61*VLOOKUP('Données projet'!$B$13,Paramètres!$A$1:$I$89,3,0)*VLOOKUP('Données projet'!$B$13,Paramètres!$A$1:$I$89,5,0)</f>
        <v>151.78799999999998</v>
      </c>
      <c r="CV61" s="14">
        <f t="shared" si="41"/>
        <v>38.984634390835623</v>
      </c>
      <c r="CW61" s="22">
        <f t="shared" si="13"/>
        <v>332.26233823070532</v>
      </c>
      <c r="CX61" s="62">
        <f t="shared" si="14"/>
        <v>625.59567156403864</v>
      </c>
      <c r="CY61" s="62">
        <f ca="1">AVERAGE(OFFSET($CX$3,0,0,'Données projet'!$E$13+1,1))-AVERAGE(OFFSET($H$3,0,0,'Données projet'!$E$13+1,1))</f>
        <v>159.92263609041913</v>
      </c>
      <c r="CZ61" s="62">
        <f t="shared" si="42"/>
        <v>271.78119133009307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3.7587304734028866</v>
      </c>
      <c r="DG61" s="23">
        <f>EXP(-LN(2)/25)*DG60+(1-EXP(-LN(2)/25))/(LN(2)/25)*Calculateur!DB61*Calculateur!DD61*VLOOKUP('Données projet'!$B$13,Paramètres!$A$1:$I$89,3,0)*0.475*44/12</f>
        <v>13.4633054212233</v>
      </c>
      <c r="DH61" s="23">
        <f>EXP(-LN(2)/2)*DH60+(1-EXP(-LN(2)/2))/(LN(2)/2)*DB61*DE61*VLOOKUP('Données projet'!$B$13,Paramètres!$A$1:$I$89,3,0)*0.475*44/12</f>
        <v>1.6744798076144339E-3</v>
      </c>
      <c r="DI61" s="24">
        <f t="shared" si="15"/>
        <v>17.223710374433804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26.857142857142858</v>
      </c>
      <c r="DO61" s="13">
        <f>IF('Données projet'!$A$166&gt;35,DO60+DN61-DW60,IF(A61&lt;'Données projet'!$A$166,$DL$205^A61,IF(A61='Données projet'!$A$166,'Données projet'!$B$166,DO60+DN61-DW60)))</f>
        <v>443.28571428571422</v>
      </c>
      <c r="DP61" s="18">
        <f>DO61*VLOOKUP('Données projet'!$B$14,Paramètres!$A$1:$I$89,3,0)*VLOOKUP('Données projet'!$B$14,Paramètres!$A$1:$I$89,5,0)</f>
        <v>213.22042857142856</v>
      </c>
      <c r="DQ61" s="14">
        <f t="shared" si="43"/>
        <v>52.638705816296181</v>
      </c>
      <c r="DR61" s="22">
        <f t="shared" si="16"/>
        <v>463.03799239195388</v>
      </c>
      <c r="DS61" s="62">
        <f t="shared" si="17"/>
        <v>756.37132572528719</v>
      </c>
      <c r="DT61" s="62">
        <f ca="1">AVERAGE(OFFSET($DS$3,0,0,'Données projet'!$E$14+1,1))-AVERAGE(OFFSET($H$3,0,0,'Données projet'!$E$14+1,1))</f>
        <v>122.60806128440754</v>
      </c>
      <c r="DU61" s="62">
        <f t="shared" si="44"/>
        <v>73.937252053142004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>
        <f>EJ61*VLOOKUP('Données projet'!$B$15,Paramètres!$A$1:$I$89,3,0)*VLOOKUP('Données projet'!$B$15,Paramètres!$A$1:$I$89,5,0)</f>
        <v>0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0</v>
      </c>
      <c r="EP61" s="62">
        <f t="shared" si="46"/>
        <v>0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382.55387448074327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1.2401429824569248</v>
      </c>
      <c r="AA62" s="23">
        <f>EXP(-LN(2)/25)*AA61+(1-EXP(-LN(2)/25))/(LN(2)/25)*Calculateur!V62*Calculateur!X62*VLOOKUP('Données projet'!$B$9,Paramètres!$A$1:$I$89,3,0)*0.475*44/12</f>
        <v>4.7815259471025762</v>
      </c>
      <c r="AB62" s="23">
        <f>EXP(-LN(2)/2)*AB61+(1-EXP(-LN(2)/2))/(LN(2)/2)*V62*Y62*VLOOKUP('Données projet'!$B$9,Paramètres!$A$1:$I$89,3,0)*0.475*44/12</f>
        <v>9.7220273721106902E-4</v>
      </c>
      <c r="AC62" s="24">
        <f t="shared" si="3"/>
        <v>6.0226411322967124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269.64423257646359</v>
      </c>
      <c r="AO62" s="62">
        <f t="shared" si="36"/>
        <v>161.0819079811821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</v>
      </c>
      <c r="BD62" s="13">
        <f>IF('Données projet'!$A$88&gt;35,BD61+BC62-BL61,IF(A62&lt;'Données projet'!$A$88,$BA$205^A62,IF(A62='Données projet'!$A$88,'Données projet'!$B$88,BD61+BC62-BL61)))</f>
        <v>213.00000000000009</v>
      </c>
      <c r="BE62" s="14">
        <f>BD62*VLOOKUP('Données projet'!$B$11,Paramètres!$A$1:$I$89,3,0)*VLOOKUP('Données projet'!$B$11,Paramètres!$A$1:$I$89,5,0)</f>
        <v>99.684000000000026</v>
      </c>
      <c r="BF62" s="14">
        <f t="shared" si="37"/>
        <v>26.886701044194457</v>
      </c>
      <c r="BG62" s="22">
        <f t="shared" si="7"/>
        <v>220.44397098530536</v>
      </c>
      <c r="BH62" s="62">
        <f t="shared" si="8"/>
        <v>513.7773043186387</v>
      </c>
      <c r="BI62" s="62">
        <f ca="1">AVERAGE(OFFSET($BH$3,0,0,'Données projet'!$E$11+1,1))-AVERAGE(OFFSET($H$3,0,0,'Données projet'!$E$11+1,1))</f>
        <v>90.797383835887558</v>
      </c>
      <c r="BJ62" s="62">
        <f t="shared" si="38"/>
        <v>104.31413437636684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0.54353902263942289</v>
      </c>
      <c r="BQ62" s="23">
        <f>EXP(-LN(2)/25)*BQ61+(1-EXP(-LN(2)/25))/(LN(2)/25)*Calculateur!BL62*Calculateur!BN62*VLOOKUP('Données projet'!$B$11,Paramètres!$A$1:$I$89,3,0)*0.475*44/12</f>
        <v>1.8989403360928239</v>
      </c>
      <c r="BR62" s="23">
        <f>EXP(-LN(2)/2)*BR61+(1-EXP(-LN(2)/2))/(LN(2)/2)*BL62*BO62*VLOOKUP('Données projet'!$B$11,Paramètres!$A$1:$I$89,3,0)*0.475*44/12</f>
        <v>1.2771288205650581E-4</v>
      </c>
      <c r="BS62" s="24">
        <f t="shared" si="9"/>
        <v>2.4426070716143031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9.75</v>
      </c>
      <c r="BY62" s="13">
        <f>IF('Données projet'!$A$114&gt;35,BY61+BX62-CG61,IF(A62&lt;'Données projet'!$A$114,$BV$205^A62,IF(A62='Données projet'!$A$114,'Données projet'!$B$114,BY61+BX62-CG61)))</f>
        <v>294.25</v>
      </c>
      <c r="BZ62" s="14">
        <f>BY62*VLOOKUP('Données projet'!$B$12,Paramètres!$A$1:$I$89,3,0)*VLOOKUP('Données projet'!$B$12,Paramètres!$A$1:$I$89,5,0)</f>
        <v>183.61199999999999</v>
      </c>
      <c r="CA62" s="14">
        <f t="shared" si="39"/>
        <v>46.124858041839339</v>
      </c>
      <c r="CB62" s="22">
        <f t="shared" si="10"/>
        <v>400.12502775620351</v>
      </c>
      <c r="CC62" s="62">
        <f t="shared" si="11"/>
        <v>693.45836108953677</v>
      </c>
      <c r="CD62" s="62">
        <f ca="1">AVERAGE(OFFSET($CC$3,0,0,'Données projet'!$E$12+1,1))-AVERAGE(OFFSET($H$3,0,0,'Données projet'!$E$12+1,1))</f>
        <v>179.44051550872138</v>
      </c>
      <c r="CE62" s="62">
        <f t="shared" si="40"/>
        <v>272.9500808380069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2.8108160883086541</v>
      </c>
      <c r="CL62" s="23">
        <f>EXP(-LN(2)/25)*CL61+(1-EXP(-LN(2)/25))/(LN(2)/25)*Calculateur!CG62*Calculateur!CI62*VLOOKUP('Données projet'!$B$12,Paramètres!$A$1:$I$89,3,0)*0.475*44/12</f>
        <v>8.97943001200378</v>
      </c>
      <c r="CM62" s="23">
        <f>EXP(-LN(2)/2)*CM61+(1-EXP(-LN(2)/2))/(LN(2)/2)*CG62*CJ62*VLOOKUP('Données projet'!$B$12,Paramètres!$A$1:$I$89,3,0)*0.475*44/12</f>
        <v>8.8939754558454119E-4</v>
      </c>
      <c r="CN62" s="24">
        <f t="shared" si="12"/>
        <v>11.791135497858019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277.99999999999994</v>
      </c>
      <c r="CU62" s="18">
        <f>CT62*VLOOKUP('Données projet'!$B$13,Paramètres!$A$1:$I$89,3,0)*VLOOKUP('Données projet'!$B$13,Paramètres!$A$1:$I$89,5,0)</f>
        <v>151.78799999999998</v>
      </c>
      <c r="CV62" s="14">
        <f t="shared" si="41"/>
        <v>38.984634390835623</v>
      </c>
      <c r="CW62" s="22">
        <f t="shared" si="13"/>
        <v>332.26233823070532</v>
      </c>
      <c r="CX62" s="62">
        <f t="shared" si="14"/>
        <v>625.59567156403864</v>
      </c>
      <c r="CY62" s="62">
        <f ca="1">AVERAGE(OFFSET($CX$3,0,0,'Données projet'!$E$13+1,1))-AVERAGE(OFFSET($H$3,0,0,'Données projet'!$E$13+1,1))</f>
        <v>159.92263609041913</v>
      </c>
      <c r="CZ62" s="62">
        <f t="shared" si="42"/>
        <v>271.78119133009307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3.6850240614186696</v>
      </c>
      <c r="DG62" s="23">
        <f>EXP(-LN(2)/25)*DG61+(1-EXP(-LN(2)/25))/(LN(2)/25)*Calculateur!DB62*Calculateur!DD62*VLOOKUP('Données projet'!$B$13,Paramètres!$A$1:$I$89,3,0)*0.475*44/12</f>
        <v>13.095150626475487</v>
      </c>
      <c r="DH62" s="23">
        <f>EXP(-LN(2)/2)*DH61+(1-EXP(-LN(2)/2))/(LN(2)/2)*DB62*DE62*VLOOKUP('Données projet'!$B$13,Paramètres!$A$1:$I$89,3,0)*0.475*44/12</f>
        <v>1.1840360269241117E-3</v>
      </c>
      <c r="DI62" s="24">
        <f t="shared" si="15"/>
        <v>16.78135872392108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26.857142857142858</v>
      </c>
      <c r="DO62" s="13">
        <f>IF('Données projet'!$A$166&gt;35,DO61+DN62-DW61,IF(A62&lt;'Données projet'!$A$166,$DL$205^A62,IF(A62='Données projet'!$A$166,'Données projet'!$B$166,DO61+DN62-DW61)))</f>
        <v>470.14285714285705</v>
      </c>
      <c r="DP62" s="18">
        <f>DO62*VLOOKUP('Données projet'!$B$14,Paramètres!$A$1:$I$89,3,0)*VLOOKUP('Données projet'!$B$14,Paramètres!$A$1:$I$89,5,0)</f>
        <v>226.13871428571426</v>
      </c>
      <c r="DQ62" s="14">
        <f t="shared" si="43"/>
        <v>55.446960382048061</v>
      </c>
      <c r="DR62" s="22">
        <f t="shared" si="16"/>
        <v>490.42838337968595</v>
      </c>
      <c r="DS62" s="62">
        <f t="shared" si="17"/>
        <v>783.76171671301927</v>
      </c>
      <c r="DT62" s="62">
        <f ca="1">AVERAGE(OFFSET($DS$3,0,0,'Données projet'!$E$14+1,1))-AVERAGE(OFFSET($H$3,0,0,'Données projet'!$E$14+1,1))</f>
        <v>122.60806128440754</v>
      </c>
      <c r="DU62" s="62">
        <f t="shared" si="44"/>
        <v>73.937252053142004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>
        <f>EJ62*VLOOKUP('Données projet'!$B$15,Paramètres!$A$1:$I$89,3,0)*VLOOKUP('Données projet'!$B$15,Paramètres!$A$1:$I$89,5,0)</f>
        <v>0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0</v>
      </c>
      <c r="EP62" s="62">
        <f t="shared" si="46"/>
        <v>0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382.55387448074327</v>
      </c>
      <c r="T63" s="62">
        <f t="shared" si="34"/>
        <v>476.29465646955543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1.2158245349834742</v>
      </c>
      <c r="AA63" s="23">
        <f>EXP(-LN(2)/25)*AA62+(1-EXP(-LN(2)/25))/(LN(2)/25)*Calculateur!V63*Calculateur!X63*VLOOKUP('Données projet'!$B$9,Paramètres!$A$1:$I$89,3,0)*0.475*44/12</f>
        <v>4.6507748686295347</v>
      </c>
      <c r="AB63" s="23">
        <f>EXP(-LN(2)/2)*AB62+(1-EXP(-LN(2)/2))/(LN(2)/2)*V63*Y63*VLOOKUP('Données projet'!$B$9,Paramètres!$A$1:$I$89,3,0)*0.475*44/12</f>
        <v>6.8745114817007002E-4</v>
      </c>
      <c r="AC63" s="24">
        <f t="shared" si="3"/>
        <v>5.8672868547611792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269.64423257646359</v>
      </c>
      <c r="AO63" s="62">
        <f t="shared" si="36"/>
        <v>161.0819079811821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221</v>
      </c>
      <c r="BB63" s="13">
        <f>VLOOKUP(A63,'Données projet'!$A$87:$I$107,9,0)</f>
        <v>8</v>
      </c>
      <c r="BC63" s="13">
        <f t="array" ref="BC63">INDEX(BB:BB,MIN(IF(ISNUMBER(BB63:BB259),ROW(BB63:BB259),"")))</f>
        <v>8</v>
      </c>
      <c r="BD63" s="13">
        <f>IF('Données projet'!$A$88&gt;35,BD62+BC63-BL62,IF(A63&lt;'Données projet'!$A$88,$BA$205^A63,IF(A63='Données projet'!$A$88,'Données projet'!$B$88,BD62+BC63-BL62)))</f>
        <v>221.00000000000009</v>
      </c>
      <c r="BE63" s="14">
        <f>BD63*VLOOKUP('Données projet'!$B$11,Paramètres!$A$1:$I$89,3,0)*VLOOKUP('Données projet'!$B$11,Paramètres!$A$1:$I$89,5,0)</f>
        <v>103.42800000000004</v>
      </c>
      <c r="BF63" s="14">
        <f t="shared" si="37"/>
        <v>27.777062350859747</v>
      </c>
      <c r="BG63" s="22">
        <f t="shared" si="7"/>
        <v>228.51548359441412</v>
      </c>
      <c r="BH63" s="62">
        <f t="shared" si="8"/>
        <v>521.84881692774741</v>
      </c>
      <c r="BI63" s="62">
        <f ca="1">AVERAGE(OFFSET($BH$3,0,0,'Données projet'!$E$11+1,1))-AVERAGE(OFFSET($H$3,0,0,'Données projet'!$E$11+1,1))</f>
        <v>90.797383835887558</v>
      </c>
      <c r="BJ63" s="62">
        <f t="shared" si="38"/>
        <v>104.31413437636684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221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0.53288055393153211</v>
      </c>
      <c r="BQ63" s="23">
        <f>EXP(-LN(2)/25)*BQ62+(1-EXP(-LN(2)/25))/(LN(2)/25)*Calculateur!BL63*Calculateur!BN63*VLOOKUP('Données projet'!$B$11,Paramètres!$A$1:$I$89,3,0)*0.475*44/12</f>
        <v>1.8470137127414334</v>
      </c>
      <c r="BR63" s="23">
        <f>EXP(-LN(2)/2)*BR62+(1-EXP(-LN(2)/2))/(LN(2)/2)*BL63*BO63*VLOOKUP('Données projet'!$B$11,Paramètres!$A$1:$I$89,3,0)*0.475*44/12</f>
        <v>9.0306644947033007E-5</v>
      </c>
      <c r="BS63" s="24">
        <f t="shared" si="9"/>
        <v>2.3799845733179126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304</v>
      </c>
      <c r="BW63" s="13">
        <f>VLOOKUP(A63,'Données projet'!$A$113:$I$133,9,0)</f>
        <v>9.75</v>
      </c>
      <c r="BX63" s="13">
        <f t="array" ref="BX63">INDEX(BW:BW,MIN(IF(ISNUMBER(BW63:BW259),ROW(BW63:BW259),"")))</f>
        <v>9.75</v>
      </c>
      <c r="BY63" s="13">
        <f>IF('Données projet'!$A$114&gt;35,BY62+BX63-CG62,IF(A63&lt;'Données projet'!$A$114,$BV$205^A63,IF(A63='Données projet'!$A$114,'Données projet'!$B$114,BY62+BX63-CG62)))</f>
        <v>304</v>
      </c>
      <c r="BZ63" s="14">
        <f>BY63*VLOOKUP('Données projet'!$B$12,Paramètres!$A$1:$I$89,3,0)*VLOOKUP('Données projet'!$B$12,Paramètres!$A$1:$I$89,5,0)</f>
        <v>189.696</v>
      </c>
      <c r="CA63" s="14">
        <f t="shared" si="39"/>
        <v>47.472736505152469</v>
      </c>
      <c r="CB63" s="22">
        <f t="shared" si="10"/>
        <v>413.06888274647389</v>
      </c>
      <c r="CC63" s="62">
        <f t="shared" si="11"/>
        <v>706.4022160798072</v>
      </c>
      <c r="CD63" s="62">
        <f ca="1">AVERAGE(OFFSET($CC$3,0,0,'Données projet'!$E$12+1,1))-AVERAGE(OFFSET($H$3,0,0,'Données projet'!$E$12+1,1))</f>
        <v>179.44051550872138</v>
      </c>
      <c r="CE63" s="62">
        <f t="shared" si="40"/>
        <v>272.9500808380069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2.7556976992454496</v>
      </c>
      <c r="CL63" s="23">
        <f>EXP(-LN(2)/25)*CL62+(1-EXP(-LN(2)/25))/(LN(2)/25)*Calculateur!CG63*Calculateur!CI63*VLOOKUP('Données projet'!$B$12,Paramètres!$A$1:$I$89,3,0)*0.475*44/12</f>
        <v>8.7338870261178343</v>
      </c>
      <c r="CM63" s="23">
        <f>EXP(-LN(2)/2)*CM62+(1-EXP(-LN(2)/2))/(LN(2)/2)*CG63*CJ63*VLOOKUP('Données projet'!$B$12,Paramètres!$A$1:$I$89,3,0)*0.475*44/12</f>
        <v>6.2889903565350059E-4</v>
      </c>
      <c r="CN63" s="24">
        <f t="shared" si="12"/>
        <v>11.490213624398937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277.99999999999994</v>
      </c>
      <c r="CU63" s="18">
        <f>CT63*VLOOKUP('Données projet'!$B$13,Paramètres!$A$1:$I$89,3,0)*VLOOKUP('Données projet'!$B$13,Paramètres!$A$1:$I$89,5,0)</f>
        <v>151.78799999999998</v>
      </c>
      <c r="CV63" s="14">
        <f t="shared" si="41"/>
        <v>38.984634390835623</v>
      </c>
      <c r="CW63" s="22">
        <f t="shared" si="13"/>
        <v>332.26233823070532</v>
      </c>
      <c r="CX63" s="62">
        <f t="shared" si="14"/>
        <v>625.59567156403864</v>
      </c>
      <c r="CY63" s="62">
        <f ca="1">AVERAGE(OFFSET($CX$3,0,0,'Données projet'!$E$13+1,1))-AVERAGE(OFFSET($H$3,0,0,'Données projet'!$E$13+1,1))</f>
        <v>159.92263609041913</v>
      </c>
      <c r="CZ63" s="62">
        <f t="shared" si="42"/>
        <v>271.78119133009307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3.6127629872169909</v>
      </c>
      <c r="DG63" s="23">
        <f>EXP(-LN(2)/25)*DG62+(1-EXP(-LN(2)/25))/(LN(2)/25)*Calculateur!DB63*Calculateur!DD63*VLOOKUP('Données projet'!$B$13,Paramètres!$A$1:$I$89,3,0)*0.475*44/12</f>
        <v>12.737063043950473</v>
      </c>
      <c r="DH63" s="23">
        <f>EXP(-LN(2)/2)*DH62+(1-EXP(-LN(2)/2))/(LN(2)/2)*DB63*DE63*VLOOKUP('Données projet'!$B$13,Paramètres!$A$1:$I$89,3,0)*0.475*44/12</f>
        <v>8.3723990380721693E-4</v>
      </c>
      <c r="DI63" s="24">
        <f t="shared" si="15"/>
        <v>16.350663271071269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497</v>
      </c>
      <c r="DM63" s="13">
        <f>VLOOKUP(A63,'Données projet'!$A$165:$I$185,9,0)</f>
        <v>26.857142857142858</v>
      </c>
      <c r="DN63" s="13">
        <f t="array" ref="DN63">INDEX(DM:DM,MIN(IF(ISNUMBER(DM63:DM259),ROW(DM63:DM259),"")))</f>
        <v>26.857142857142858</v>
      </c>
      <c r="DO63" s="13">
        <f>IF('Données projet'!$A$166&gt;35,DO62+DN63-DW62,IF(A63&lt;'Données projet'!$A$166,$DL$205^A63,IF(A63='Données projet'!$A$166,'Données projet'!$B$166,DO62+DN63-DW62)))</f>
        <v>496.99999999999989</v>
      </c>
      <c r="DP63" s="18">
        <f>DO63*VLOOKUP('Données projet'!$B$14,Paramètres!$A$1:$I$89,3,0)*VLOOKUP('Données projet'!$B$14,Paramètres!$A$1:$I$89,5,0)</f>
        <v>239.05699999999996</v>
      </c>
      <c r="DQ63" s="14">
        <f t="shared" si="43"/>
        <v>58.236592973893856</v>
      </c>
      <c r="DR63" s="22">
        <f t="shared" si="16"/>
        <v>517.78634109619838</v>
      </c>
      <c r="DS63" s="62">
        <f t="shared" si="17"/>
        <v>811.11967442953164</v>
      </c>
      <c r="DT63" s="62">
        <f ca="1">AVERAGE(OFFSET($DS$3,0,0,'Données projet'!$E$14+1,1))-AVERAGE(OFFSET($H$3,0,0,'Données projet'!$E$14+1,1))</f>
        <v>122.60806128440754</v>
      </c>
      <c r="DU63" s="62">
        <f t="shared" si="44"/>
        <v>73.937252053142004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497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>
        <f>EJ63*VLOOKUP('Données projet'!$B$15,Paramètres!$A$1:$I$89,3,0)*VLOOKUP('Données projet'!$B$15,Paramètres!$A$1:$I$89,5,0)</f>
        <v>0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0</v>
      </c>
      <c r="EP63" s="62">
        <f t="shared" si="46"/>
        <v>0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382.55387448074327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1.1919829574321896</v>
      </c>
      <c r="AA64" s="23">
        <f>EXP(-LN(2)/25)*AA63+(1-EXP(-LN(2)/25))/(LN(2)/25)*Calculateur!V64*Calculateur!X64*VLOOKUP('Données projet'!$B$9,Paramètres!$A$1:$I$89,3,0)*0.475*44/12</f>
        <v>4.5235991852732393</v>
      </c>
      <c r="AB64" s="23">
        <f>EXP(-LN(2)/2)*AB63+(1-EXP(-LN(2)/2))/(LN(2)/2)*V64*Y64*VLOOKUP('Données projet'!$B$9,Paramètres!$A$1:$I$89,3,0)*0.475*44/12</f>
        <v>4.8610136860553462E-4</v>
      </c>
      <c r="AC64" s="24">
        <f t="shared" si="3"/>
        <v>5.7160682440740347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269.64423257646359</v>
      </c>
      <c r="AO64" s="62">
        <f t="shared" si="36"/>
        <v>161.0819079811821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8.5265128291212022E-14</v>
      </c>
      <c r="BE64" s="14">
        <f>BD64*VLOOKUP('Données projet'!$B$11,Paramètres!$A$1:$I$89,3,0)*VLOOKUP('Données projet'!$B$11,Paramètres!$A$1:$I$89,5,0)</f>
        <v>3.990408004028723E-14</v>
      </c>
      <c r="BF64" s="14">
        <f t="shared" si="37"/>
        <v>6.6713074187844705E-13</v>
      </c>
      <c r="BG64" s="22">
        <f t="shared" si="7"/>
        <v>1.2314189815084623E-12</v>
      </c>
      <c r="BH64" s="62">
        <f t="shared" si="8"/>
        <v>293.33333333333456</v>
      </c>
      <c r="BI64" s="62">
        <f ca="1">AVERAGE(OFFSET($BH$3,0,0,'Données projet'!$E$11+1,1))-AVERAGE(OFFSET($H$3,0,0,'Données projet'!$E$11+1,1))</f>
        <v>90.797383835887558</v>
      </c>
      <c r="BJ64" s="62">
        <f t="shared" si="38"/>
        <v>104.31413437636684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0.52243109129397913</v>
      </c>
      <c r="BQ64" s="23">
        <f>EXP(-LN(2)/25)*BQ63+(1-EXP(-LN(2)/25))/(LN(2)/25)*Calculateur!BL64*Calculateur!BN64*VLOOKUP('Données projet'!$B$11,Paramètres!$A$1:$I$89,3,0)*0.475*44/12</f>
        <v>1.7965070256362892</v>
      </c>
      <c r="BR64" s="23">
        <f>EXP(-LN(2)/2)*BR63+(1-EXP(-LN(2)/2))/(LN(2)/2)*BL64*BO64*VLOOKUP('Données projet'!$B$11,Paramètres!$A$1:$I$89,3,0)*0.475*44/12</f>
        <v>6.3856441028252905E-5</v>
      </c>
      <c r="BS64" s="24">
        <f t="shared" si="9"/>
        <v>2.3190019733712965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304</v>
      </c>
      <c r="BZ64" s="14">
        <f>BY64*VLOOKUP('Données projet'!$B$12,Paramètres!$A$1:$I$89,3,0)*VLOOKUP('Données projet'!$B$12,Paramètres!$A$1:$I$89,5,0)</f>
        <v>189.696</v>
      </c>
      <c r="CA64" s="14">
        <f t="shared" si="39"/>
        <v>47.472736505152469</v>
      </c>
      <c r="CB64" s="22">
        <f t="shared" si="10"/>
        <v>413.06888274647389</v>
      </c>
      <c r="CC64" s="62">
        <f t="shared" si="11"/>
        <v>706.4022160798072</v>
      </c>
      <c r="CD64" s="62">
        <f ca="1">AVERAGE(OFFSET($CC$3,0,0,'Données projet'!$E$12+1,1))-AVERAGE(OFFSET($H$3,0,0,'Données projet'!$E$12+1,1))</f>
        <v>179.44051550872138</v>
      </c>
      <c r="CE64" s="62">
        <f t="shared" si="40"/>
        <v>272.9500808380069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2.7016601481728766</v>
      </c>
      <c r="CL64" s="23">
        <f>EXP(-LN(2)/25)*CL63+(1-EXP(-LN(2)/25))/(LN(2)/25)*Calculateur!CG64*Calculateur!CI64*VLOOKUP('Données projet'!$B$12,Paramètres!$A$1:$I$89,3,0)*0.475*44/12</f>
        <v>8.4950584260934843</v>
      </c>
      <c r="CM64" s="23">
        <f>EXP(-LN(2)/2)*CM63+(1-EXP(-LN(2)/2))/(LN(2)/2)*CG64*CJ64*VLOOKUP('Données projet'!$B$12,Paramètres!$A$1:$I$89,3,0)*0.475*44/12</f>
        <v>4.446987727922706E-4</v>
      </c>
      <c r="CN64" s="24">
        <f t="shared" si="12"/>
        <v>11.197163273039154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277.99999999999994</v>
      </c>
      <c r="CU64" s="18">
        <f>CT64*VLOOKUP('Données projet'!$B$13,Paramètres!$A$1:$I$89,3,0)*VLOOKUP('Données projet'!$B$13,Paramètres!$A$1:$I$89,5,0)</f>
        <v>151.78799999999998</v>
      </c>
      <c r="CV64" s="14">
        <f t="shared" si="41"/>
        <v>38.984634390835623</v>
      </c>
      <c r="CW64" s="22">
        <f t="shared" si="13"/>
        <v>332.26233823070532</v>
      </c>
      <c r="CX64" s="62">
        <f t="shared" si="14"/>
        <v>625.59567156403864</v>
      </c>
      <c r="CY64" s="62">
        <f ca="1">AVERAGE(OFFSET($CX$3,0,0,'Données projet'!$E$13+1,1))-AVERAGE(OFFSET($H$3,0,0,'Données projet'!$E$13+1,1))</f>
        <v>159.92263609041913</v>
      </c>
      <c r="CZ64" s="62">
        <f t="shared" si="42"/>
        <v>271.78119133009307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3.5419189086055036</v>
      </c>
      <c r="DG64" s="23">
        <f>EXP(-LN(2)/25)*DG63+(1-EXP(-LN(2)/25))/(LN(2)/25)*Calculateur!DB64*Calculateur!DD64*VLOOKUP('Données projet'!$B$13,Paramètres!$A$1:$I$89,3,0)*0.475*44/12</f>
        <v>12.388767385200612</v>
      </c>
      <c r="DH64" s="23">
        <f>EXP(-LN(2)/2)*DH63+(1-EXP(-LN(2)/2))/(LN(2)/2)*DB64*DE64*VLOOKUP('Données projet'!$B$13,Paramètres!$A$1:$I$89,3,0)*0.475*44/12</f>
        <v>5.9201801346205583E-4</v>
      </c>
      <c r="DI64" s="24">
        <f t="shared" si="15"/>
        <v>15.931278311819577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-1.1368683772161603E-13</v>
      </c>
      <c r="DP64" s="18">
        <f>DO64*VLOOKUP('Données projet'!$B$14,Paramètres!$A$1:$I$89,3,0)*VLOOKUP('Données projet'!$B$14,Paramètres!$A$1:$I$89,5,0)</f>
        <v>-5.4683368944097308E-14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122.60806128440754</v>
      </c>
      <c r="DU64" s="62">
        <f t="shared" si="44"/>
        <v>73.937252053142004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>
        <f>EJ64*VLOOKUP('Données projet'!$B$15,Paramètres!$A$1:$I$89,3,0)*VLOOKUP('Données projet'!$B$15,Paramètres!$A$1:$I$89,5,0)</f>
        <v>0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0</v>
      </c>
      <c r="EP64" s="62">
        <f t="shared" si="46"/>
        <v>0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382.55387448074327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1.1686088986747594</v>
      </c>
      <c r="AA65" s="23">
        <f>EXP(-LN(2)/25)*AA64+(1-EXP(-LN(2)/25))/(LN(2)/25)*Calculateur!V65*Calculateur!X65*VLOOKUP('Données projet'!$B$9,Paramètres!$A$1:$I$89,3,0)*0.475*44/12</f>
        <v>4.3999011276662001</v>
      </c>
      <c r="AB65" s="23">
        <f>EXP(-LN(2)/2)*AB64+(1-EXP(-LN(2)/2))/(LN(2)/2)*V65*Y65*VLOOKUP('Données projet'!$B$9,Paramètres!$A$1:$I$89,3,0)*0.475*44/12</f>
        <v>3.4372557408503506E-4</v>
      </c>
      <c r="AC65" s="24">
        <f t="shared" si="3"/>
        <v>5.5688537519150447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269.64423257646359</v>
      </c>
      <c r="AO65" s="62">
        <f t="shared" si="36"/>
        <v>161.0819079811821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8.5265128291212022E-14</v>
      </c>
      <c r="BE65" s="14">
        <f>BD65*VLOOKUP('Données projet'!$B$11,Paramètres!$A$1:$I$89,3,0)*VLOOKUP('Données projet'!$B$11,Paramètres!$A$1:$I$89,5,0)</f>
        <v>3.990408004028723E-14</v>
      </c>
      <c r="BF65" s="14">
        <f t="shared" si="37"/>
        <v>6.6713074187844705E-13</v>
      </c>
      <c r="BG65" s="22">
        <f t="shared" si="7"/>
        <v>1.2314189815084623E-12</v>
      </c>
      <c r="BH65" s="62">
        <f t="shared" si="8"/>
        <v>293.33333333333456</v>
      </c>
      <c r="BI65" s="62">
        <f ca="1">AVERAGE(OFFSET($BH$3,0,0,'Données projet'!$E$11+1,1))-AVERAGE(OFFSET($H$3,0,0,'Données projet'!$E$11+1,1))</f>
        <v>90.797383835887558</v>
      </c>
      <c r="BJ65" s="62">
        <f t="shared" si="38"/>
        <v>104.31413437636684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0.51218653624520571</v>
      </c>
      <c r="BQ65" s="23">
        <f>EXP(-LN(2)/25)*BQ64+(1-EXP(-LN(2)/25))/(LN(2)/25)*Calculateur!BL65*Calculateur!BN65*VLOOKUP('Données projet'!$B$11,Paramètres!$A$1:$I$89,3,0)*0.475*44/12</f>
        <v>1.7473814465460664</v>
      </c>
      <c r="BR65" s="23">
        <f>EXP(-LN(2)/2)*BR64+(1-EXP(-LN(2)/2))/(LN(2)/2)*BL65*BO65*VLOOKUP('Données projet'!$B$11,Paramètres!$A$1:$I$89,3,0)*0.475*44/12</f>
        <v>4.5153322473516504E-5</v>
      </c>
      <c r="BS65" s="24">
        <f t="shared" si="9"/>
        <v>2.2596131361137455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304</v>
      </c>
      <c r="BZ65" s="14">
        <f>BY65*VLOOKUP('Données projet'!$B$12,Paramètres!$A$1:$I$89,3,0)*VLOOKUP('Données projet'!$B$12,Paramètres!$A$1:$I$89,5,0)</f>
        <v>189.696</v>
      </c>
      <c r="CA65" s="14">
        <f t="shared" si="39"/>
        <v>47.472736505152469</v>
      </c>
      <c r="CB65" s="22">
        <f t="shared" si="10"/>
        <v>413.06888274647389</v>
      </c>
      <c r="CC65" s="62">
        <f t="shared" si="11"/>
        <v>706.4022160798072</v>
      </c>
      <c r="CD65" s="62">
        <f ca="1">AVERAGE(OFFSET($CC$3,0,0,'Données projet'!$E$12+1,1))-AVERAGE(OFFSET($H$3,0,0,'Données projet'!$E$12+1,1))</f>
        <v>179.44051550872138</v>
      </c>
      <c r="CE65" s="62">
        <f t="shared" si="40"/>
        <v>272.9500808380069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2.6486822405171853</v>
      </c>
      <c r="CL65" s="23">
        <f>EXP(-LN(2)/25)*CL64+(1-EXP(-LN(2)/25))/(LN(2)/25)*Calculateur!CG65*Calculateur!CI65*VLOOKUP('Données projet'!$B$12,Paramètres!$A$1:$I$89,3,0)*0.475*44/12</f>
        <v>8.2627606066962507</v>
      </c>
      <c r="CM65" s="23">
        <f>EXP(-LN(2)/2)*CM64+(1-EXP(-LN(2)/2))/(LN(2)/2)*CG65*CJ65*VLOOKUP('Données projet'!$B$12,Paramètres!$A$1:$I$89,3,0)*0.475*44/12</f>
        <v>3.1444951782675029E-4</v>
      </c>
      <c r="CN65" s="24">
        <f t="shared" si="12"/>
        <v>10.911757296731263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277.99999999999994</v>
      </c>
      <c r="CU65" s="18">
        <f>CT65*VLOOKUP('Données projet'!$B$13,Paramètres!$A$1:$I$89,3,0)*VLOOKUP('Données projet'!$B$13,Paramètres!$A$1:$I$89,5,0)</f>
        <v>151.78799999999998</v>
      </c>
      <c r="CV65" s="14">
        <f t="shared" si="41"/>
        <v>38.984634390835623</v>
      </c>
      <c r="CW65" s="22">
        <f t="shared" si="13"/>
        <v>332.26233823070532</v>
      </c>
      <c r="CX65" s="62">
        <f t="shared" si="14"/>
        <v>625.59567156403864</v>
      </c>
      <c r="CY65" s="62">
        <f ca="1">AVERAGE(OFFSET($CX$3,0,0,'Données projet'!$E$13+1,1))-AVERAGE(OFFSET($H$3,0,0,'Données projet'!$E$13+1,1))</f>
        <v>159.92263609041913</v>
      </c>
      <c r="CZ65" s="62">
        <f t="shared" si="42"/>
        <v>271.78119133009307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3.4724640391649664</v>
      </c>
      <c r="DG65" s="23">
        <f>EXP(-LN(2)/25)*DG64+(1-EXP(-LN(2)/25))/(LN(2)/25)*Calculateur!DB65*Calculateur!DD65*VLOOKUP('Données projet'!$B$13,Paramètres!$A$1:$I$89,3,0)*0.475*44/12</f>
        <v>12.049995889555341</v>
      </c>
      <c r="DH65" s="23">
        <f>EXP(-LN(2)/2)*DH64+(1-EXP(-LN(2)/2))/(LN(2)/2)*DB65*DE65*VLOOKUP('Données projet'!$B$13,Paramètres!$A$1:$I$89,3,0)*0.475*44/12</f>
        <v>4.1861995190360847E-4</v>
      </c>
      <c r="DI65" s="24">
        <f t="shared" si="15"/>
        <v>15.52287854867221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-1.1368683772161603E-13</v>
      </c>
      <c r="DP65" s="18">
        <f>DO65*VLOOKUP('Données projet'!$B$14,Paramètres!$A$1:$I$89,3,0)*VLOOKUP('Données projet'!$B$14,Paramètres!$A$1:$I$89,5,0)</f>
        <v>-5.4683368944097308E-14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122.60806128440754</v>
      </c>
      <c r="DU65" s="62">
        <f t="shared" si="44"/>
        <v>73.937252053142004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>
        <f>EJ65*VLOOKUP('Données projet'!$B$15,Paramètres!$A$1:$I$89,3,0)*VLOOKUP('Données projet'!$B$15,Paramètres!$A$1:$I$89,5,0)</f>
        <v>0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0</v>
      </c>
      <c r="EP65" s="62">
        <f t="shared" si="46"/>
        <v>0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382.55387448074327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1.1456931909527943</v>
      </c>
      <c r="AA66" s="23">
        <f>EXP(-LN(2)/25)*AA65+(1-EXP(-LN(2)/25))/(LN(2)/25)*Calculateur!V66*Calculateur!X66*VLOOKUP('Données projet'!$B$9,Paramètres!$A$1:$I$89,3,0)*0.475*44/12</f>
        <v>4.2795855999494234</v>
      </c>
      <c r="AB66" s="23">
        <f>EXP(-LN(2)/2)*AB65+(1-EXP(-LN(2)/2))/(LN(2)/2)*V66*Y66*VLOOKUP('Données projet'!$B$9,Paramètres!$A$1:$I$89,3,0)*0.475*44/12</f>
        <v>2.4305068430276734E-4</v>
      </c>
      <c r="AC66" s="24">
        <f t="shared" si="3"/>
        <v>5.4255218415865212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269.64423257646359</v>
      </c>
      <c r="AO66" s="62">
        <f t="shared" si="36"/>
        <v>161.0819079811821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8.5265128291212022E-14</v>
      </c>
      <c r="BE66" s="14">
        <f>BD66*VLOOKUP('Données projet'!$B$11,Paramètres!$A$1:$I$89,3,0)*VLOOKUP('Données projet'!$B$11,Paramètres!$A$1:$I$89,5,0)</f>
        <v>3.990408004028723E-14</v>
      </c>
      <c r="BF66" s="14">
        <f t="shared" si="37"/>
        <v>6.6713074187844705E-13</v>
      </c>
      <c r="BG66" s="22">
        <f t="shared" si="7"/>
        <v>1.2314189815084623E-12</v>
      </c>
      <c r="BH66" s="62">
        <f t="shared" si="8"/>
        <v>293.33333333333456</v>
      </c>
      <c r="BI66" s="62">
        <f ca="1">AVERAGE(OFFSET($BH$3,0,0,'Données projet'!$E$11+1,1))-AVERAGE(OFFSET($H$3,0,0,'Données projet'!$E$11+1,1))</f>
        <v>90.797383835887558</v>
      </c>
      <c r="BJ66" s="62">
        <f t="shared" si="38"/>
        <v>104.31413437636684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0.50214287067237706</v>
      </c>
      <c r="BQ66" s="23">
        <f>EXP(-LN(2)/25)*BQ65+(1-EXP(-LN(2)/25))/(LN(2)/25)*Calculateur!BL66*Calculateur!BN66*VLOOKUP('Données projet'!$B$11,Paramètres!$A$1:$I$89,3,0)*0.475*44/12</f>
        <v>1.6995992089994676</v>
      </c>
      <c r="BR66" s="23">
        <f>EXP(-LN(2)/2)*BR65+(1-EXP(-LN(2)/2))/(LN(2)/2)*BL66*BO66*VLOOKUP('Données projet'!$B$11,Paramètres!$A$1:$I$89,3,0)*0.475*44/12</f>
        <v>3.1928220514126453E-5</v>
      </c>
      <c r="BS66" s="24">
        <f t="shared" si="9"/>
        <v>2.2017740078923587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304</v>
      </c>
      <c r="BZ66" s="14">
        <f>BY66*VLOOKUP('Données projet'!$B$12,Paramètres!$A$1:$I$89,3,0)*VLOOKUP('Données projet'!$B$12,Paramètres!$A$1:$I$89,5,0)</f>
        <v>189.696</v>
      </c>
      <c r="CA66" s="14">
        <f t="shared" si="39"/>
        <v>47.472736505152469</v>
      </c>
      <c r="CB66" s="22">
        <f t="shared" si="10"/>
        <v>413.06888274647389</v>
      </c>
      <c r="CC66" s="62">
        <f t="shared" si="11"/>
        <v>706.4022160798072</v>
      </c>
      <c r="CD66" s="62">
        <f ca="1">AVERAGE(OFFSET($CC$3,0,0,'Données projet'!$E$12+1,1))-AVERAGE(OFFSET($H$3,0,0,'Données projet'!$E$12+1,1))</f>
        <v>179.44051550872138</v>
      </c>
      <c r="CE66" s="62">
        <f t="shared" si="40"/>
        <v>272.9500808380069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2.5967431973172892</v>
      </c>
      <c r="CL66" s="23">
        <f>EXP(-LN(2)/25)*CL65+(1-EXP(-LN(2)/25))/(LN(2)/25)*Calculateur!CG66*Calculateur!CI66*VLOOKUP('Données projet'!$B$12,Paramètres!$A$1:$I$89,3,0)*0.475*44/12</f>
        <v>8.0368149833864457</v>
      </c>
      <c r="CM66" s="23">
        <f>EXP(-LN(2)/2)*CM65+(1-EXP(-LN(2)/2))/(LN(2)/2)*CG66*CJ66*VLOOKUP('Données projet'!$B$12,Paramètres!$A$1:$I$89,3,0)*0.475*44/12</f>
        <v>2.223493863961353E-4</v>
      </c>
      <c r="CN66" s="24">
        <f t="shared" si="12"/>
        <v>10.633780530090132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277.99999999999994</v>
      </c>
      <c r="CU66" s="18">
        <f>CT66*VLOOKUP('Données projet'!$B$13,Paramètres!$A$1:$I$89,3,0)*VLOOKUP('Données projet'!$B$13,Paramètres!$A$1:$I$89,5,0)</f>
        <v>151.78799999999998</v>
      </c>
      <c r="CV66" s="14">
        <f t="shared" si="41"/>
        <v>38.984634390835623</v>
      </c>
      <c r="CW66" s="22">
        <f t="shared" si="13"/>
        <v>332.26233823070532</v>
      </c>
      <c r="CX66" s="62">
        <f t="shared" si="14"/>
        <v>625.59567156403864</v>
      </c>
      <c r="CY66" s="62">
        <f ca="1">AVERAGE(OFFSET($CX$3,0,0,'Données projet'!$E$13+1,1))-AVERAGE(OFFSET($H$3,0,0,'Données projet'!$E$13+1,1))</f>
        <v>159.92263609041913</v>
      </c>
      <c r="CZ66" s="62">
        <f t="shared" si="42"/>
        <v>271.78119133009307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3.4043711373508709</v>
      </c>
      <c r="DG66" s="23">
        <f>EXP(-LN(2)/25)*DG65+(1-EXP(-LN(2)/25))/(LN(2)/25)*Calculateur!DB66*Calculateur!DD66*VLOOKUP('Données projet'!$B$13,Paramètres!$A$1:$I$89,3,0)*0.475*44/12</f>
        <v>11.720488118273707</v>
      </c>
      <c r="DH66" s="23">
        <f>EXP(-LN(2)/2)*DH65+(1-EXP(-LN(2)/2))/(LN(2)/2)*DB66*DE66*VLOOKUP('Données projet'!$B$13,Paramètres!$A$1:$I$89,3,0)*0.475*44/12</f>
        <v>2.9600900673102792E-4</v>
      </c>
      <c r="DI66" s="24">
        <f t="shared" si="15"/>
        <v>15.12515526463131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-1.1368683772161603E-13</v>
      </c>
      <c r="DP66" s="18">
        <f>DO66*VLOOKUP('Données projet'!$B$14,Paramètres!$A$1:$I$89,3,0)*VLOOKUP('Données projet'!$B$14,Paramètres!$A$1:$I$89,5,0)</f>
        <v>-5.4683368944097308E-14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122.60806128440754</v>
      </c>
      <c r="DU66" s="62">
        <f t="shared" si="44"/>
        <v>73.937252053142004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>
        <f>EJ66*VLOOKUP('Données projet'!$B$15,Paramètres!$A$1:$I$89,3,0)*VLOOKUP('Données projet'!$B$15,Paramètres!$A$1:$I$89,5,0)</f>
        <v>0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0</v>
      </c>
      <c r="EP66" s="62">
        <f t="shared" si="46"/>
        <v>0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382.55387448074327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1.1232268462820554</v>
      </c>
      <c r="AA67" s="23">
        <f>EXP(-LN(2)/25)*AA66+(1-EXP(-LN(2)/25))/(LN(2)/25)*Calculateur!V67*Calculateur!X67*VLOOKUP('Données projet'!$B$9,Paramètres!$A$1:$I$89,3,0)*0.475*44/12</f>
        <v>4.1625601066651807</v>
      </c>
      <c r="AB67" s="23">
        <f>EXP(-LN(2)/2)*AB66+(1-EXP(-LN(2)/2))/(LN(2)/2)*V67*Y67*VLOOKUP('Données projet'!$B$9,Paramètres!$A$1:$I$89,3,0)*0.475*44/12</f>
        <v>1.7186278704251756E-4</v>
      </c>
      <c r="AC67" s="24">
        <f t="shared" si="3"/>
        <v>5.2859588157342783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269.64423257646359</v>
      </c>
      <c r="AO67" s="62">
        <f t="shared" si="36"/>
        <v>161.0819079811821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8.5265128291212022E-14</v>
      </c>
      <c r="BE67" s="14">
        <f>BD67*VLOOKUP('Données projet'!$B$11,Paramètres!$A$1:$I$89,3,0)*VLOOKUP('Données projet'!$B$11,Paramètres!$A$1:$I$89,5,0)</f>
        <v>3.990408004028723E-14</v>
      </c>
      <c r="BF67" s="14">
        <f t="shared" si="37"/>
        <v>6.6713074187844705E-13</v>
      </c>
      <c r="BG67" s="22">
        <f t="shared" si="7"/>
        <v>1.2314189815084623E-12</v>
      </c>
      <c r="BH67" s="62">
        <f t="shared" si="8"/>
        <v>293.33333333333456</v>
      </c>
      <c r="BI67" s="62">
        <f ca="1">AVERAGE(OFFSET($BH$3,0,0,'Données projet'!$E$11+1,1))-AVERAGE(OFFSET($H$3,0,0,'Données projet'!$E$11+1,1))</f>
        <v>90.797383835887558</v>
      </c>
      <c r="BJ67" s="62">
        <f t="shared" si="38"/>
        <v>104.31413437636684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0.49229615525540055</v>
      </c>
      <c r="BQ67" s="23">
        <f>EXP(-LN(2)/25)*BQ66+(1-EXP(-LN(2)/25))/(LN(2)/25)*Calculateur!BL67*Calculateur!BN67*VLOOKUP('Données projet'!$B$11,Paramètres!$A$1:$I$89,3,0)*0.475*44/12</f>
        <v>1.6531235792513392</v>
      </c>
      <c r="BR67" s="23">
        <f>EXP(-LN(2)/2)*BR66+(1-EXP(-LN(2)/2))/(LN(2)/2)*BL67*BO67*VLOOKUP('Données projet'!$B$11,Paramètres!$A$1:$I$89,3,0)*0.475*44/12</f>
        <v>2.2576661236758252E-5</v>
      </c>
      <c r="BS67" s="24">
        <f t="shared" si="9"/>
        <v>2.1454423111679768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304</v>
      </c>
      <c r="BZ67" s="14">
        <f>BY67*VLOOKUP('Données projet'!$B$12,Paramètres!$A$1:$I$89,3,0)*VLOOKUP('Données projet'!$B$12,Paramètres!$A$1:$I$89,5,0)</f>
        <v>189.696</v>
      </c>
      <c r="CA67" s="14">
        <f t="shared" si="39"/>
        <v>47.472736505152469</v>
      </c>
      <c r="CB67" s="22">
        <f t="shared" si="10"/>
        <v>413.06888274647389</v>
      </c>
      <c r="CC67" s="62">
        <f t="shared" si="11"/>
        <v>706.4022160798072</v>
      </c>
      <c r="CD67" s="62">
        <f ca="1">AVERAGE(OFFSET($CC$3,0,0,'Données projet'!$E$12+1,1))-AVERAGE(OFFSET($H$3,0,0,'Données projet'!$E$12+1,1))</f>
        <v>179.44051550872138</v>
      </c>
      <c r="CE67" s="62">
        <f t="shared" si="40"/>
        <v>272.9500808380069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2.5458226470748548</v>
      </c>
      <c r="CL67" s="23">
        <f>EXP(-LN(2)/25)*CL66+(1-EXP(-LN(2)/25))/(LN(2)/25)*Calculateur!CG67*Calculateur!CI67*VLOOKUP('Données projet'!$B$12,Paramètres!$A$1:$I$89,3,0)*0.475*44/12</f>
        <v>7.8170478550280116</v>
      </c>
      <c r="CM67" s="23">
        <f>EXP(-LN(2)/2)*CM66+(1-EXP(-LN(2)/2))/(LN(2)/2)*CG67*CJ67*VLOOKUP('Données projet'!$B$12,Paramètres!$A$1:$I$89,3,0)*0.475*44/12</f>
        <v>1.5722475891337515E-4</v>
      </c>
      <c r="CN67" s="24">
        <f t="shared" si="12"/>
        <v>10.36302772686178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277.99999999999994</v>
      </c>
      <c r="CU67" s="18">
        <f>CT67*VLOOKUP('Données projet'!$B$13,Paramètres!$A$1:$I$89,3,0)*VLOOKUP('Données projet'!$B$13,Paramètres!$A$1:$I$89,5,0)</f>
        <v>151.78799999999998</v>
      </c>
      <c r="CV67" s="14">
        <f t="shared" si="41"/>
        <v>38.984634390835623</v>
      </c>
      <c r="CW67" s="22">
        <f t="shared" si="13"/>
        <v>332.26233823070532</v>
      </c>
      <c r="CX67" s="62">
        <f t="shared" si="14"/>
        <v>625.59567156403864</v>
      </c>
      <c r="CY67" s="62">
        <f ca="1">AVERAGE(OFFSET($CX$3,0,0,'Données projet'!$E$13+1,1))-AVERAGE(OFFSET($H$3,0,0,'Données projet'!$E$13+1,1))</f>
        <v>159.92263609041913</v>
      </c>
      <c r="CZ67" s="62">
        <f t="shared" si="42"/>
        <v>271.78119133009307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3.3376134958087804</v>
      </c>
      <c r="DG67" s="23">
        <f>EXP(-LN(2)/25)*DG66+(1-EXP(-LN(2)/25))/(LN(2)/25)*Calculateur!DB67*Calculateur!DD67*VLOOKUP('Données projet'!$B$13,Paramètres!$A$1:$I$89,3,0)*0.475*44/12</f>
        <v>11.399990754325829</v>
      </c>
      <c r="DH67" s="23">
        <f>EXP(-LN(2)/2)*DH66+(1-EXP(-LN(2)/2))/(LN(2)/2)*DB67*DE67*VLOOKUP('Données projet'!$B$13,Paramètres!$A$1:$I$89,3,0)*0.475*44/12</f>
        <v>2.0930997595180423E-4</v>
      </c>
      <c r="DI67" s="24">
        <f t="shared" si="15"/>
        <v>14.737813560110562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-1.1368683772161603E-13</v>
      </c>
      <c r="DP67" s="18">
        <f>DO67*VLOOKUP('Données projet'!$B$14,Paramètres!$A$1:$I$89,3,0)*VLOOKUP('Données projet'!$B$14,Paramètres!$A$1:$I$89,5,0)</f>
        <v>-5.4683368944097308E-14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122.60806128440754</v>
      </c>
      <c r="DU67" s="62">
        <f t="shared" si="44"/>
        <v>73.937252053142004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>
        <f>EJ67*VLOOKUP('Données projet'!$B$15,Paramètres!$A$1:$I$89,3,0)*VLOOKUP('Données projet'!$B$15,Paramètres!$A$1:$I$89,5,0)</f>
        <v>0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0</v>
      </c>
      <c r="EP67" s="62">
        <f t="shared" si="46"/>
        <v>0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382.55387448074327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1.1012010529271925</v>
      </c>
      <c r="AA68" s="23">
        <f>EXP(-LN(2)/25)*AA67+(1-EXP(-LN(2)/25))/(LN(2)/25)*Calculateur!V68*Calculateur!X68*VLOOKUP('Données projet'!$B$9,Paramètres!$A$1:$I$89,3,0)*0.475*44/12</f>
        <v>4.0487346816488987</v>
      </c>
      <c r="AB68" s="23">
        <f>EXP(-LN(2)/2)*AB67+(1-EXP(-LN(2)/2))/(LN(2)/2)*V68*Y68*VLOOKUP('Données projet'!$B$9,Paramètres!$A$1:$I$89,3,0)*0.475*44/12</f>
        <v>1.2152534215138368E-4</v>
      </c>
      <c r="AC68" s="24">
        <f t="shared" ref="AC68:AC131" si="57">SUM(Z68:AB68)</f>
        <v>5.1500572599182428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269.64423257646359</v>
      </c>
      <c r="AO68" s="62">
        <f t="shared" si="36"/>
        <v>161.0819079811821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8.5265128291212022E-14</v>
      </c>
      <c r="BE68" s="14">
        <f>BD68*VLOOKUP('Données projet'!$B$11,Paramètres!$A$1:$I$89,3,0)*VLOOKUP('Données projet'!$B$11,Paramètres!$A$1:$I$89,5,0)</f>
        <v>3.990408004028723E-14</v>
      </c>
      <c r="BF68" s="14">
        <f t="shared" si="37"/>
        <v>6.6713074187844705E-13</v>
      </c>
      <c r="BG68" s="22">
        <f t="shared" ref="BG68:BG131" si="61">(BE68+BF68)*0.475*44/12</f>
        <v>1.2314189815084623E-12</v>
      </c>
      <c r="BH68" s="62">
        <f t="shared" ref="BH68:BH131" si="62">BG68+(AY68+AZ68)*44/12</f>
        <v>293.33333333333456</v>
      </c>
      <c r="BI68" s="62">
        <f ca="1">AVERAGE(OFFSET($BH$3,0,0,'Données projet'!$E$11+1,1))-AVERAGE(OFFSET($H$3,0,0,'Données projet'!$E$11+1,1))</f>
        <v>90.797383835887558</v>
      </c>
      <c r="BJ68" s="62">
        <f t="shared" si="38"/>
        <v>104.31413437636684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0.48264252792184753</v>
      </c>
      <c r="BQ68" s="23">
        <f>EXP(-LN(2)/25)*BQ67+(1-EXP(-LN(2)/25))/(LN(2)/25)*Calculateur!BL68*Calculateur!BN68*VLOOKUP('Données projet'!$B$11,Paramètres!$A$1:$I$89,3,0)*0.475*44/12</f>
        <v>1.6079188280427206</v>
      </c>
      <c r="BR68" s="23">
        <f>EXP(-LN(2)/2)*BR67+(1-EXP(-LN(2)/2))/(LN(2)/2)*BL68*BO68*VLOOKUP('Données projet'!$B$11,Paramètres!$A$1:$I$89,3,0)*0.475*44/12</f>
        <v>1.5964110257063226E-5</v>
      </c>
      <c r="BS68" s="24">
        <f t="shared" ref="BS68:BS131" si="63">SUM(BP68:BR68)</f>
        <v>2.0905773200748254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304</v>
      </c>
      <c r="BZ68" s="14">
        <f>BY68*VLOOKUP('Données projet'!$B$12,Paramètres!$A$1:$I$89,3,0)*VLOOKUP('Données projet'!$B$12,Paramètres!$A$1:$I$89,5,0)</f>
        <v>189.696</v>
      </c>
      <c r="CA68" s="14">
        <f t="shared" si="39"/>
        <v>47.472736505152469</v>
      </c>
      <c r="CB68" s="22">
        <f t="shared" ref="CB68:CB131" si="64">(BZ68+CA68)*0.475*44/12</f>
        <v>413.06888274647389</v>
      </c>
      <c r="CC68" s="62">
        <f t="shared" ref="CC68:CC131" si="65">CB68+(BT68+BU68)*44/12</f>
        <v>706.4022160798072</v>
      </c>
      <c r="CD68" s="62">
        <f ca="1">AVERAGE(OFFSET($CC$3,0,0,'Données projet'!$E$12+1,1))-AVERAGE(OFFSET($H$3,0,0,'Données projet'!$E$12+1,1))</f>
        <v>179.44051550872138</v>
      </c>
      <c r="CE68" s="62">
        <f t="shared" si="40"/>
        <v>272.9500808380069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2.4959006177642054</v>
      </c>
      <c r="CL68" s="23">
        <f>EXP(-LN(2)/25)*CL67+(1-EXP(-LN(2)/25))/(LN(2)/25)*Calculateur!CG68*Calculateur!CI68*VLOOKUP('Données projet'!$B$12,Paramètres!$A$1:$I$89,3,0)*0.475*44/12</f>
        <v>7.6032902703515903</v>
      </c>
      <c r="CM68" s="23">
        <f>EXP(-LN(2)/2)*CM67+(1-EXP(-LN(2)/2))/(LN(2)/2)*CG68*CJ68*VLOOKUP('Données projet'!$B$12,Paramètres!$A$1:$I$89,3,0)*0.475*44/12</f>
        <v>1.1117469319806765E-4</v>
      </c>
      <c r="CN68" s="24">
        <f t="shared" ref="CN68:CN131" si="66">SUM(CK68:CM68)</f>
        <v>10.099302062808993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277.99999999999994</v>
      </c>
      <c r="CU68" s="18">
        <f>CT68*VLOOKUP('Données projet'!$B$13,Paramètres!$A$1:$I$89,3,0)*VLOOKUP('Données projet'!$B$13,Paramètres!$A$1:$I$89,5,0)</f>
        <v>151.78799999999998</v>
      </c>
      <c r="CV68" s="14">
        <f t="shared" si="41"/>
        <v>38.984634390835623</v>
      </c>
      <c r="CW68" s="22">
        <f t="shared" ref="CW68:CW131" si="67">(CU68+CV68)*0.475*44/12</f>
        <v>332.26233823070532</v>
      </c>
      <c r="CX68" s="62">
        <f t="shared" ref="CX68:CX131" si="68">CW68+(CO68+CP68)*44/12</f>
        <v>625.59567156403864</v>
      </c>
      <c r="CY68" s="62">
        <f ca="1">AVERAGE(OFFSET($CX$3,0,0,'Données projet'!$E$13+1,1))-AVERAGE(OFFSET($H$3,0,0,'Données projet'!$E$13+1,1))</f>
        <v>159.92263609041913</v>
      </c>
      <c r="CZ68" s="62">
        <f t="shared" si="42"/>
        <v>271.78119133009307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3.2721649308991898</v>
      </c>
      <c r="DG68" s="23">
        <f>EXP(-LN(2)/25)*DG67+(1-EXP(-LN(2)/25))/(LN(2)/25)*Calculateur!DB68*Calculateur!DD68*VLOOKUP('Données projet'!$B$13,Paramètres!$A$1:$I$89,3,0)*0.475*44/12</f>
        <v>11.08825740764933</v>
      </c>
      <c r="DH68" s="23">
        <f>EXP(-LN(2)/2)*DH67+(1-EXP(-LN(2)/2))/(LN(2)/2)*DB68*DE68*VLOOKUP('Données projet'!$B$13,Paramètres!$A$1:$I$89,3,0)*0.475*44/12</f>
        <v>1.4800450336551396E-4</v>
      </c>
      <c r="DI68" s="24">
        <f t="shared" ref="DI68:DI131" si="69">SUM(DF68:DH68)</f>
        <v>14.360570343051887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-1.1368683772161603E-13</v>
      </c>
      <c r="DP68" s="18">
        <f>DO68*VLOOKUP('Données projet'!$B$14,Paramètres!$A$1:$I$89,3,0)*VLOOKUP('Données projet'!$B$14,Paramètres!$A$1:$I$89,5,0)</f>
        <v>-5.4683368944097308E-14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122.60806128440754</v>
      </c>
      <c r="DU68" s="62">
        <f t="shared" si="44"/>
        <v>73.937252053142004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>
        <f>EJ68*VLOOKUP('Données projet'!$B$15,Paramètres!$A$1:$I$89,3,0)*VLOOKUP('Données projet'!$B$15,Paramètres!$A$1:$I$89,5,0)</f>
        <v>0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0</v>
      </c>
      <c r="EP68" s="62">
        <f t="shared" si="46"/>
        <v>0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382.55387448074327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1.0796071719456111</v>
      </c>
      <c r="AA69" s="23">
        <f>EXP(-LN(2)/25)*AA68+(1-EXP(-LN(2)/25))/(LN(2)/25)*Calculateur!V69*Calculateur!X69*VLOOKUP('Données projet'!$B$9,Paramètres!$A$1:$I$89,3,0)*0.475*44/12</f>
        <v>3.9380218188655061</v>
      </c>
      <c r="AB69" s="23">
        <f>EXP(-LN(2)/2)*AB68+(1-EXP(-LN(2)/2))/(LN(2)/2)*V69*Y69*VLOOKUP('Données projet'!$B$9,Paramètres!$A$1:$I$89,3,0)*0.475*44/12</f>
        <v>8.5931393521258793E-5</v>
      </c>
      <c r="AC69" s="24">
        <f t="shared" si="57"/>
        <v>5.0177149222046378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269.64423257646359</v>
      </c>
      <c r="AO69" s="62">
        <f t="shared" ref="AO69:AO132" si="90">$AO$3</f>
        <v>161.0819079811821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8.5265128291212022E-14</v>
      </c>
      <c r="BE69" s="14">
        <f>BD69*VLOOKUP('Données projet'!$B$11,Paramètres!$A$1:$I$89,3,0)*VLOOKUP('Données projet'!$B$11,Paramètres!$A$1:$I$89,5,0)</f>
        <v>3.990408004028723E-14</v>
      </c>
      <c r="BF69" s="14">
        <f t="shared" ref="BF69:BF132" si="91">EXP(-1.0587+0.8836*LN(BE69)+0.284)</f>
        <v>6.6713074187844705E-13</v>
      </c>
      <c r="BG69" s="22">
        <f t="shared" si="61"/>
        <v>1.2314189815084623E-12</v>
      </c>
      <c r="BH69" s="62">
        <f t="shared" si="62"/>
        <v>293.33333333333456</v>
      </c>
      <c r="BI69" s="62">
        <f ca="1">AVERAGE(OFFSET($BH$3,0,0,'Données projet'!$E$11+1,1))-AVERAGE(OFFSET($H$3,0,0,'Données projet'!$E$11+1,1))</f>
        <v>90.797383835887558</v>
      </c>
      <c r="BJ69" s="62">
        <f t="shared" ref="BJ69:BJ132" si="92">$BJ$3</f>
        <v>104.31413437636684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0.47317820233217422</v>
      </c>
      <c r="BQ69" s="23">
        <f>EXP(-LN(2)/25)*BQ68+(1-EXP(-LN(2)/25))/(LN(2)/25)*Calculateur!BL69*Calculateur!BN69*VLOOKUP('Données projet'!$B$11,Paramètres!$A$1:$I$89,3,0)*0.475*44/12</f>
        <v>1.5639502031331161</v>
      </c>
      <c r="BR69" s="23">
        <f>EXP(-LN(2)/2)*BR68+(1-EXP(-LN(2)/2))/(LN(2)/2)*BL69*BO69*VLOOKUP('Données projet'!$B$11,Paramètres!$A$1:$I$89,3,0)*0.475*44/12</f>
        <v>1.1288330618379126E-5</v>
      </c>
      <c r="BS69" s="24">
        <f t="shared" si="63"/>
        <v>2.0371396937959085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304</v>
      </c>
      <c r="BZ69" s="14">
        <f>BY69*VLOOKUP('Données projet'!$B$12,Paramètres!$A$1:$I$89,3,0)*VLOOKUP('Données projet'!$B$12,Paramètres!$A$1:$I$89,5,0)</f>
        <v>189.696</v>
      </c>
      <c r="CA69" s="14">
        <f t="shared" ref="CA69:CA132" si="93">EXP(-1.0587+0.8836*LN(BZ69)+0.284)</f>
        <v>47.472736505152469</v>
      </c>
      <c r="CB69" s="22">
        <f t="shared" si="64"/>
        <v>413.06888274647389</v>
      </c>
      <c r="CC69" s="62">
        <f t="shared" si="65"/>
        <v>706.4022160798072</v>
      </c>
      <c r="CD69" s="62">
        <f ca="1">AVERAGE(OFFSET($CC$3,0,0,'Données projet'!$E$12+1,1))-AVERAGE(OFFSET($H$3,0,0,'Données projet'!$E$12+1,1))</f>
        <v>179.44051550872138</v>
      </c>
      <c r="CE69" s="62">
        <f t="shared" ref="CE69:CE132" si="94">$CE$3</f>
        <v>272.9500808380069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2.4469575289989067</v>
      </c>
      <c r="CL69" s="23">
        <f>EXP(-LN(2)/25)*CL68+(1-EXP(-LN(2)/25))/(LN(2)/25)*Calculateur!CG69*Calculateur!CI69*VLOOKUP('Données projet'!$B$12,Paramètres!$A$1:$I$89,3,0)*0.475*44/12</f>
        <v>7.3953778980691682</v>
      </c>
      <c r="CM69" s="23">
        <f>EXP(-LN(2)/2)*CM68+(1-EXP(-LN(2)/2))/(LN(2)/2)*CG69*CJ69*VLOOKUP('Données projet'!$B$12,Paramètres!$A$1:$I$89,3,0)*0.475*44/12</f>
        <v>7.8612379456687574E-5</v>
      </c>
      <c r="CN69" s="24">
        <f t="shared" si="66"/>
        <v>9.8424140394475312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277.99999999999994</v>
      </c>
      <c r="CU69" s="18">
        <f>CT69*VLOOKUP('Données projet'!$B$13,Paramètres!$A$1:$I$89,3,0)*VLOOKUP('Données projet'!$B$13,Paramètres!$A$1:$I$89,5,0)</f>
        <v>151.78799999999998</v>
      </c>
      <c r="CV69" s="14">
        <f t="shared" ref="CV69:CV132" si="95">EXP(-1.0587+0.8836*LN(CU69)+0.284)</f>
        <v>38.984634390835623</v>
      </c>
      <c r="CW69" s="22">
        <f t="shared" si="67"/>
        <v>332.26233823070532</v>
      </c>
      <c r="CX69" s="62">
        <f t="shared" si="68"/>
        <v>625.59567156403864</v>
      </c>
      <c r="CY69" s="62">
        <f ca="1">AVERAGE(OFFSET($CX$3,0,0,'Données projet'!$E$13+1,1))-AVERAGE(OFFSET($H$3,0,0,'Données projet'!$E$13+1,1))</f>
        <v>159.92263609041913</v>
      </c>
      <c r="CZ69" s="62">
        <f t="shared" ref="CZ69:CZ132" si="96">$CZ$3</f>
        <v>271.78119133009307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3.2079997724277933</v>
      </c>
      <c r="DG69" s="23">
        <f>EXP(-LN(2)/25)*DG68+(1-EXP(-LN(2)/25))/(LN(2)/25)*Calculateur!DB69*Calculateur!DD69*VLOOKUP('Données projet'!$B$13,Paramètres!$A$1:$I$89,3,0)*0.475*44/12</f>
        <v>10.785048425731045</v>
      </c>
      <c r="DH69" s="23">
        <f>EXP(-LN(2)/2)*DH68+(1-EXP(-LN(2)/2))/(LN(2)/2)*DB69*DE69*VLOOKUP('Données projet'!$B$13,Paramètres!$A$1:$I$89,3,0)*0.475*44/12</f>
        <v>1.0465498797590212E-4</v>
      </c>
      <c r="DI69" s="24">
        <f t="shared" si="69"/>
        <v>13.993152853146814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-1.1368683772161603E-13</v>
      </c>
      <c r="DP69" s="18">
        <f>DO69*VLOOKUP('Données projet'!$B$14,Paramètres!$A$1:$I$89,3,0)*VLOOKUP('Données projet'!$B$14,Paramètres!$A$1:$I$89,5,0)</f>
        <v>-5.4683368944097308E-14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122.60806128440754</v>
      </c>
      <c r="DU69" s="62">
        <f t="shared" ref="DU69:DU132" si="98">$DU$3</f>
        <v>73.937252053142004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>
        <f>EJ69*VLOOKUP('Données projet'!$B$15,Paramètres!$A$1:$I$89,3,0)*VLOOKUP('Données projet'!$B$15,Paramètres!$A$1:$I$89,5,0)</f>
        <v>0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0</v>
      </c>
      <c r="EP69" s="62">
        <f t="shared" ref="EP69:EP132" si="100">$EP$3</f>
        <v>0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382.55387448074327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1.0584367337991114</v>
      </c>
      <c r="AA70" s="23">
        <f>EXP(-LN(2)/25)*AA69+(1-EXP(-LN(2)/25))/(LN(2)/25)*Calculateur!V70*Calculateur!X70*VLOOKUP('Données projet'!$B$9,Paramètres!$A$1:$I$89,3,0)*0.475*44/12</f>
        <v>3.8303364051370616</v>
      </c>
      <c r="AB70" s="23">
        <f>EXP(-LN(2)/2)*AB69+(1-EXP(-LN(2)/2))/(LN(2)/2)*V70*Y70*VLOOKUP('Données projet'!$B$9,Paramètres!$A$1:$I$89,3,0)*0.475*44/12</f>
        <v>6.0762671075691854E-5</v>
      </c>
      <c r="AC70" s="24">
        <f t="shared" si="57"/>
        <v>4.8888339016072493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269.64423257646359</v>
      </c>
      <c r="AO70" s="62">
        <f t="shared" si="90"/>
        <v>161.0819079811821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8.5265128291212022E-14</v>
      </c>
      <c r="BE70" s="14">
        <f>BD70*VLOOKUP('Données projet'!$B$11,Paramètres!$A$1:$I$89,3,0)*VLOOKUP('Données projet'!$B$11,Paramètres!$A$1:$I$89,5,0)</f>
        <v>3.990408004028723E-14</v>
      </c>
      <c r="BF70" s="14">
        <f t="shared" si="91"/>
        <v>6.6713074187844705E-13</v>
      </c>
      <c r="BG70" s="22">
        <f t="shared" si="61"/>
        <v>1.2314189815084623E-12</v>
      </c>
      <c r="BH70" s="62">
        <f t="shared" si="62"/>
        <v>293.33333333333456</v>
      </c>
      <c r="BI70" s="62">
        <f ca="1">AVERAGE(OFFSET($BH$3,0,0,'Données projet'!$E$11+1,1))-AVERAGE(OFFSET($H$3,0,0,'Données projet'!$E$11+1,1))</f>
        <v>90.797383835887558</v>
      </c>
      <c r="BJ70" s="62">
        <f t="shared" si="92"/>
        <v>104.31413437636684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0.4638994663946458</v>
      </c>
      <c r="BQ70" s="23">
        <f>EXP(-LN(2)/25)*BQ69+(1-EXP(-LN(2)/25))/(LN(2)/25)*Calculateur!BL70*Calculateur!BN70*VLOOKUP('Données projet'!$B$11,Paramètres!$A$1:$I$89,3,0)*0.475*44/12</f>
        <v>1.5211839025838743</v>
      </c>
      <c r="BR70" s="23">
        <f>EXP(-LN(2)/2)*BR69+(1-EXP(-LN(2)/2))/(LN(2)/2)*BL70*BO70*VLOOKUP('Données projet'!$B$11,Paramètres!$A$1:$I$89,3,0)*0.475*44/12</f>
        <v>7.9820551285316132E-6</v>
      </c>
      <c r="BS70" s="24">
        <f t="shared" si="63"/>
        <v>1.9850913510336488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304</v>
      </c>
      <c r="BZ70" s="14">
        <f>BY70*VLOOKUP('Données projet'!$B$12,Paramètres!$A$1:$I$89,3,0)*VLOOKUP('Données projet'!$B$12,Paramètres!$A$1:$I$89,5,0)</f>
        <v>189.696</v>
      </c>
      <c r="CA70" s="14">
        <f t="shared" si="93"/>
        <v>47.472736505152469</v>
      </c>
      <c r="CB70" s="22">
        <f t="shared" si="64"/>
        <v>413.06888274647389</v>
      </c>
      <c r="CC70" s="62">
        <f t="shared" si="65"/>
        <v>706.4022160798072</v>
      </c>
      <c r="CD70" s="62">
        <f ca="1">AVERAGE(OFFSET($CC$3,0,0,'Données projet'!$E$12+1,1))-AVERAGE(OFFSET($H$3,0,0,'Données projet'!$E$12+1,1))</f>
        <v>179.44051550872138</v>
      </c>
      <c r="CE70" s="62">
        <f t="shared" si="94"/>
        <v>272.9500808380069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2.398974184351959</v>
      </c>
      <c r="CL70" s="23">
        <f>EXP(-LN(2)/25)*CL69+(1-EXP(-LN(2)/25))/(LN(2)/25)*Calculateur!CG70*Calculateur!CI70*VLOOKUP('Données projet'!$B$12,Paramètres!$A$1:$I$89,3,0)*0.475*44/12</f>
        <v>7.1931509005404459</v>
      </c>
      <c r="CM70" s="23">
        <f>EXP(-LN(2)/2)*CM69+(1-EXP(-LN(2)/2))/(LN(2)/2)*CG70*CJ70*VLOOKUP('Données projet'!$B$12,Paramètres!$A$1:$I$89,3,0)*0.475*44/12</f>
        <v>5.5587346599033824E-5</v>
      </c>
      <c r="CN70" s="24">
        <f t="shared" si="66"/>
        <v>9.5921806722390048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277.99999999999994</v>
      </c>
      <c r="CU70" s="18">
        <f>CT70*VLOOKUP('Données projet'!$B$13,Paramètres!$A$1:$I$89,3,0)*VLOOKUP('Données projet'!$B$13,Paramètres!$A$1:$I$89,5,0)</f>
        <v>151.78799999999998</v>
      </c>
      <c r="CV70" s="14">
        <f t="shared" si="95"/>
        <v>38.984634390835623</v>
      </c>
      <c r="CW70" s="22">
        <f t="shared" si="67"/>
        <v>332.26233823070532</v>
      </c>
      <c r="CX70" s="62">
        <f t="shared" si="68"/>
        <v>625.59567156403864</v>
      </c>
      <c r="CY70" s="62">
        <f ca="1">AVERAGE(OFFSET($CX$3,0,0,'Données projet'!$E$13+1,1))-AVERAGE(OFFSET($H$3,0,0,'Données projet'!$E$13+1,1))</f>
        <v>159.92263609041913</v>
      </c>
      <c r="CZ70" s="62">
        <f t="shared" si="96"/>
        <v>271.78119133009307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3.1450928535771387</v>
      </c>
      <c r="DG70" s="23">
        <f>EXP(-LN(2)/25)*DG69+(1-EXP(-LN(2)/25))/(LN(2)/25)*Calculateur!DB70*Calculateur!DD70*VLOOKUP('Données projet'!$B$13,Paramètres!$A$1:$I$89,3,0)*0.475*44/12</f>
        <v>10.490130709368382</v>
      </c>
      <c r="DH70" s="23">
        <f>EXP(-LN(2)/2)*DH69+(1-EXP(-LN(2)/2))/(LN(2)/2)*DB70*DE70*VLOOKUP('Données projet'!$B$13,Paramètres!$A$1:$I$89,3,0)*0.475*44/12</f>
        <v>7.4002251682756979E-5</v>
      </c>
      <c r="DI70" s="24">
        <f t="shared" si="69"/>
        <v>13.635297565197202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-1.1368683772161603E-13</v>
      </c>
      <c r="DP70" s="18">
        <f>DO70*VLOOKUP('Données projet'!$B$14,Paramètres!$A$1:$I$89,3,0)*VLOOKUP('Données projet'!$B$14,Paramètres!$A$1:$I$89,5,0)</f>
        <v>-5.4683368944097308E-14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122.60806128440754</v>
      </c>
      <c r="DU70" s="62">
        <f t="shared" si="98"/>
        <v>73.937252053142004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>
        <f>EJ70*VLOOKUP('Données projet'!$B$15,Paramètres!$A$1:$I$89,3,0)*VLOOKUP('Données projet'!$B$15,Paramètres!$A$1:$I$89,5,0)</f>
        <v>0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0</v>
      </c>
      <c r="EP70" s="62">
        <f t="shared" si="100"/>
        <v>0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382.55387448074327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1.0376814350319725</v>
      </c>
      <c r="AA71" s="23">
        <f>EXP(-LN(2)/25)*AA70+(1-EXP(-LN(2)/25))/(LN(2)/25)*Calculateur!V71*Calculateur!X71*VLOOKUP('Données projet'!$B$9,Paramètres!$A$1:$I$89,3,0)*0.475*44/12</f>
        <v>3.7255956547099514</v>
      </c>
      <c r="AB71" s="23">
        <f>EXP(-LN(2)/2)*AB70+(1-EXP(-LN(2)/2))/(LN(2)/2)*V71*Y71*VLOOKUP('Données projet'!$B$9,Paramètres!$A$1:$I$89,3,0)*0.475*44/12</f>
        <v>4.2965696760629403E-5</v>
      </c>
      <c r="AC71" s="24">
        <f t="shared" si="57"/>
        <v>4.7633200554386841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269.64423257646359</v>
      </c>
      <c r="AO71" s="62">
        <f t="shared" si="90"/>
        <v>161.0819079811821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8.5265128291212022E-14</v>
      </c>
      <c r="BE71" s="14">
        <f>BD71*VLOOKUP('Données projet'!$B$11,Paramètres!$A$1:$I$89,3,0)*VLOOKUP('Données projet'!$B$11,Paramètres!$A$1:$I$89,5,0)</f>
        <v>3.990408004028723E-14</v>
      </c>
      <c r="BF71" s="14">
        <f t="shared" si="91"/>
        <v>6.6713074187844705E-13</v>
      </c>
      <c r="BG71" s="22">
        <f t="shared" si="61"/>
        <v>1.2314189815084623E-12</v>
      </c>
      <c r="BH71" s="62">
        <f t="shared" si="62"/>
        <v>293.33333333333456</v>
      </c>
      <c r="BI71" s="62">
        <f ca="1">AVERAGE(OFFSET($BH$3,0,0,'Données projet'!$E$11+1,1))-AVERAGE(OFFSET($H$3,0,0,'Données projet'!$E$11+1,1))</f>
        <v>90.797383835887558</v>
      </c>
      <c r="BJ71" s="62">
        <f t="shared" si="92"/>
        <v>104.31413437636684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0.45480268080938224</v>
      </c>
      <c r="BQ71" s="23">
        <f>EXP(-LN(2)/25)*BQ70+(1-EXP(-LN(2)/25))/(LN(2)/25)*Calculateur!BL71*Calculateur!BN71*VLOOKUP('Données projet'!$B$11,Paramètres!$A$1:$I$89,3,0)*0.475*44/12</f>
        <v>1.4795870487721334</v>
      </c>
      <c r="BR71" s="23">
        <f>EXP(-LN(2)/2)*BR70+(1-EXP(-LN(2)/2))/(LN(2)/2)*BL71*BO71*VLOOKUP('Données projet'!$B$11,Paramètres!$A$1:$I$89,3,0)*0.475*44/12</f>
        <v>5.6441653091895629E-6</v>
      </c>
      <c r="BS71" s="24">
        <f t="shared" si="63"/>
        <v>1.9343953737468247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304</v>
      </c>
      <c r="BZ71" s="14">
        <f>BY71*VLOOKUP('Données projet'!$B$12,Paramètres!$A$1:$I$89,3,0)*VLOOKUP('Données projet'!$B$12,Paramètres!$A$1:$I$89,5,0)</f>
        <v>189.696</v>
      </c>
      <c r="CA71" s="14">
        <f t="shared" si="93"/>
        <v>47.472736505152469</v>
      </c>
      <c r="CB71" s="22">
        <f t="shared" si="64"/>
        <v>413.06888274647389</v>
      </c>
      <c r="CC71" s="62">
        <f t="shared" si="65"/>
        <v>706.4022160798072</v>
      </c>
      <c r="CD71" s="62">
        <f ca="1">AVERAGE(OFFSET($CC$3,0,0,'Données projet'!$E$12+1,1))-AVERAGE(OFFSET($H$3,0,0,'Données projet'!$E$12+1,1))</f>
        <v>179.44051550872138</v>
      </c>
      <c r="CE71" s="62">
        <f t="shared" si="94"/>
        <v>272.9500808380069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2.3519317638265878</v>
      </c>
      <c r="CL71" s="23">
        <f>EXP(-LN(2)/25)*CL70+(1-EXP(-LN(2)/25))/(LN(2)/25)*Calculateur!CG71*Calculateur!CI71*VLOOKUP('Données projet'!$B$12,Paramètres!$A$1:$I$89,3,0)*0.475*44/12</f>
        <v>6.9964538108938017</v>
      </c>
      <c r="CM71" s="23">
        <f>EXP(-LN(2)/2)*CM70+(1-EXP(-LN(2)/2))/(LN(2)/2)*CG71*CJ71*VLOOKUP('Données projet'!$B$12,Paramètres!$A$1:$I$89,3,0)*0.475*44/12</f>
        <v>3.9306189728343787E-5</v>
      </c>
      <c r="CN71" s="24">
        <f t="shared" si="66"/>
        <v>9.3484248809101178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277.99999999999994</v>
      </c>
      <c r="CU71" s="18">
        <f>CT71*VLOOKUP('Données projet'!$B$13,Paramètres!$A$1:$I$89,3,0)*VLOOKUP('Données projet'!$B$13,Paramètres!$A$1:$I$89,5,0)</f>
        <v>151.78799999999998</v>
      </c>
      <c r="CV71" s="14">
        <f t="shared" si="95"/>
        <v>38.984634390835623</v>
      </c>
      <c r="CW71" s="22">
        <f t="shared" si="67"/>
        <v>332.26233823070532</v>
      </c>
      <c r="CX71" s="62">
        <f t="shared" si="68"/>
        <v>625.59567156403864</v>
      </c>
      <c r="CY71" s="62">
        <f ca="1">AVERAGE(OFFSET($CX$3,0,0,'Données projet'!$E$13+1,1))-AVERAGE(OFFSET($H$3,0,0,'Données projet'!$E$13+1,1))</f>
        <v>159.92263609041913</v>
      </c>
      <c r="CZ71" s="62">
        <f t="shared" si="96"/>
        <v>271.78119133009307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3.0834195010357135</v>
      </c>
      <c r="DG71" s="23">
        <f>EXP(-LN(2)/25)*DG70+(1-EXP(-LN(2)/25))/(LN(2)/25)*Calculateur!DB71*Calculateur!DD71*VLOOKUP('Données projet'!$B$13,Paramètres!$A$1:$I$89,3,0)*0.475*44/12</f>
        <v>10.203277533468704</v>
      </c>
      <c r="DH71" s="23">
        <f>EXP(-LN(2)/2)*DH70+(1-EXP(-LN(2)/2))/(LN(2)/2)*DB71*DE71*VLOOKUP('Données projet'!$B$13,Paramètres!$A$1:$I$89,3,0)*0.475*44/12</f>
        <v>5.2327493987951058E-5</v>
      </c>
      <c r="DI71" s="24">
        <f t="shared" si="69"/>
        <v>13.286749361998405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-1.1368683772161603E-13</v>
      </c>
      <c r="DP71" s="18">
        <f>DO71*VLOOKUP('Données projet'!$B$14,Paramètres!$A$1:$I$89,3,0)*VLOOKUP('Données projet'!$B$14,Paramètres!$A$1:$I$89,5,0)</f>
        <v>-5.4683368944097308E-14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122.60806128440754</v>
      </c>
      <c r="DU71" s="62">
        <f t="shared" si="98"/>
        <v>73.937252053142004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>
        <f>EJ71*VLOOKUP('Données projet'!$B$15,Paramètres!$A$1:$I$89,3,0)*VLOOKUP('Données projet'!$B$15,Paramètres!$A$1:$I$89,5,0)</f>
        <v>0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0</v>
      </c>
      <c r="EP71" s="62">
        <f t="shared" si="100"/>
        <v>0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382.55387448074327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1.017333135014175</v>
      </c>
      <c r="AA72" s="23">
        <f>EXP(-LN(2)/25)*AA71+(1-EXP(-LN(2)/25))/(LN(2)/25)*Calculateur!V72*Calculateur!X72*VLOOKUP('Données projet'!$B$9,Paramètres!$A$1:$I$89,3,0)*0.475*44/12</f>
        <v>3.6237190456113471</v>
      </c>
      <c r="AB72" s="23">
        <f>EXP(-LN(2)/2)*AB71+(1-EXP(-LN(2)/2))/(LN(2)/2)*V72*Y72*VLOOKUP('Données projet'!$B$9,Paramètres!$A$1:$I$89,3,0)*0.475*44/12</f>
        <v>3.0381335537845931E-5</v>
      </c>
      <c r="AC72" s="24">
        <f t="shared" si="57"/>
        <v>4.6410825619610598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269.64423257646359</v>
      </c>
      <c r="AO72" s="62">
        <f t="shared" si="90"/>
        <v>161.0819079811821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8.5265128291212022E-14</v>
      </c>
      <c r="BE72" s="14">
        <f>BD72*VLOOKUP('Données projet'!$B$11,Paramètres!$A$1:$I$89,3,0)*VLOOKUP('Données projet'!$B$11,Paramètres!$A$1:$I$89,5,0)</f>
        <v>3.990408004028723E-14</v>
      </c>
      <c r="BF72" s="14">
        <f t="shared" si="91"/>
        <v>6.6713074187844705E-13</v>
      </c>
      <c r="BG72" s="22">
        <f t="shared" si="61"/>
        <v>1.2314189815084623E-12</v>
      </c>
      <c r="BH72" s="62">
        <f t="shared" si="62"/>
        <v>293.33333333333456</v>
      </c>
      <c r="BI72" s="62">
        <f ca="1">AVERAGE(OFFSET($BH$3,0,0,'Données projet'!$E$11+1,1))-AVERAGE(OFFSET($H$3,0,0,'Données projet'!$E$11+1,1))</f>
        <v>90.797383835887558</v>
      </c>
      <c r="BJ72" s="62">
        <f t="shared" si="92"/>
        <v>104.31413437636684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0.44588427764095434</v>
      </c>
      <c r="BQ72" s="23">
        <f>EXP(-LN(2)/25)*BQ71+(1-EXP(-LN(2)/25))/(LN(2)/25)*Calculateur!BL72*Calculateur!BN72*VLOOKUP('Données projet'!$B$11,Paramètres!$A$1:$I$89,3,0)*0.475*44/12</f>
        <v>1.4391276631153582</v>
      </c>
      <c r="BR72" s="23">
        <f>EXP(-LN(2)/2)*BR71+(1-EXP(-LN(2)/2))/(LN(2)/2)*BL72*BO72*VLOOKUP('Données projet'!$B$11,Paramètres!$A$1:$I$89,3,0)*0.475*44/12</f>
        <v>3.9910275642658066E-6</v>
      </c>
      <c r="BS72" s="24">
        <f t="shared" si="63"/>
        <v>1.8850159317838768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304</v>
      </c>
      <c r="BZ72" s="14">
        <f>BY72*VLOOKUP('Données projet'!$B$12,Paramètres!$A$1:$I$89,3,0)*VLOOKUP('Données projet'!$B$12,Paramètres!$A$1:$I$89,5,0)</f>
        <v>189.696</v>
      </c>
      <c r="CA72" s="14">
        <f t="shared" si="93"/>
        <v>47.472736505152469</v>
      </c>
      <c r="CB72" s="22">
        <f t="shared" si="64"/>
        <v>413.06888274647389</v>
      </c>
      <c r="CC72" s="62">
        <f t="shared" si="65"/>
        <v>706.4022160798072</v>
      </c>
      <c r="CD72" s="62">
        <f ca="1">AVERAGE(OFFSET($CC$3,0,0,'Données projet'!$E$12+1,1))-AVERAGE(OFFSET($H$3,0,0,'Données projet'!$E$12+1,1))</f>
        <v>179.44051550872138</v>
      </c>
      <c r="CE72" s="62">
        <f t="shared" si="94"/>
        <v>272.9500808380069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2.3058118164746757</v>
      </c>
      <c r="CL72" s="23">
        <f>EXP(-LN(2)/25)*CL71+(1-EXP(-LN(2)/25))/(LN(2)/25)*Calculateur!CG72*Calculateur!CI72*VLOOKUP('Données projet'!$B$12,Paramètres!$A$1:$I$89,3,0)*0.475*44/12</f>
        <v>6.8051354135073954</v>
      </c>
      <c r="CM72" s="23">
        <f>EXP(-LN(2)/2)*CM71+(1-EXP(-LN(2)/2))/(LN(2)/2)*CG72*CJ72*VLOOKUP('Données projet'!$B$12,Paramètres!$A$1:$I$89,3,0)*0.475*44/12</f>
        <v>2.7793673299516912E-5</v>
      </c>
      <c r="CN72" s="24">
        <f t="shared" si="66"/>
        <v>9.110975023655369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277.99999999999994</v>
      </c>
      <c r="CU72" s="18">
        <f>CT72*VLOOKUP('Données projet'!$B$13,Paramètres!$A$1:$I$89,3,0)*VLOOKUP('Données projet'!$B$13,Paramètres!$A$1:$I$89,5,0)</f>
        <v>151.78799999999998</v>
      </c>
      <c r="CV72" s="14">
        <f t="shared" si="95"/>
        <v>38.984634390835623</v>
      </c>
      <c r="CW72" s="22">
        <f t="shared" si="67"/>
        <v>332.26233823070532</v>
      </c>
      <c r="CX72" s="62">
        <f t="shared" si="68"/>
        <v>625.59567156403864</v>
      </c>
      <c r="CY72" s="62">
        <f ca="1">AVERAGE(OFFSET($CX$3,0,0,'Données projet'!$E$13+1,1))-AVERAGE(OFFSET($H$3,0,0,'Données projet'!$E$13+1,1))</f>
        <v>159.92263609041913</v>
      </c>
      <c r="CZ72" s="62">
        <f t="shared" si="96"/>
        <v>271.78119133009307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3.0229555253205951</v>
      </c>
      <c r="DG72" s="23">
        <f>EXP(-LN(2)/25)*DG71+(1-EXP(-LN(2)/25))/(LN(2)/25)*Calculateur!DB72*Calculateur!DD72*VLOOKUP('Données projet'!$B$13,Paramètres!$A$1:$I$89,3,0)*0.475*44/12</f>
        <v>9.9242683727489567</v>
      </c>
      <c r="DH72" s="23">
        <f>EXP(-LN(2)/2)*DH71+(1-EXP(-LN(2)/2))/(LN(2)/2)*DB72*DE72*VLOOKUP('Données projet'!$B$13,Paramètres!$A$1:$I$89,3,0)*0.475*44/12</f>
        <v>3.700112584137849E-5</v>
      </c>
      <c r="DI72" s="24">
        <f t="shared" si="69"/>
        <v>12.947260899195394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-1.1368683772161603E-13</v>
      </c>
      <c r="DP72" s="18">
        <f>DO72*VLOOKUP('Données projet'!$B$14,Paramètres!$A$1:$I$89,3,0)*VLOOKUP('Données projet'!$B$14,Paramètres!$A$1:$I$89,5,0)</f>
        <v>-5.4683368944097308E-14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122.60806128440754</v>
      </c>
      <c r="DU72" s="62">
        <f t="shared" si="98"/>
        <v>73.937252053142004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>
        <f>EJ72*VLOOKUP('Données projet'!$B$15,Paramètres!$A$1:$I$89,3,0)*VLOOKUP('Données projet'!$B$15,Paramètres!$A$1:$I$89,5,0)</f>
        <v>0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0</v>
      </c>
      <c r="EP72" s="62">
        <f t="shared" si="100"/>
        <v>0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382.55387448074327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0.99738385274848895</v>
      </c>
      <c r="AA73" s="23">
        <f>EXP(-LN(2)/25)*AA72+(1-EXP(-LN(2)/25))/(LN(2)/25)*Calculateur!V73*Calculateur!X73*VLOOKUP('Données projet'!$B$9,Paramètres!$A$1:$I$89,3,0)*0.475*44/12</f>
        <v>3.5246282577460022</v>
      </c>
      <c r="AB73" s="23">
        <f>EXP(-LN(2)/2)*AB72+(1-EXP(-LN(2)/2))/(LN(2)/2)*V73*Y73*VLOOKUP('Données projet'!$B$9,Paramètres!$A$1:$I$89,3,0)*0.475*44/12</f>
        <v>2.1482848380314705E-5</v>
      </c>
      <c r="AC73" s="24">
        <f t="shared" si="57"/>
        <v>4.5220335933428712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269.64423257646359</v>
      </c>
      <c r="AO73" s="62">
        <f t="shared" si="90"/>
        <v>161.0819079811821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8.5265128291212022E-14</v>
      </c>
      <c r="BE73" s="14">
        <f>BD73*VLOOKUP('Données projet'!$B$11,Paramètres!$A$1:$I$89,3,0)*VLOOKUP('Données projet'!$B$11,Paramètres!$A$1:$I$89,5,0)</f>
        <v>3.990408004028723E-14</v>
      </c>
      <c r="BF73" s="14">
        <f t="shared" si="91"/>
        <v>6.6713074187844705E-13</v>
      </c>
      <c r="BG73" s="22">
        <f t="shared" si="61"/>
        <v>1.2314189815084623E-12</v>
      </c>
      <c r="BH73" s="62">
        <f t="shared" si="62"/>
        <v>293.33333333333456</v>
      </c>
      <c r="BI73" s="62">
        <f ca="1">AVERAGE(OFFSET($BH$3,0,0,'Données projet'!$E$11+1,1))-AVERAGE(OFFSET($H$3,0,0,'Données projet'!$E$11+1,1))</f>
        <v>90.797383835887558</v>
      </c>
      <c r="BJ73" s="62">
        <f t="shared" si="92"/>
        <v>104.31413437636684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0.43714075891897053</v>
      </c>
      <c r="BQ73" s="23">
        <f>EXP(-LN(2)/25)*BQ72+(1-EXP(-LN(2)/25))/(LN(2)/25)*Calculateur!BL73*Calculateur!BN73*VLOOKUP('Données projet'!$B$11,Paramètres!$A$1:$I$89,3,0)*0.475*44/12</f>
        <v>1.399774641487034</v>
      </c>
      <c r="BR73" s="23">
        <f>EXP(-LN(2)/2)*BR72+(1-EXP(-LN(2)/2))/(LN(2)/2)*BL73*BO73*VLOOKUP('Données projet'!$B$11,Paramètres!$A$1:$I$89,3,0)*0.475*44/12</f>
        <v>2.8220826545947815E-6</v>
      </c>
      <c r="BS73" s="24">
        <f t="shared" si="63"/>
        <v>1.8369182224886593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304</v>
      </c>
      <c r="BZ73" s="14">
        <f>BY73*VLOOKUP('Données projet'!$B$12,Paramètres!$A$1:$I$89,3,0)*VLOOKUP('Données projet'!$B$12,Paramètres!$A$1:$I$89,5,0)</f>
        <v>189.696</v>
      </c>
      <c r="CA73" s="14">
        <f t="shared" si="93"/>
        <v>47.472736505152469</v>
      </c>
      <c r="CB73" s="22">
        <f t="shared" si="64"/>
        <v>413.06888274647389</v>
      </c>
      <c r="CC73" s="62">
        <f t="shared" si="65"/>
        <v>706.4022160798072</v>
      </c>
      <c r="CD73" s="62">
        <f ca="1">AVERAGE(OFFSET($CC$3,0,0,'Données projet'!$E$12+1,1))-AVERAGE(OFFSET($H$3,0,0,'Données projet'!$E$12+1,1))</f>
        <v>179.44051550872138</v>
      </c>
      <c r="CE73" s="62">
        <f t="shared" si="94"/>
        <v>272.9500808380069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2.2605962531599442</v>
      </c>
      <c r="CL73" s="23">
        <f>EXP(-LN(2)/25)*CL72+(1-EXP(-LN(2)/25))/(LN(2)/25)*Calculateur!CG73*Calculateur!CI73*VLOOKUP('Données projet'!$B$12,Paramètres!$A$1:$I$89,3,0)*0.475*44/12</f>
        <v>6.6190486277585174</v>
      </c>
      <c r="CM73" s="23">
        <f>EXP(-LN(2)/2)*CM72+(1-EXP(-LN(2)/2))/(LN(2)/2)*CG73*CJ73*VLOOKUP('Données projet'!$B$12,Paramètres!$A$1:$I$89,3,0)*0.475*44/12</f>
        <v>1.9653094864171893E-5</v>
      </c>
      <c r="CN73" s="24">
        <f t="shared" si="66"/>
        <v>8.879664534013326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277.99999999999994</v>
      </c>
      <c r="CU73" s="18">
        <f>CT73*VLOOKUP('Données projet'!$B$13,Paramètres!$A$1:$I$89,3,0)*VLOOKUP('Données projet'!$B$13,Paramètres!$A$1:$I$89,5,0)</f>
        <v>151.78799999999998</v>
      </c>
      <c r="CV73" s="14">
        <f t="shared" si="95"/>
        <v>38.984634390835623</v>
      </c>
      <c r="CW73" s="22">
        <f t="shared" si="67"/>
        <v>332.26233823070532</v>
      </c>
      <c r="CX73" s="62">
        <f t="shared" si="68"/>
        <v>625.59567156403864</v>
      </c>
      <c r="CY73" s="62">
        <f ca="1">AVERAGE(OFFSET($CX$3,0,0,'Données projet'!$E$13+1,1))-AVERAGE(OFFSET($H$3,0,0,'Données projet'!$E$13+1,1))</f>
        <v>159.92263609041913</v>
      </c>
      <c r="CZ73" s="62">
        <f t="shared" si="96"/>
        <v>271.78119133009307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2.9636772112898666</v>
      </c>
      <c r="DG73" s="23">
        <f>EXP(-LN(2)/25)*DG72+(1-EXP(-LN(2)/25))/(LN(2)/25)*Calculateur!DB73*Calculateur!DD73*VLOOKUP('Données projet'!$B$13,Paramètres!$A$1:$I$89,3,0)*0.475*44/12</f>
        <v>9.6528887322015446</v>
      </c>
      <c r="DH73" s="23">
        <f>EXP(-LN(2)/2)*DH72+(1-EXP(-LN(2)/2))/(LN(2)/2)*DB73*DE73*VLOOKUP('Données projet'!$B$13,Paramètres!$A$1:$I$89,3,0)*0.475*44/12</f>
        <v>2.6163746993975529E-5</v>
      </c>
      <c r="DI73" s="24">
        <f t="shared" si="69"/>
        <v>12.616592107238406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-1.1368683772161603E-13</v>
      </c>
      <c r="DP73" s="18">
        <f>DO73*VLOOKUP('Données projet'!$B$14,Paramètres!$A$1:$I$89,3,0)*VLOOKUP('Données projet'!$B$14,Paramètres!$A$1:$I$89,5,0)</f>
        <v>-5.4683368944097308E-14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122.60806128440754</v>
      </c>
      <c r="DU73" s="62">
        <f t="shared" si="98"/>
        <v>73.937252053142004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>
        <f>EJ73*VLOOKUP('Données projet'!$B$15,Paramètres!$A$1:$I$89,3,0)*VLOOKUP('Données projet'!$B$15,Paramètres!$A$1:$I$89,5,0)</f>
        <v>0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0</v>
      </c>
      <c r="EP73" s="62">
        <f t="shared" si="100"/>
        <v>0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382.55387448074327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0.97782576374017227</v>
      </c>
      <c r="AA74" s="23">
        <f>EXP(-LN(2)/25)*AA73+(1-EXP(-LN(2)/25))/(LN(2)/25)*Calculateur!V74*Calculateur!X74*VLOOKUP('Données projet'!$B$9,Paramètres!$A$1:$I$89,3,0)*0.475*44/12</f>
        <v>3.4282471126857934</v>
      </c>
      <c r="AB74" s="23">
        <f>EXP(-LN(2)/2)*AB73+(1-EXP(-LN(2)/2))/(LN(2)/2)*V74*Y74*VLOOKUP('Données projet'!$B$9,Paramètres!$A$1:$I$89,3,0)*0.475*44/12</f>
        <v>1.5190667768922969E-5</v>
      </c>
      <c r="AC74" s="24">
        <f t="shared" si="57"/>
        <v>4.4060880670937346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269.64423257646359</v>
      </c>
      <c r="AO74" s="62">
        <f t="shared" si="90"/>
        <v>161.0819079811821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8.5265128291212022E-14</v>
      </c>
      <c r="BE74" s="14">
        <f>BD74*VLOOKUP('Données projet'!$B$11,Paramètres!$A$1:$I$89,3,0)*VLOOKUP('Données projet'!$B$11,Paramètres!$A$1:$I$89,5,0)</f>
        <v>3.990408004028723E-14</v>
      </c>
      <c r="BF74" s="14">
        <f t="shared" si="91"/>
        <v>6.6713074187844705E-13</v>
      </c>
      <c r="BG74" s="22">
        <f t="shared" si="61"/>
        <v>1.2314189815084623E-12</v>
      </c>
      <c r="BH74" s="62">
        <f t="shared" si="62"/>
        <v>293.33333333333456</v>
      </c>
      <c r="BI74" s="62">
        <f ca="1">AVERAGE(OFFSET($BH$3,0,0,'Données projet'!$E$11+1,1))-AVERAGE(OFFSET($H$3,0,0,'Données projet'!$E$11+1,1))</f>
        <v>90.797383835887558</v>
      </c>
      <c r="BJ74" s="62">
        <f t="shared" si="92"/>
        <v>104.31413437636684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0.42856869526610497</v>
      </c>
      <c r="BQ74" s="23">
        <f>EXP(-LN(2)/25)*BQ73+(1-EXP(-LN(2)/25))/(LN(2)/25)*Calculateur!BL74*Calculateur!BN74*VLOOKUP('Données projet'!$B$11,Paramètres!$A$1:$I$89,3,0)*0.475*44/12</f>
        <v>1.3614977303046218</v>
      </c>
      <c r="BR74" s="23">
        <f>EXP(-LN(2)/2)*BR73+(1-EXP(-LN(2)/2))/(LN(2)/2)*BL74*BO74*VLOOKUP('Données projet'!$B$11,Paramètres!$A$1:$I$89,3,0)*0.475*44/12</f>
        <v>1.9955137821329033E-6</v>
      </c>
      <c r="BS74" s="24">
        <f t="shared" si="63"/>
        <v>1.790068421084509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304</v>
      </c>
      <c r="BZ74" s="14">
        <f>BY74*VLOOKUP('Données projet'!$B$12,Paramètres!$A$1:$I$89,3,0)*VLOOKUP('Données projet'!$B$12,Paramètres!$A$1:$I$89,5,0)</f>
        <v>189.696</v>
      </c>
      <c r="CA74" s="14">
        <f t="shared" si="93"/>
        <v>47.472736505152469</v>
      </c>
      <c r="CB74" s="22">
        <f t="shared" si="64"/>
        <v>413.06888274647389</v>
      </c>
      <c r="CC74" s="62">
        <f t="shared" si="65"/>
        <v>706.4022160798072</v>
      </c>
      <c r="CD74" s="62">
        <f ca="1">AVERAGE(OFFSET($CC$3,0,0,'Données projet'!$E$12+1,1))-AVERAGE(OFFSET($H$3,0,0,'Données projet'!$E$12+1,1))</f>
        <v>179.44051550872138</v>
      </c>
      <c r="CE74" s="62">
        <f t="shared" si="94"/>
        <v>272.9500808380069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2.2162673394630441</v>
      </c>
      <c r="CL74" s="23">
        <f>EXP(-LN(2)/25)*CL73+(1-EXP(-LN(2)/25))/(LN(2)/25)*Calculateur!CG74*Calculateur!CI74*VLOOKUP('Données projet'!$B$12,Paramètres!$A$1:$I$89,3,0)*0.475*44/12</f>
        <v>6.4380503949518211</v>
      </c>
      <c r="CM74" s="23">
        <f>EXP(-LN(2)/2)*CM73+(1-EXP(-LN(2)/2))/(LN(2)/2)*CG74*CJ74*VLOOKUP('Données projet'!$B$12,Paramètres!$A$1:$I$89,3,0)*0.475*44/12</f>
        <v>1.3896836649758456E-5</v>
      </c>
      <c r="CN74" s="24">
        <f t="shared" si="66"/>
        <v>8.6543316312515159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277.99999999999994</v>
      </c>
      <c r="CU74" s="18">
        <f>CT74*VLOOKUP('Données projet'!$B$13,Paramètres!$A$1:$I$89,3,0)*VLOOKUP('Données projet'!$B$13,Paramètres!$A$1:$I$89,5,0)</f>
        <v>151.78799999999998</v>
      </c>
      <c r="CV74" s="14">
        <f t="shared" si="95"/>
        <v>38.984634390835623</v>
      </c>
      <c r="CW74" s="22">
        <f t="shared" si="67"/>
        <v>332.26233823070532</v>
      </c>
      <c r="CX74" s="62">
        <f t="shared" si="68"/>
        <v>625.59567156403864</v>
      </c>
      <c r="CY74" s="62">
        <f ca="1">AVERAGE(OFFSET($CX$3,0,0,'Données projet'!$E$13+1,1))-AVERAGE(OFFSET($H$3,0,0,'Données projet'!$E$13+1,1))</f>
        <v>159.92263609041913</v>
      </c>
      <c r="CZ74" s="62">
        <f t="shared" si="96"/>
        <v>271.78119133009307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2.905561308841079</v>
      </c>
      <c r="DG74" s="23">
        <f>EXP(-LN(2)/25)*DG73+(1-EXP(-LN(2)/25))/(LN(2)/25)*Calculateur!DB74*Calculateur!DD74*VLOOKUP('Données projet'!$B$13,Paramètres!$A$1:$I$89,3,0)*0.475*44/12</f>
        <v>9.3889299821961369</v>
      </c>
      <c r="DH74" s="23">
        <f>EXP(-LN(2)/2)*DH73+(1-EXP(-LN(2)/2))/(LN(2)/2)*DB74*DE74*VLOOKUP('Données projet'!$B$13,Paramètres!$A$1:$I$89,3,0)*0.475*44/12</f>
        <v>1.8500562920689245E-5</v>
      </c>
      <c r="DI74" s="24">
        <f t="shared" si="69"/>
        <v>12.294509791600136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-1.1368683772161603E-13</v>
      </c>
      <c r="DP74" s="18">
        <f>DO74*VLOOKUP('Données projet'!$B$14,Paramètres!$A$1:$I$89,3,0)*VLOOKUP('Données projet'!$B$14,Paramètres!$A$1:$I$89,5,0)</f>
        <v>-5.4683368944097308E-14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122.60806128440754</v>
      </c>
      <c r="DU74" s="62">
        <f t="shared" si="98"/>
        <v>73.937252053142004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>
        <f>EJ74*VLOOKUP('Données projet'!$B$15,Paramètres!$A$1:$I$89,3,0)*VLOOKUP('Données projet'!$B$15,Paramètres!$A$1:$I$89,5,0)</f>
        <v>0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0</v>
      </c>
      <c r="EP74" s="62">
        <f t="shared" si="100"/>
        <v>0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382.55387448074327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0.95865119692805234</v>
      </c>
      <c r="AA75" s="23">
        <f>EXP(-LN(2)/25)*AA74+(1-EXP(-LN(2)/25))/(LN(2)/25)*Calculateur!V75*Calculateur!X75*VLOOKUP('Données projet'!$B$9,Paramètres!$A$1:$I$89,3,0)*0.475*44/12</f>
        <v>3.3345015151057202</v>
      </c>
      <c r="AB75" s="23">
        <f>EXP(-LN(2)/2)*AB74+(1-EXP(-LN(2)/2))/(LN(2)/2)*V75*Y75*VLOOKUP('Données projet'!$B$9,Paramètres!$A$1:$I$89,3,0)*0.475*44/12</f>
        <v>1.0741424190157354E-5</v>
      </c>
      <c r="AC75" s="24">
        <f t="shared" si="57"/>
        <v>4.2931634534579626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269.64423257646359</v>
      </c>
      <c r="AO75" s="62">
        <f t="shared" si="90"/>
        <v>161.0819079811821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8.5265128291212022E-14</v>
      </c>
      <c r="BE75" s="14">
        <f>BD75*VLOOKUP('Données projet'!$B$11,Paramètres!$A$1:$I$89,3,0)*VLOOKUP('Données projet'!$B$11,Paramètres!$A$1:$I$89,5,0)</f>
        <v>3.990408004028723E-14</v>
      </c>
      <c r="BF75" s="14">
        <f t="shared" si="91"/>
        <v>6.6713074187844705E-13</v>
      </c>
      <c r="BG75" s="22">
        <f t="shared" si="61"/>
        <v>1.2314189815084623E-12</v>
      </c>
      <c r="BH75" s="62">
        <f t="shared" si="62"/>
        <v>293.33333333333456</v>
      </c>
      <c r="BI75" s="62">
        <f ca="1">AVERAGE(OFFSET($BH$3,0,0,'Données projet'!$E$11+1,1))-AVERAGE(OFFSET($H$3,0,0,'Données projet'!$E$11+1,1))</f>
        <v>90.797383835887558</v>
      </c>
      <c r="BJ75" s="62">
        <f t="shared" si="92"/>
        <v>104.31413437636684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0.42016472455302956</v>
      </c>
      <c r="BQ75" s="23">
        <f>EXP(-LN(2)/25)*BQ74+(1-EXP(-LN(2)/25))/(LN(2)/25)*Calculateur!BL75*Calculateur!BN75*VLOOKUP('Données projet'!$B$11,Paramètres!$A$1:$I$89,3,0)*0.475*44/12</f>
        <v>1.324267503271388</v>
      </c>
      <c r="BR75" s="23">
        <f>EXP(-LN(2)/2)*BR74+(1-EXP(-LN(2)/2))/(LN(2)/2)*BL75*BO75*VLOOKUP('Données projet'!$B$11,Paramètres!$A$1:$I$89,3,0)*0.475*44/12</f>
        <v>1.4110413272973907E-6</v>
      </c>
      <c r="BS75" s="24">
        <f t="shared" si="63"/>
        <v>1.7444336388657449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304</v>
      </c>
      <c r="BZ75" s="14">
        <f>BY75*VLOOKUP('Données projet'!$B$12,Paramètres!$A$1:$I$89,3,0)*VLOOKUP('Données projet'!$B$12,Paramètres!$A$1:$I$89,5,0)</f>
        <v>189.696</v>
      </c>
      <c r="CA75" s="14">
        <f t="shared" si="93"/>
        <v>47.472736505152469</v>
      </c>
      <c r="CB75" s="22">
        <f t="shared" si="64"/>
        <v>413.06888274647389</v>
      </c>
      <c r="CC75" s="62">
        <f t="shared" si="65"/>
        <v>706.4022160798072</v>
      </c>
      <c r="CD75" s="62">
        <f ca="1">AVERAGE(OFFSET($CC$3,0,0,'Données projet'!$E$12+1,1))-AVERAGE(OFFSET($H$3,0,0,'Données projet'!$E$12+1,1))</f>
        <v>179.44051550872138</v>
      </c>
      <c r="CE75" s="62">
        <f t="shared" si="94"/>
        <v>272.9500808380069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2.1728076887257726</v>
      </c>
      <c r="CL75" s="23">
        <f>EXP(-LN(2)/25)*CL74+(1-EXP(-LN(2)/25))/(LN(2)/25)*Calculateur!CG75*Calculateur!CI75*VLOOKUP('Données projet'!$B$12,Paramètres!$A$1:$I$89,3,0)*0.475*44/12</f>
        <v>6.2620015683395076</v>
      </c>
      <c r="CM75" s="23">
        <f>EXP(-LN(2)/2)*CM74+(1-EXP(-LN(2)/2))/(LN(2)/2)*CG75*CJ75*VLOOKUP('Données projet'!$B$12,Paramètres!$A$1:$I$89,3,0)*0.475*44/12</f>
        <v>9.8265474320859467E-6</v>
      </c>
      <c r="CN75" s="24">
        <f t="shared" si="66"/>
        <v>8.4348190836127124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277.99999999999994</v>
      </c>
      <c r="CU75" s="18">
        <f>CT75*VLOOKUP('Données projet'!$B$13,Paramètres!$A$1:$I$89,3,0)*VLOOKUP('Données projet'!$B$13,Paramètres!$A$1:$I$89,5,0)</f>
        <v>151.78799999999998</v>
      </c>
      <c r="CV75" s="14">
        <f t="shared" si="95"/>
        <v>38.984634390835623</v>
      </c>
      <c r="CW75" s="22">
        <f t="shared" si="67"/>
        <v>332.26233823070532</v>
      </c>
      <c r="CX75" s="62">
        <f t="shared" si="68"/>
        <v>625.59567156403864</v>
      </c>
      <c r="CY75" s="62">
        <f ca="1">AVERAGE(OFFSET($CX$3,0,0,'Données projet'!$E$13+1,1))-AVERAGE(OFFSET($H$3,0,0,'Données projet'!$E$13+1,1))</f>
        <v>159.92263609041913</v>
      </c>
      <c r="CZ75" s="62">
        <f t="shared" si="96"/>
        <v>271.78119133009307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2.8485850237921118</v>
      </c>
      <c r="DG75" s="23">
        <f>EXP(-LN(2)/25)*DG74+(1-EXP(-LN(2)/25))/(LN(2)/25)*Calculateur!DB75*Calculateur!DD75*VLOOKUP('Données projet'!$B$13,Paramètres!$A$1:$I$89,3,0)*0.475*44/12</f>
        <v>9.1321891980906145</v>
      </c>
      <c r="DH75" s="23">
        <f>EXP(-LN(2)/2)*DH74+(1-EXP(-LN(2)/2))/(LN(2)/2)*DB75*DE75*VLOOKUP('Données projet'!$B$13,Paramètres!$A$1:$I$89,3,0)*0.475*44/12</f>
        <v>1.3081873496987765E-5</v>
      </c>
      <c r="DI75" s="24">
        <f t="shared" si="69"/>
        <v>11.980787303756223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-1.1368683772161603E-13</v>
      </c>
      <c r="DP75" s="18">
        <f>DO75*VLOOKUP('Données projet'!$B$14,Paramètres!$A$1:$I$89,3,0)*VLOOKUP('Données projet'!$B$14,Paramètres!$A$1:$I$89,5,0)</f>
        <v>-5.4683368944097308E-14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122.60806128440754</v>
      </c>
      <c r="DU75" s="62">
        <f t="shared" si="98"/>
        <v>73.937252053142004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>
        <f>EJ75*VLOOKUP('Données projet'!$B$15,Paramètres!$A$1:$I$89,3,0)*VLOOKUP('Données projet'!$B$15,Paramètres!$A$1:$I$89,5,0)</f>
        <v>0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0</v>
      </c>
      <c r="EP75" s="62">
        <f t="shared" si="100"/>
        <v>0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382.55387448074327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0.93985263167578714</v>
      </c>
      <c r="AA76" s="23">
        <f>EXP(-LN(2)/25)*AA75+(1-EXP(-LN(2)/25))/(LN(2)/25)*Calculateur!V76*Calculateur!X76*VLOOKUP('Données projet'!$B$9,Paramètres!$A$1:$I$89,3,0)*0.475*44/12</f>
        <v>3.2433193958213407</v>
      </c>
      <c r="AB76" s="23">
        <f>EXP(-LN(2)/2)*AB75+(1-EXP(-LN(2)/2))/(LN(2)/2)*V76*Y76*VLOOKUP('Données projet'!$B$9,Paramètres!$A$1:$I$89,3,0)*0.475*44/12</f>
        <v>7.5953338844614852E-6</v>
      </c>
      <c r="AC76" s="24">
        <f t="shared" si="57"/>
        <v>4.1831796228310125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269.64423257646359</v>
      </c>
      <c r="AO76" s="62">
        <f t="shared" si="90"/>
        <v>161.0819079811821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8.5265128291212022E-14</v>
      </c>
      <c r="BE76" s="14">
        <f>BD76*VLOOKUP('Données projet'!$B$11,Paramètres!$A$1:$I$89,3,0)*VLOOKUP('Données projet'!$B$11,Paramètres!$A$1:$I$89,5,0)</f>
        <v>3.990408004028723E-14</v>
      </c>
      <c r="BF76" s="14">
        <f t="shared" si="91"/>
        <v>6.6713074187844705E-13</v>
      </c>
      <c r="BG76" s="22">
        <f t="shared" si="61"/>
        <v>1.2314189815084623E-12</v>
      </c>
      <c r="BH76" s="62">
        <f t="shared" si="62"/>
        <v>293.33333333333456</v>
      </c>
      <c r="BI76" s="62">
        <f ca="1">AVERAGE(OFFSET($BH$3,0,0,'Données projet'!$E$11+1,1))-AVERAGE(OFFSET($H$3,0,0,'Données projet'!$E$11+1,1))</f>
        <v>90.797383835887558</v>
      </c>
      <c r="BJ76" s="62">
        <f t="shared" si="92"/>
        <v>104.31413437636684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0.41192555057972158</v>
      </c>
      <c r="BQ76" s="23">
        <f>EXP(-LN(2)/25)*BQ75+(1-EXP(-LN(2)/25))/(LN(2)/25)*Calculateur!BL76*Calculateur!BN76*VLOOKUP('Données projet'!$B$11,Paramètres!$A$1:$I$89,3,0)*0.475*44/12</f>
        <v>1.2880553387542306</v>
      </c>
      <c r="BR76" s="23">
        <f>EXP(-LN(2)/2)*BR75+(1-EXP(-LN(2)/2))/(LN(2)/2)*BL76*BO76*VLOOKUP('Données projet'!$B$11,Paramètres!$A$1:$I$89,3,0)*0.475*44/12</f>
        <v>9.9775689106645165E-7</v>
      </c>
      <c r="BS76" s="24">
        <f t="shared" si="63"/>
        <v>1.6999818870908434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304</v>
      </c>
      <c r="BZ76" s="14">
        <f>BY76*VLOOKUP('Données projet'!$B$12,Paramètres!$A$1:$I$89,3,0)*VLOOKUP('Données projet'!$B$12,Paramètres!$A$1:$I$89,5,0)</f>
        <v>189.696</v>
      </c>
      <c r="CA76" s="14">
        <f t="shared" si="93"/>
        <v>47.472736505152469</v>
      </c>
      <c r="CB76" s="22">
        <f t="shared" si="64"/>
        <v>413.06888274647389</v>
      </c>
      <c r="CC76" s="62">
        <f t="shared" si="65"/>
        <v>706.4022160798072</v>
      </c>
      <c r="CD76" s="62">
        <f ca="1">AVERAGE(OFFSET($CC$3,0,0,'Données projet'!$E$12+1,1))-AVERAGE(OFFSET($H$3,0,0,'Données projet'!$E$12+1,1))</f>
        <v>179.44051550872138</v>
      </c>
      <c r="CE76" s="62">
        <f t="shared" si="94"/>
        <v>272.9500808380069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2.1302002552316894</v>
      </c>
      <c r="CL76" s="23">
        <f>EXP(-LN(2)/25)*CL75+(1-EXP(-LN(2)/25))/(LN(2)/25)*Calculateur!CG76*Calculateur!CI76*VLOOKUP('Données projet'!$B$12,Paramètres!$A$1:$I$89,3,0)*0.475*44/12</f>
        <v>6.0907668061489133</v>
      </c>
      <c r="CM76" s="23">
        <f>EXP(-LN(2)/2)*CM75+(1-EXP(-LN(2)/2))/(LN(2)/2)*CG76*CJ76*VLOOKUP('Données projet'!$B$12,Paramètres!$A$1:$I$89,3,0)*0.475*44/12</f>
        <v>6.9484183248792281E-6</v>
      </c>
      <c r="CN76" s="24">
        <f t="shared" si="66"/>
        <v>8.2209740097989261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277.99999999999994</v>
      </c>
      <c r="CU76" s="18">
        <f>CT76*VLOOKUP('Données projet'!$B$13,Paramètres!$A$1:$I$89,3,0)*VLOOKUP('Données projet'!$B$13,Paramètres!$A$1:$I$89,5,0)</f>
        <v>151.78799999999998</v>
      </c>
      <c r="CV76" s="14">
        <f t="shared" si="95"/>
        <v>38.984634390835623</v>
      </c>
      <c r="CW76" s="22">
        <f t="shared" si="67"/>
        <v>332.26233823070532</v>
      </c>
      <c r="CX76" s="62">
        <f t="shared" si="68"/>
        <v>625.59567156403864</v>
      </c>
      <c r="CY76" s="62">
        <f ca="1">AVERAGE(OFFSET($CX$3,0,0,'Données projet'!$E$13+1,1))-AVERAGE(OFFSET($H$3,0,0,'Données projet'!$E$13+1,1))</f>
        <v>159.92263609041913</v>
      </c>
      <c r="CZ76" s="62">
        <f t="shared" si="96"/>
        <v>271.78119133009307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2.7927260089408525</v>
      </c>
      <c r="DG76" s="23">
        <f>EXP(-LN(2)/25)*DG75+(1-EXP(-LN(2)/25))/(LN(2)/25)*Calculateur!DB76*Calculateur!DD76*VLOOKUP('Données projet'!$B$13,Paramètres!$A$1:$I$89,3,0)*0.475*44/12</f>
        <v>8.8824690042278682</v>
      </c>
      <c r="DH76" s="23">
        <f>EXP(-LN(2)/2)*DH75+(1-EXP(-LN(2)/2))/(LN(2)/2)*DB76*DE76*VLOOKUP('Données projet'!$B$13,Paramètres!$A$1:$I$89,3,0)*0.475*44/12</f>
        <v>9.2502814603446224E-6</v>
      </c>
      <c r="DI76" s="24">
        <f t="shared" si="69"/>
        <v>11.675204263450182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-1.1368683772161603E-13</v>
      </c>
      <c r="DP76" s="18">
        <f>DO76*VLOOKUP('Données projet'!$B$14,Paramètres!$A$1:$I$89,3,0)*VLOOKUP('Données projet'!$B$14,Paramètres!$A$1:$I$89,5,0)</f>
        <v>-5.4683368944097308E-14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122.60806128440754</v>
      </c>
      <c r="DU76" s="62">
        <f t="shared" si="98"/>
        <v>73.937252053142004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>
        <f>EJ76*VLOOKUP('Données projet'!$B$15,Paramètres!$A$1:$I$89,3,0)*VLOOKUP('Données projet'!$B$15,Paramètres!$A$1:$I$89,5,0)</f>
        <v>0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0</v>
      </c>
      <c r="EP76" s="62">
        <f t="shared" si="100"/>
        <v>0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382.55387448074327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0.92142269482212624</v>
      </c>
      <c r="AA77" s="23">
        <f>EXP(-LN(2)/25)*AA76+(1-EXP(-LN(2)/25))/(LN(2)/25)*Calculateur!V77*Calculateur!X77*VLOOKUP('Données projet'!$B$9,Paramètres!$A$1:$I$89,3,0)*0.475*44/12</f>
        <v>3.1546306563838518</v>
      </c>
      <c r="AB77" s="23">
        <f>EXP(-LN(2)/2)*AB76+(1-EXP(-LN(2)/2))/(LN(2)/2)*V77*Y77*VLOOKUP('Données projet'!$B$9,Paramètres!$A$1:$I$89,3,0)*0.475*44/12</f>
        <v>5.370712095078678E-6</v>
      </c>
      <c r="AC77" s="24">
        <f t="shared" si="57"/>
        <v>4.0760587219180735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269.64423257646359</v>
      </c>
      <c r="AO77" s="62">
        <f t="shared" si="90"/>
        <v>161.0819079811821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8.5265128291212022E-14</v>
      </c>
      <c r="BE77" s="14">
        <f>BD77*VLOOKUP('Données projet'!$B$11,Paramètres!$A$1:$I$89,3,0)*VLOOKUP('Données projet'!$B$11,Paramètres!$A$1:$I$89,5,0)</f>
        <v>3.990408004028723E-14</v>
      </c>
      <c r="BF77" s="14">
        <f t="shared" si="91"/>
        <v>6.6713074187844705E-13</v>
      </c>
      <c r="BG77" s="22">
        <f t="shared" si="61"/>
        <v>1.2314189815084623E-12</v>
      </c>
      <c r="BH77" s="62">
        <f t="shared" si="62"/>
        <v>293.33333333333456</v>
      </c>
      <c r="BI77" s="62">
        <f ca="1">AVERAGE(OFFSET($BH$3,0,0,'Données projet'!$E$11+1,1))-AVERAGE(OFFSET($H$3,0,0,'Données projet'!$E$11+1,1))</f>
        <v>90.797383835887558</v>
      </c>
      <c r="BJ77" s="62">
        <f t="shared" si="92"/>
        <v>104.31413437636684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0.40384794178263023</v>
      </c>
      <c r="BQ77" s="23">
        <f>EXP(-LN(2)/25)*BQ76+(1-EXP(-LN(2)/25))/(LN(2)/25)*Calculateur!BL77*Calculateur!BN77*VLOOKUP('Données projet'!$B$11,Paramètres!$A$1:$I$89,3,0)*0.475*44/12</f>
        <v>1.2528333977801098</v>
      </c>
      <c r="BR77" s="23">
        <f>EXP(-LN(2)/2)*BR76+(1-EXP(-LN(2)/2))/(LN(2)/2)*BL77*BO77*VLOOKUP('Données projet'!$B$11,Paramètres!$A$1:$I$89,3,0)*0.475*44/12</f>
        <v>7.0552066364869537E-7</v>
      </c>
      <c r="BS77" s="24">
        <f t="shared" si="63"/>
        <v>1.6566820450834037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304</v>
      </c>
      <c r="BZ77" s="14">
        <f>BY77*VLOOKUP('Données projet'!$B$12,Paramètres!$A$1:$I$89,3,0)*VLOOKUP('Données projet'!$B$12,Paramètres!$A$1:$I$89,5,0)</f>
        <v>189.696</v>
      </c>
      <c r="CA77" s="14">
        <f t="shared" si="93"/>
        <v>47.472736505152469</v>
      </c>
      <c r="CB77" s="22">
        <f t="shared" si="64"/>
        <v>413.06888274647389</v>
      </c>
      <c r="CC77" s="62">
        <f t="shared" si="65"/>
        <v>706.4022160798072</v>
      </c>
      <c r="CD77" s="62">
        <f ca="1">AVERAGE(OFFSET($CC$3,0,0,'Données projet'!$E$12+1,1))-AVERAGE(OFFSET($H$3,0,0,'Données projet'!$E$12+1,1))</f>
        <v>179.44051550872138</v>
      </c>
      <c r="CE77" s="62">
        <f t="shared" si="94"/>
        <v>272.9500808380069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2.0884283275204569</v>
      </c>
      <c r="CL77" s="23">
        <f>EXP(-LN(2)/25)*CL76+(1-EXP(-LN(2)/25))/(LN(2)/25)*Calculateur!CG77*Calculateur!CI77*VLOOKUP('Données projet'!$B$12,Paramètres!$A$1:$I$89,3,0)*0.475*44/12</f>
        <v>5.9242144675352657</v>
      </c>
      <c r="CM77" s="23">
        <f>EXP(-LN(2)/2)*CM76+(1-EXP(-LN(2)/2))/(LN(2)/2)*CG77*CJ77*VLOOKUP('Données projet'!$B$12,Paramètres!$A$1:$I$89,3,0)*0.475*44/12</f>
        <v>4.9132737160429734E-6</v>
      </c>
      <c r="CN77" s="24">
        <f t="shared" si="66"/>
        <v>8.012647708329439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277.99999999999994</v>
      </c>
      <c r="CU77" s="18">
        <f>CT77*VLOOKUP('Données projet'!$B$13,Paramètres!$A$1:$I$89,3,0)*VLOOKUP('Données projet'!$B$13,Paramètres!$A$1:$I$89,5,0)</f>
        <v>151.78799999999998</v>
      </c>
      <c r="CV77" s="14">
        <f t="shared" si="95"/>
        <v>38.984634390835623</v>
      </c>
      <c r="CW77" s="22">
        <f t="shared" si="67"/>
        <v>332.26233823070532</v>
      </c>
      <c r="CX77" s="62">
        <f t="shared" si="68"/>
        <v>625.59567156403864</v>
      </c>
      <c r="CY77" s="62">
        <f ca="1">AVERAGE(OFFSET($CX$3,0,0,'Données projet'!$E$13+1,1))-AVERAGE(OFFSET($H$3,0,0,'Données projet'!$E$13+1,1))</f>
        <v>159.92263609041913</v>
      </c>
      <c r="CZ77" s="62">
        <f t="shared" si="96"/>
        <v>271.78119133009307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2.7379623553001915</v>
      </c>
      <c r="DG77" s="23">
        <f>EXP(-LN(2)/25)*DG76+(1-EXP(-LN(2)/25))/(LN(2)/25)*Calculateur!DB77*Calculateur!DD77*VLOOKUP('Données projet'!$B$13,Paramètres!$A$1:$I$89,3,0)*0.475*44/12</f>
        <v>8.6395774221985135</v>
      </c>
      <c r="DH77" s="23">
        <f>EXP(-LN(2)/2)*DH76+(1-EXP(-LN(2)/2))/(LN(2)/2)*DB77*DE77*VLOOKUP('Données projet'!$B$13,Paramètres!$A$1:$I$89,3,0)*0.475*44/12</f>
        <v>6.5409367484938823E-6</v>
      </c>
      <c r="DI77" s="24">
        <f t="shared" si="69"/>
        <v>11.377546318435453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-1.1368683772161603E-13</v>
      </c>
      <c r="DP77" s="18">
        <f>DO77*VLOOKUP('Données projet'!$B$14,Paramètres!$A$1:$I$89,3,0)*VLOOKUP('Données projet'!$B$14,Paramètres!$A$1:$I$89,5,0)</f>
        <v>-5.4683368944097308E-14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122.60806128440754</v>
      </c>
      <c r="DU77" s="62">
        <f t="shared" si="98"/>
        <v>73.937252053142004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>
        <f>EJ77*VLOOKUP('Données projet'!$B$15,Paramètres!$A$1:$I$89,3,0)*VLOOKUP('Données projet'!$B$15,Paramètres!$A$1:$I$89,5,0)</f>
        <v>0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0</v>
      </c>
      <c r="EP77" s="62">
        <f t="shared" si="100"/>
        <v>0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382.55387448074327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0.90335415778901407</v>
      </c>
      <c r="AA78" s="23">
        <f>EXP(-LN(2)/25)*AA77+(1-EXP(-LN(2)/25))/(LN(2)/25)*Calculateur!V78*Calculateur!X78*VLOOKUP('Données projet'!$B$9,Paramètres!$A$1:$I$89,3,0)*0.475*44/12</f>
        <v>3.068367115190219</v>
      </c>
      <c r="AB78" s="23">
        <f>EXP(-LN(2)/2)*AB77+(1-EXP(-LN(2)/2))/(LN(2)/2)*V78*Y78*VLOOKUP('Données projet'!$B$9,Paramètres!$A$1:$I$89,3,0)*0.475*44/12</f>
        <v>3.797666942230743E-6</v>
      </c>
      <c r="AC78" s="24">
        <f t="shared" si="57"/>
        <v>3.9717250706461753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269.64423257646359</v>
      </c>
      <c r="AO78" s="62">
        <f t="shared" si="90"/>
        <v>161.0819079811821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8.5265128291212022E-14</v>
      </c>
      <c r="BE78" s="14">
        <f>BD78*VLOOKUP('Données projet'!$B$11,Paramètres!$A$1:$I$89,3,0)*VLOOKUP('Données projet'!$B$11,Paramètres!$A$1:$I$89,5,0)</f>
        <v>3.990408004028723E-14</v>
      </c>
      <c r="BF78" s="14">
        <f t="shared" si="91"/>
        <v>6.6713074187844705E-13</v>
      </c>
      <c r="BG78" s="22">
        <f t="shared" si="61"/>
        <v>1.2314189815084623E-12</v>
      </c>
      <c r="BH78" s="62">
        <f t="shared" si="62"/>
        <v>293.33333333333456</v>
      </c>
      <c r="BI78" s="62">
        <f ca="1">AVERAGE(OFFSET($BH$3,0,0,'Données projet'!$E$11+1,1))-AVERAGE(OFFSET($H$3,0,0,'Données projet'!$E$11+1,1))</f>
        <v>90.797383835887558</v>
      </c>
      <c r="BJ78" s="62">
        <f t="shared" si="92"/>
        <v>104.31413437636684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0.39592872996719497</v>
      </c>
      <c r="BQ78" s="23">
        <f>EXP(-LN(2)/25)*BQ77+(1-EXP(-LN(2)/25))/(LN(2)/25)*Calculateur!BL78*Calculateur!BN78*VLOOKUP('Données projet'!$B$11,Paramètres!$A$1:$I$89,3,0)*0.475*44/12</f>
        <v>1.2185746026341677</v>
      </c>
      <c r="BR78" s="23">
        <f>EXP(-LN(2)/2)*BR77+(1-EXP(-LN(2)/2))/(LN(2)/2)*BL78*BO78*VLOOKUP('Données projet'!$B$11,Paramètres!$A$1:$I$89,3,0)*0.475*44/12</f>
        <v>4.9887844553322582E-7</v>
      </c>
      <c r="BS78" s="24">
        <f t="shared" si="63"/>
        <v>1.6145038314798081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304</v>
      </c>
      <c r="BZ78" s="14">
        <f>BY78*VLOOKUP('Données projet'!$B$12,Paramètres!$A$1:$I$89,3,0)*VLOOKUP('Données projet'!$B$12,Paramètres!$A$1:$I$89,5,0)</f>
        <v>189.696</v>
      </c>
      <c r="CA78" s="14">
        <f t="shared" si="93"/>
        <v>47.472736505152469</v>
      </c>
      <c r="CB78" s="22">
        <f t="shared" si="64"/>
        <v>413.06888274647389</v>
      </c>
      <c r="CC78" s="62">
        <f t="shared" si="65"/>
        <v>706.4022160798072</v>
      </c>
      <c r="CD78" s="62">
        <f ca="1">AVERAGE(OFFSET($CC$3,0,0,'Données projet'!$E$12+1,1))-AVERAGE(OFFSET($H$3,0,0,'Données projet'!$E$12+1,1))</f>
        <v>179.44051550872138</v>
      </c>
      <c r="CE78" s="62">
        <f t="shared" si="94"/>
        <v>272.9500808380069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2.0474755218332819</v>
      </c>
      <c r="CL78" s="23">
        <f>EXP(-LN(2)/25)*CL77+(1-EXP(-LN(2)/25))/(LN(2)/25)*Calculateur!CG78*Calculateur!CI78*VLOOKUP('Données projet'!$B$12,Paramètres!$A$1:$I$89,3,0)*0.475*44/12</f>
        <v>5.7622165113796147</v>
      </c>
      <c r="CM78" s="23">
        <f>EXP(-LN(2)/2)*CM77+(1-EXP(-LN(2)/2))/(LN(2)/2)*CG78*CJ78*VLOOKUP('Données projet'!$B$12,Paramètres!$A$1:$I$89,3,0)*0.475*44/12</f>
        <v>3.474209162439614E-6</v>
      </c>
      <c r="CN78" s="24">
        <f t="shared" si="66"/>
        <v>7.8096955074220586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277.99999999999994</v>
      </c>
      <c r="CU78" s="18">
        <f>CT78*VLOOKUP('Données projet'!$B$13,Paramètres!$A$1:$I$89,3,0)*VLOOKUP('Données projet'!$B$13,Paramètres!$A$1:$I$89,5,0)</f>
        <v>151.78799999999998</v>
      </c>
      <c r="CV78" s="14">
        <f t="shared" si="95"/>
        <v>38.984634390835623</v>
      </c>
      <c r="CW78" s="22">
        <f t="shared" si="67"/>
        <v>332.26233823070532</v>
      </c>
      <c r="CX78" s="62">
        <f t="shared" si="68"/>
        <v>625.59567156403864</v>
      </c>
      <c r="CY78" s="62">
        <f ca="1">AVERAGE(OFFSET($CX$3,0,0,'Données projet'!$E$13+1,1))-AVERAGE(OFFSET($H$3,0,0,'Données projet'!$E$13+1,1))</f>
        <v>159.92263609041913</v>
      </c>
      <c r="CZ78" s="62">
        <f t="shared" si="96"/>
        <v>271.78119133009307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2.6842725835048933</v>
      </c>
      <c r="DG78" s="23">
        <f>EXP(-LN(2)/25)*DG77+(1-EXP(-LN(2)/25))/(LN(2)/25)*Calculateur!DB78*Calculateur!DD78*VLOOKUP('Données projet'!$B$13,Paramètres!$A$1:$I$89,3,0)*0.475*44/12</f>
        <v>8.4033277232528647</v>
      </c>
      <c r="DH78" s="23">
        <f>EXP(-LN(2)/2)*DH77+(1-EXP(-LN(2)/2))/(LN(2)/2)*DB78*DE78*VLOOKUP('Données projet'!$B$13,Paramètres!$A$1:$I$89,3,0)*0.475*44/12</f>
        <v>4.6251407301723112E-6</v>
      </c>
      <c r="DI78" s="24">
        <f t="shared" si="69"/>
        <v>11.087604931898488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-1.1368683772161603E-13</v>
      </c>
      <c r="DP78" s="18">
        <f>DO78*VLOOKUP('Données projet'!$B$14,Paramètres!$A$1:$I$89,3,0)*VLOOKUP('Données projet'!$B$14,Paramètres!$A$1:$I$89,5,0)</f>
        <v>-5.4683368944097308E-14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122.60806128440754</v>
      </c>
      <c r="DU78" s="62">
        <f t="shared" si="98"/>
        <v>73.937252053142004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>
        <f>EJ78*VLOOKUP('Données projet'!$B$15,Paramètres!$A$1:$I$89,3,0)*VLOOKUP('Données projet'!$B$15,Paramètres!$A$1:$I$89,5,0)</f>
        <v>0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0</v>
      </c>
      <c r="EP78" s="62">
        <f t="shared" si="100"/>
        <v>0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382.55387448074327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0.88563993374640182</v>
      </c>
      <c r="AA79" s="23">
        <f>EXP(-LN(2)/25)*AA78+(1-EXP(-LN(2)/25))/(LN(2)/25)*Calculateur!V79*Calculateur!X79*VLOOKUP('Données projet'!$B$9,Paramètres!$A$1:$I$89,3,0)*0.475*44/12</f>
        <v>2.9844624550669288</v>
      </c>
      <c r="AB79" s="23">
        <f>EXP(-LN(2)/2)*AB78+(1-EXP(-LN(2)/2))/(LN(2)/2)*V79*Y79*VLOOKUP('Données projet'!$B$9,Paramètres!$A$1:$I$89,3,0)*0.475*44/12</f>
        <v>2.6853560475393394E-6</v>
      </c>
      <c r="AC79" s="24">
        <f t="shared" si="57"/>
        <v>3.8701050741693783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269.64423257646359</v>
      </c>
      <c r="AO79" s="62">
        <f t="shared" si="90"/>
        <v>161.0819079811821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8.5265128291212022E-14</v>
      </c>
      <c r="BE79" s="14">
        <f>BD79*VLOOKUP('Données projet'!$B$11,Paramètres!$A$1:$I$89,3,0)*VLOOKUP('Données projet'!$B$11,Paramètres!$A$1:$I$89,5,0)</f>
        <v>3.990408004028723E-14</v>
      </c>
      <c r="BF79" s="14">
        <f t="shared" si="91"/>
        <v>6.6713074187844705E-13</v>
      </c>
      <c r="BG79" s="22">
        <f t="shared" si="61"/>
        <v>1.2314189815084623E-12</v>
      </c>
      <c r="BH79" s="62">
        <f t="shared" si="62"/>
        <v>293.33333333333456</v>
      </c>
      <c r="BI79" s="62">
        <f ca="1">AVERAGE(OFFSET($BH$3,0,0,'Données projet'!$E$11+1,1))-AVERAGE(OFFSET($H$3,0,0,'Données projet'!$E$11+1,1))</f>
        <v>90.797383835887558</v>
      </c>
      <c r="BJ79" s="62">
        <f t="shared" si="92"/>
        <v>104.31413437636684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0.38816480906521811</v>
      </c>
      <c r="BQ79" s="23">
        <f>EXP(-LN(2)/25)*BQ78+(1-EXP(-LN(2)/25))/(LN(2)/25)*Calculateur!BL79*Calculateur!BN79*VLOOKUP('Données projet'!$B$11,Paramètres!$A$1:$I$89,3,0)*0.475*44/12</f>
        <v>1.1852526160430832</v>
      </c>
      <c r="BR79" s="23">
        <f>EXP(-LN(2)/2)*BR78+(1-EXP(-LN(2)/2))/(LN(2)/2)*BL79*BO79*VLOOKUP('Données projet'!$B$11,Paramètres!$A$1:$I$89,3,0)*0.475*44/12</f>
        <v>3.5276033182434768E-7</v>
      </c>
      <c r="BS79" s="24">
        <f t="shared" si="63"/>
        <v>1.5734177778686331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304</v>
      </c>
      <c r="BZ79" s="14">
        <f>BY79*VLOOKUP('Données projet'!$B$12,Paramètres!$A$1:$I$89,3,0)*VLOOKUP('Données projet'!$B$12,Paramètres!$A$1:$I$89,5,0)</f>
        <v>189.696</v>
      </c>
      <c r="CA79" s="14">
        <f t="shared" si="93"/>
        <v>47.472736505152469</v>
      </c>
      <c r="CB79" s="22">
        <f t="shared" si="64"/>
        <v>413.06888274647389</v>
      </c>
      <c r="CC79" s="62">
        <f t="shared" si="65"/>
        <v>706.4022160798072</v>
      </c>
      <c r="CD79" s="62">
        <f ca="1">AVERAGE(OFFSET($CC$3,0,0,'Données projet'!$E$12+1,1))-AVERAGE(OFFSET($H$3,0,0,'Données projet'!$E$12+1,1))</f>
        <v>179.44051550872138</v>
      </c>
      <c r="CE79" s="62">
        <f t="shared" si="94"/>
        <v>272.9500808380069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2.007325775686887</v>
      </c>
      <c r="CL79" s="23">
        <f>EXP(-LN(2)/25)*CL78+(1-EXP(-LN(2)/25))/(LN(2)/25)*Calculateur!CG79*Calculateur!CI79*VLOOKUP('Données projet'!$B$12,Paramètres!$A$1:$I$89,3,0)*0.475*44/12</f>
        <v>5.6046483978541426</v>
      </c>
      <c r="CM79" s="23">
        <f>EXP(-LN(2)/2)*CM78+(1-EXP(-LN(2)/2))/(LN(2)/2)*CG79*CJ79*VLOOKUP('Données projet'!$B$12,Paramètres!$A$1:$I$89,3,0)*0.475*44/12</f>
        <v>2.4566368580214867E-6</v>
      </c>
      <c r="CN79" s="24">
        <f t="shared" si="66"/>
        <v>7.6119766301778879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277.99999999999994</v>
      </c>
      <c r="CU79" s="18">
        <f>CT79*VLOOKUP('Données projet'!$B$13,Paramètres!$A$1:$I$89,3,0)*VLOOKUP('Données projet'!$B$13,Paramètres!$A$1:$I$89,5,0)</f>
        <v>151.78799999999998</v>
      </c>
      <c r="CV79" s="14">
        <f t="shared" si="95"/>
        <v>38.984634390835623</v>
      </c>
      <c r="CW79" s="22">
        <f t="shared" si="67"/>
        <v>332.26233823070532</v>
      </c>
      <c r="CX79" s="62">
        <f t="shared" si="68"/>
        <v>625.59567156403864</v>
      </c>
      <c r="CY79" s="62">
        <f ca="1">AVERAGE(OFFSET($CX$3,0,0,'Données projet'!$E$13+1,1))-AVERAGE(OFFSET($H$3,0,0,'Données projet'!$E$13+1,1))</f>
        <v>159.92263609041913</v>
      </c>
      <c r="CZ79" s="62">
        <f t="shared" si="96"/>
        <v>271.78119133009307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2.6316356353869739</v>
      </c>
      <c r="DG79" s="23">
        <f>EXP(-LN(2)/25)*DG78+(1-EXP(-LN(2)/25))/(LN(2)/25)*Calculateur!DB79*Calculateur!DD79*VLOOKUP('Données projet'!$B$13,Paramètres!$A$1:$I$89,3,0)*0.475*44/12</f>
        <v>8.1735382847487159</v>
      </c>
      <c r="DH79" s="23">
        <f>EXP(-LN(2)/2)*DH78+(1-EXP(-LN(2)/2))/(LN(2)/2)*DB79*DE79*VLOOKUP('Données projet'!$B$13,Paramètres!$A$1:$I$89,3,0)*0.475*44/12</f>
        <v>3.2704683742469411E-6</v>
      </c>
      <c r="DI79" s="24">
        <f t="shared" si="69"/>
        <v>10.805177190604065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-1.1368683772161603E-13</v>
      </c>
      <c r="DP79" s="18">
        <f>DO79*VLOOKUP('Données projet'!$B$14,Paramètres!$A$1:$I$89,3,0)*VLOOKUP('Données projet'!$B$14,Paramètres!$A$1:$I$89,5,0)</f>
        <v>-5.4683368944097308E-14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122.60806128440754</v>
      </c>
      <c r="DU79" s="62">
        <f t="shared" si="98"/>
        <v>73.937252053142004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>
        <f>EJ79*VLOOKUP('Données projet'!$B$15,Paramètres!$A$1:$I$89,3,0)*VLOOKUP('Données projet'!$B$15,Paramètres!$A$1:$I$89,5,0)</f>
        <v>0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0</v>
      </c>
      <c r="EP79" s="62">
        <f t="shared" si="100"/>
        <v>0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382.55387448074327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0.86827307483265548</v>
      </c>
      <c r="AA80" s="23">
        <f>EXP(-LN(2)/25)*AA79+(1-EXP(-LN(2)/25))/(LN(2)/25)*Calculateur!V80*Calculateur!X80*VLOOKUP('Données projet'!$B$9,Paramètres!$A$1:$I$89,3,0)*0.475*44/12</f>
        <v>2.9028521722870639</v>
      </c>
      <c r="AB80" s="23">
        <f>EXP(-LN(2)/2)*AB79+(1-EXP(-LN(2)/2))/(LN(2)/2)*V80*Y80*VLOOKUP('Données projet'!$B$9,Paramètres!$A$1:$I$89,3,0)*0.475*44/12</f>
        <v>1.8988334711153719E-6</v>
      </c>
      <c r="AC80" s="24">
        <f t="shared" si="57"/>
        <v>3.7711271459531903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269.64423257646359</v>
      </c>
      <c r="AO80" s="62">
        <f t="shared" si="90"/>
        <v>161.0819079811821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8.5265128291212022E-14</v>
      </c>
      <c r="BE80" s="14">
        <f>BD80*VLOOKUP('Données projet'!$B$11,Paramètres!$A$1:$I$89,3,0)*VLOOKUP('Données projet'!$B$11,Paramètres!$A$1:$I$89,5,0)</f>
        <v>3.990408004028723E-14</v>
      </c>
      <c r="BF80" s="14">
        <f t="shared" si="91"/>
        <v>6.6713074187844705E-13</v>
      </c>
      <c r="BG80" s="22">
        <f t="shared" si="61"/>
        <v>1.2314189815084623E-12</v>
      </c>
      <c r="BH80" s="62">
        <f t="shared" si="62"/>
        <v>293.33333333333456</v>
      </c>
      <c r="BI80" s="62">
        <f ca="1">AVERAGE(OFFSET($BH$3,0,0,'Données projet'!$E$11+1,1))-AVERAGE(OFFSET($H$3,0,0,'Données projet'!$E$11+1,1))</f>
        <v>90.797383835887558</v>
      </c>
      <c r="BJ80" s="62">
        <f t="shared" si="92"/>
        <v>104.31413437636684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0.38055313391660489</v>
      </c>
      <c r="BQ80" s="23">
        <f>EXP(-LN(2)/25)*BQ79+(1-EXP(-LN(2)/25))/(LN(2)/25)*Calculateur!BL80*Calculateur!BN80*VLOOKUP('Données projet'!$B$11,Paramètres!$A$1:$I$89,3,0)*0.475*44/12</f>
        <v>1.152841820927659</v>
      </c>
      <c r="BR80" s="23">
        <f>EXP(-LN(2)/2)*BR79+(1-EXP(-LN(2)/2))/(LN(2)/2)*BL80*BO80*VLOOKUP('Données projet'!$B$11,Paramètres!$A$1:$I$89,3,0)*0.475*44/12</f>
        <v>2.4943922276661291E-7</v>
      </c>
      <c r="BS80" s="24">
        <f t="shared" si="63"/>
        <v>1.5333952042834866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304</v>
      </c>
      <c r="BZ80" s="14">
        <f>BY80*VLOOKUP('Données projet'!$B$12,Paramètres!$A$1:$I$89,3,0)*VLOOKUP('Données projet'!$B$12,Paramètres!$A$1:$I$89,5,0)</f>
        <v>189.696</v>
      </c>
      <c r="CA80" s="14">
        <f t="shared" si="93"/>
        <v>47.472736505152469</v>
      </c>
      <c r="CB80" s="22">
        <f t="shared" si="64"/>
        <v>413.06888274647389</v>
      </c>
      <c r="CC80" s="62">
        <f t="shared" si="65"/>
        <v>706.4022160798072</v>
      </c>
      <c r="CD80" s="62">
        <f ca="1">AVERAGE(OFFSET($CC$3,0,0,'Données projet'!$E$12+1,1))-AVERAGE(OFFSET($H$3,0,0,'Données projet'!$E$12+1,1))</f>
        <v>179.44051550872138</v>
      </c>
      <c r="CE80" s="62">
        <f t="shared" si="94"/>
        <v>272.9500808380069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1.9679633415734961</v>
      </c>
      <c r="CL80" s="23">
        <f>EXP(-LN(2)/25)*CL79+(1-EXP(-LN(2)/25))/(LN(2)/25)*Calculateur!CG80*Calculateur!CI80*VLOOKUP('Données projet'!$B$12,Paramètres!$A$1:$I$89,3,0)*0.475*44/12</f>
        <v>5.4513889926791714</v>
      </c>
      <c r="CM80" s="23">
        <f>EXP(-LN(2)/2)*CM79+(1-EXP(-LN(2)/2))/(LN(2)/2)*CG80*CJ80*VLOOKUP('Données projet'!$B$12,Paramètres!$A$1:$I$89,3,0)*0.475*44/12</f>
        <v>1.737104581219807E-6</v>
      </c>
      <c r="CN80" s="24">
        <f t="shared" si="66"/>
        <v>7.4193540713572483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277.99999999999994</v>
      </c>
      <c r="CU80" s="18">
        <f>CT80*VLOOKUP('Données projet'!$B$13,Paramètres!$A$1:$I$89,3,0)*VLOOKUP('Données projet'!$B$13,Paramètres!$A$1:$I$89,5,0)</f>
        <v>151.78799999999998</v>
      </c>
      <c r="CV80" s="14">
        <f t="shared" si="95"/>
        <v>38.984634390835623</v>
      </c>
      <c r="CW80" s="22">
        <f t="shared" si="67"/>
        <v>332.26233823070532</v>
      </c>
      <c r="CX80" s="62">
        <f t="shared" si="68"/>
        <v>625.59567156403864</v>
      </c>
      <c r="CY80" s="62">
        <f ca="1">AVERAGE(OFFSET($CX$3,0,0,'Données projet'!$E$13+1,1))-AVERAGE(OFFSET($H$3,0,0,'Données projet'!$E$13+1,1))</f>
        <v>159.92263609041913</v>
      </c>
      <c r="CZ80" s="62">
        <f t="shared" si="96"/>
        <v>271.78119133009307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2.5800308657162785</v>
      </c>
      <c r="DG80" s="23">
        <f>EXP(-LN(2)/25)*DG79+(1-EXP(-LN(2)/25))/(LN(2)/25)*Calculateur!DB80*Calculateur!DD80*VLOOKUP('Données projet'!$B$13,Paramètres!$A$1:$I$89,3,0)*0.475*44/12</f>
        <v>7.9500324505245645</v>
      </c>
      <c r="DH80" s="23">
        <f>EXP(-LN(2)/2)*DH79+(1-EXP(-LN(2)/2))/(LN(2)/2)*DB80*DE80*VLOOKUP('Données projet'!$B$13,Paramètres!$A$1:$I$89,3,0)*0.475*44/12</f>
        <v>2.3125703650861556E-6</v>
      </c>
      <c r="DI80" s="24">
        <f t="shared" si="69"/>
        <v>10.530065628811208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-1.1368683772161603E-13</v>
      </c>
      <c r="DP80" s="18">
        <f>DO80*VLOOKUP('Données projet'!$B$14,Paramètres!$A$1:$I$89,3,0)*VLOOKUP('Données projet'!$B$14,Paramètres!$A$1:$I$89,5,0)</f>
        <v>-5.4683368944097308E-14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122.60806128440754</v>
      </c>
      <c r="DU80" s="62">
        <f t="shared" si="98"/>
        <v>73.937252053142004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>
        <f>EJ80*VLOOKUP('Données projet'!$B$15,Paramètres!$A$1:$I$89,3,0)*VLOOKUP('Données projet'!$B$15,Paramètres!$A$1:$I$89,5,0)</f>
        <v>0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0</v>
      </c>
      <c r="EP80" s="62">
        <f t="shared" si="100"/>
        <v>0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382.55387448074327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0.85124676942946964</v>
      </c>
      <c r="AA81" s="23">
        <f>EXP(-LN(2)/25)*AA80+(1-EXP(-LN(2)/25))/(LN(2)/25)*Calculateur!V81*Calculateur!X81*VLOOKUP('Données projet'!$B$9,Paramètres!$A$1:$I$89,3,0)*0.475*44/12</f>
        <v>2.823473526981513</v>
      </c>
      <c r="AB81" s="23">
        <f>EXP(-LN(2)/2)*AB80+(1-EXP(-LN(2)/2))/(LN(2)/2)*V81*Y81*VLOOKUP('Données projet'!$B$9,Paramètres!$A$1:$I$89,3,0)*0.475*44/12</f>
        <v>1.3426780237696699E-6</v>
      </c>
      <c r="AC81" s="24">
        <f t="shared" si="57"/>
        <v>3.6747216390890065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269.64423257646359</v>
      </c>
      <c r="AO81" s="62">
        <f t="shared" si="90"/>
        <v>161.0819079811821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8.5265128291212022E-14</v>
      </c>
      <c r="BE81" s="14">
        <f>BD81*VLOOKUP('Données projet'!$B$11,Paramètres!$A$1:$I$89,3,0)*VLOOKUP('Données projet'!$B$11,Paramètres!$A$1:$I$89,5,0)</f>
        <v>3.990408004028723E-14</v>
      </c>
      <c r="BF81" s="14">
        <f t="shared" si="91"/>
        <v>6.6713074187844705E-13</v>
      </c>
      <c r="BG81" s="22">
        <f t="shared" si="61"/>
        <v>1.2314189815084623E-12</v>
      </c>
      <c r="BH81" s="62">
        <f t="shared" si="62"/>
        <v>293.33333333333456</v>
      </c>
      <c r="BI81" s="62">
        <f ca="1">AVERAGE(OFFSET($BH$3,0,0,'Données projet'!$E$11+1,1))-AVERAGE(OFFSET($H$3,0,0,'Données projet'!$E$11+1,1))</f>
        <v>90.797383835887558</v>
      </c>
      <c r="BJ81" s="62">
        <f t="shared" si="92"/>
        <v>104.31413437636684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0.37309071907499258</v>
      </c>
      <c r="BQ81" s="23">
        <f>EXP(-LN(2)/25)*BQ80+(1-EXP(-LN(2)/25))/(LN(2)/25)*Calculateur!BL81*Calculateur!BN81*VLOOKUP('Données projet'!$B$11,Paramètres!$A$1:$I$89,3,0)*0.475*44/12</f>
        <v>1.1213173007090755</v>
      </c>
      <c r="BR81" s="23">
        <f>EXP(-LN(2)/2)*BR80+(1-EXP(-LN(2)/2))/(LN(2)/2)*BL81*BO81*VLOOKUP('Données projet'!$B$11,Paramètres!$A$1:$I$89,3,0)*0.475*44/12</f>
        <v>1.7638016591217384E-7</v>
      </c>
      <c r="BS81" s="24">
        <f t="shared" si="63"/>
        <v>1.4944081961642339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304</v>
      </c>
      <c r="BZ81" s="14">
        <f>BY81*VLOOKUP('Données projet'!$B$12,Paramètres!$A$1:$I$89,3,0)*VLOOKUP('Données projet'!$B$12,Paramètres!$A$1:$I$89,5,0)</f>
        <v>189.696</v>
      </c>
      <c r="CA81" s="14">
        <f t="shared" si="93"/>
        <v>47.472736505152469</v>
      </c>
      <c r="CB81" s="22">
        <f t="shared" si="64"/>
        <v>413.06888274647389</v>
      </c>
      <c r="CC81" s="62">
        <f t="shared" si="65"/>
        <v>706.4022160798072</v>
      </c>
      <c r="CD81" s="62">
        <f ca="1">AVERAGE(OFFSET($CC$3,0,0,'Données projet'!$E$12+1,1))-AVERAGE(OFFSET($H$3,0,0,'Données projet'!$E$12+1,1))</f>
        <v>179.44051550872138</v>
      </c>
      <c r="CE81" s="62">
        <f t="shared" si="94"/>
        <v>272.9500808380069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1.9293727807843546</v>
      </c>
      <c r="CL81" s="23">
        <f>EXP(-LN(2)/25)*CL80+(1-EXP(-LN(2)/25))/(LN(2)/25)*Calculateur!CG81*Calculateur!CI81*VLOOKUP('Données projet'!$B$12,Paramètres!$A$1:$I$89,3,0)*0.475*44/12</f>
        <v>5.3023204739982717</v>
      </c>
      <c r="CM81" s="23">
        <f>EXP(-LN(2)/2)*CM80+(1-EXP(-LN(2)/2))/(LN(2)/2)*CG81*CJ81*VLOOKUP('Données projet'!$B$12,Paramètres!$A$1:$I$89,3,0)*0.475*44/12</f>
        <v>1.2283184290107433E-6</v>
      </c>
      <c r="CN81" s="24">
        <f t="shared" si="66"/>
        <v>7.2316944831010552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277.99999999999994</v>
      </c>
      <c r="CU81" s="18">
        <f>CT81*VLOOKUP('Données projet'!$B$13,Paramètres!$A$1:$I$89,3,0)*VLOOKUP('Données projet'!$B$13,Paramètres!$A$1:$I$89,5,0)</f>
        <v>151.78799999999998</v>
      </c>
      <c r="CV81" s="14">
        <f t="shared" si="95"/>
        <v>38.984634390835623</v>
      </c>
      <c r="CW81" s="22">
        <f t="shared" si="67"/>
        <v>332.26233823070532</v>
      </c>
      <c r="CX81" s="62">
        <f t="shared" si="68"/>
        <v>625.59567156403864</v>
      </c>
      <c r="CY81" s="62">
        <f ca="1">AVERAGE(OFFSET($CX$3,0,0,'Données projet'!$E$13+1,1))-AVERAGE(OFFSET($H$3,0,0,'Données projet'!$E$13+1,1))</f>
        <v>159.92263609041913</v>
      </c>
      <c r="CZ81" s="62">
        <f t="shared" si="96"/>
        <v>271.78119133009307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2.5294380341030238</v>
      </c>
      <c r="DG81" s="23">
        <f>EXP(-LN(2)/25)*DG80+(1-EXP(-LN(2)/25))/(LN(2)/25)*Calculateur!DB81*Calculateur!DD81*VLOOKUP('Données projet'!$B$13,Paramètres!$A$1:$I$89,3,0)*0.475*44/12</f>
        <v>7.7326383950909339</v>
      </c>
      <c r="DH81" s="23">
        <f>EXP(-LN(2)/2)*DH80+(1-EXP(-LN(2)/2))/(LN(2)/2)*DB81*DE81*VLOOKUP('Données projet'!$B$13,Paramètres!$A$1:$I$89,3,0)*0.475*44/12</f>
        <v>1.6352341871234706E-6</v>
      </c>
      <c r="DI81" s="24">
        <f t="shared" si="69"/>
        <v>10.262078064428144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-1.1368683772161603E-13</v>
      </c>
      <c r="DP81" s="18">
        <f>DO81*VLOOKUP('Données projet'!$B$14,Paramètres!$A$1:$I$89,3,0)*VLOOKUP('Données projet'!$B$14,Paramètres!$A$1:$I$89,5,0)</f>
        <v>-5.4683368944097308E-14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122.60806128440754</v>
      </c>
      <c r="DU81" s="62">
        <f t="shared" si="98"/>
        <v>73.937252053142004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>
        <f>EJ81*VLOOKUP('Données projet'!$B$15,Paramètres!$A$1:$I$89,3,0)*VLOOKUP('Données projet'!$B$15,Paramètres!$A$1:$I$89,5,0)</f>
        <v>0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0</v>
      </c>
      <c r="EP81" s="62">
        <f t="shared" si="100"/>
        <v>0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382.55387448074327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0.8345543394902194</v>
      </c>
      <c r="AA82" s="23">
        <f>EXP(-LN(2)/25)*AA81+(1-EXP(-LN(2)/25))/(LN(2)/25)*Calculateur!V82*Calculateur!X82*VLOOKUP('Données projet'!$B$9,Paramètres!$A$1:$I$89,3,0)*0.475*44/12</f>
        <v>2.7462654949061838</v>
      </c>
      <c r="AB82" s="23">
        <f>EXP(-LN(2)/2)*AB81+(1-EXP(-LN(2)/2))/(LN(2)/2)*V82*Y82*VLOOKUP('Données projet'!$B$9,Paramètres!$A$1:$I$89,3,0)*0.475*44/12</f>
        <v>9.4941673555768607E-7</v>
      </c>
      <c r="AC82" s="24">
        <f t="shared" si="57"/>
        <v>3.5808207838131385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269.64423257646359</v>
      </c>
      <c r="AO82" s="62">
        <f t="shared" si="90"/>
        <v>161.0819079811821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8.5265128291212022E-14</v>
      </c>
      <c r="BE82" s="14">
        <f>BD82*VLOOKUP('Données projet'!$B$11,Paramètres!$A$1:$I$89,3,0)*VLOOKUP('Données projet'!$B$11,Paramètres!$A$1:$I$89,5,0)</f>
        <v>3.990408004028723E-14</v>
      </c>
      <c r="BF82" s="14">
        <f t="shared" si="91"/>
        <v>6.6713074187844705E-13</v>
      </c>
      <c r="BG82" s="22">
        <f t="shared" si="61"/>
        <v>1.2314189815084623E-12</v>
      </c>
      <c r="BH82" s="62">
        <f t="shared" si="62"/>
        <v>293.33333333333456</v>
      </c>
      <c r="BI82" s="62">
        <f ca="1">AVERAGE(OFFSET($BH$3,0,0,'Données projet'!$E$11+1,1))-AVERAGE(OFFSET($H$3,0,0,'Données projet'!$E$11+1,1))</f>
        <v>90.797383835887558</v>
      </c>
      <c r="BJ82" s="62">
        <f t="shared" si="92"/>
        <v>104.31413437636684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0.36577463763680063</v>
      </c>
      <c r="BQ82" s="23">
        <f>EXP(-LN(2)/25)*BQ81+(1-EXP(-LN(2)/25))/(LN(2)/25)*Calculateur!BL82*Calculateur!BN82*VLOOKUP('Données projet'!$B$11,Paramètres!$A$1:$I$89,3,0)*0.475*44/12</f>
        <v>1.0906548201536719</v>
      </c>
      <c r="BR82" s="23">
        <f>EXP(-LN(2)/2)*BR81+(1-EXP(-LN(2)/2))/(LN(2)/2)*BL82*BO82*VLOOKUP('Données projet'!$B$11,Paramètres!$A$1:$I$89,3,0)*0.475*44/12</f>
        <v>1.2471961138330646E-7</v>
      </c>
      <c r="BS82" s="24">
        <f t="shared" si="63"/>
        <v>1.4564295825100839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304</v>
      </c>
      <c r="BZ82" s="14">
        <f>BY82*VLOOKUP('Données projet'!$B$12,Paramètres!$A$1:$I$89,3,0)*VLOOKUP('Données projet'!$B$12,Paramètres!$A$1:$I$89,5,0)</f>
        <v>189.696</v>
      </c>
      <c r="CA82" s="14">
        <f t="shared" si="93"/>
        <v>47.472736505152469</v>
      </c>
      <c r="CB82" s="22">
        <f t="shared" si="64"/>
        <v>413.06888274647389</v>
      </c>
      <c r="CC82" s="62">
        <f t="shared" si="65"/>
        <v>706.4022160798072</v>
      </c>
      <c r="CD82" s="62">
        <f ca="1">AVERAGE(OFFSET($CC$3,0,0,'Données projet'!$E$12+1,1))-AVERAGE(OFFSET($H$3,0,0,'Données projet'!$E$12+1,1))</f>
        <v>179.44051550872138</v>
      </c>
      <c r="CE82" s="62">
        <f t="shared" si="94"/>
        <v>272.9500808380069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1.8915389573543702</v>
      </c>
      <c r="CL82" s="23">
        <f>EXP(-LN(2)/25)*CL81+(1-EXP(-LN(2)/25))/(LN(2)/25)*Calculateur!CG82*Calculateur!CI82*VLOOKUP('Données projet'!$B$12,Paramètres!$A$1:$I$89,3,0)*0.475*44/12</f>
        <v>5.157328241799874</v>
      </c>
      <c r="CM82" s="23">
        <f>EXP(-LN(2)/2)*CM81+(1-EXP(-LN(2)/2))/(LN(2)/2)*CG82*CJ82*VLOOKUP('Données projet'!$B$12,Paramètres!$A$1:$I$89,3,0)*0.475*44/12</f>
        <v>8.6855229060990351E-7</v>
      </c>
      <c r="CN82" s="24">
        <f t="shared" si="66"/>
        <v>7.0488680677065352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277.99999999999994</v>
      </c>
      <c r="CU82" s="18">
        <f>CT82*VLOOKUP('Données projet'!$B$13,Paramètres!$A$1:$I$89,3,0)*VLOOKUP('Données projet'!$B$13,Paramètres!$A$1:$I$89,5,0)</f>
        <v>151.78799999999998</v>
      </c>
      <c r="CV82" s="14">
        <f t="shared" si="95"/>
        <v>38.984634390835623</v>
      </c>
      <c r="CW82" s="22">
        <f t="shared" si="67"/>
        <v>332.26233823070532</v>
      </c>
      <c r="CX82" s="62">
        <f t="shared" si="68"/>
        <v>625.59567156403864</v>
      </c>
      <c r="CY82" s="62">
        <f ca="1">AVERAGE(OFFSET($CX$3,0,0,'Données projet'!$E$13+1,1))-AVERAGE(OFFSET($H$3,0,0,'Données projet'!$E$13+1,1))</f>
        <v>159.92263609041913</v>
      </c>
      <c r="CZ82" s="62">
        <f t="shared" si="96"/>
        <v>271.78119133009307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2.4798372970591251</v>
      </c>
      <c r="DG82" s="23">
        <f>EXP(-LN(2)/25)*DG81+(1-EXP(-LN(2)/25))/(LN(2)/25)*Calculateur!DB82*Calculateur!DD82*VLOOKUP('Données projet'!$B$13,Paramètres!$A$1:$I$89,3,0)*0.475*44/12</f>
        <v>7.521188991535392</v>
      </c>
      <c r="DH82" s="23">
        <f>EXP(-LN(2)/2)*DH81+(1-EXP(-LN(2)/2))/(LN(2)/2)*DB82*DE82*VLOOKUP('Données projet'!$B$13,Paramètres!$A$1:$I$89,3,0)*0.475*44/12</f>
        <v>1.1562851825430778E-6</v>
      </c>
      <c r="DI82" s="24">
        <f t="shared" si="69"/>
        <v>10.0010274448797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-1.1368683772161603E-13</v>
      </c>
      <c r="DP82" s="18">
        <f>DO82*VLOOKUP('Données projet'!$B$14,Paramètres!$A$1:$I$89,3,0)*VLOOKUP('Données projet'!$B$14,Paramètres!$A$1:$I$89,5,0)</f>
        <v>-5.4683368944097308E-14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122.60806128440754</v>
      </c>
      <c r="DU82" s="62">
        <f t="shared" si="98"/>
        <v>73.937252053142004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>
        <f>EJ82*VLOOKUP('Données projet'!$B$15,Paramètres!$A$1:$I$89,3,0)*VLOOKUP('Données projet'!$B$15,Paramètres!$A$1:$I$89,5,0)</f>
        <v>0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0</v>
      </c>
      <c r="EP82" s="62">
        <f t="shared" si="100"/>
        <v>0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382.55387448074327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0.81818923792070097</v>
      </c>
      <c r="AA83" s="23">
        <f>EXP(-LN(2)/25)*AA82+(1-EXP(-LN(2)/25))/(LN(2)/25)*Calculateur!V83*Calculateur!X83*VLOOKUP('Données projet'!$B$9,Paramètres!$A$1:$I$89,3,0)*0.475*44/12</f>
        <v>2.6711687205281485</v>
      </c>
      <c r="AB83" s="23">
        <f>EXP(-LN(2)/2)*AB82+(1-EXP(-LN(2)/2))/(LN(2)/2)*V83*Y83*VLOOKUP('Données projet'!$B$9,Paramètres!$A$1:$I$89,3,0)*0.475*44/12</f>
        <v>6.7133901188483506E-7</v>
      </c>
      <c r="AC83" s="24">
        <f t="shared" si="57"/>
        <v>3.4893586297878612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269.64423257646359</v>
      </c>
      <c r="AO83" s="62">
        <f t="shared" si="90"/>
        <v>161.0819079811821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8.5265128291212022E-14</v>
      </c>
      <c r="BE83" s="14">
        <f>BD83*VLOOKUP('Données projet'!$B$11,Paramètres!$A$1:$I$89,3,0)*VLOOKUP('Données projet'!$B$11,Paramètres!$A$1:$I$89,5,0)</f>
        <v>3.990408004028723E-14</v>
      </c>
      <c r="BF83" s="14">
        <f t="shared" si="91"/>
        <v>6.6713074187844705E-13</v>
      </c>
      <c r="BG83" s="22">
        <f t="shared" si="61"/>
        <v>1.2314189815084623E-12</v>
      </c>
      <c r="BH83" s="62">
        <f t="shared" si="62"/>
        <v>293.33333333333456</v>
      </c>
      <c r="BI83" s="62">
        <f ca="1">AVERAGE(OFFSET($BH$3,0,0,'Données projet'!$E$11+1,1))-AVERAGE(OFFSET($H$3,0,0,'Données projet'!$E$11+1,1))</f>
        <v>90.797383835887558</v>
      </c>
      <c r="BJ83" s="62">
        <f t="shared" si="92"/>
        <v>104.31413437636684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0.3586020200932426</v>
      </c>
      <c r="BQ83" s="23">
        <f>EXP(-LN(2)/25)*BQ82+(1-EXP(-LN(2)/25))/(LN(2)/25)*Calculateur!BL83*Calculateur!BN83*VLOOKUP('Données projet'!$B$11,Paramètres!$A$1:$I$89,3,0)*0.475*44/12</f>
        <v>1.0608308067415255</v>
      </c>
      <c r="BR83" s="23">
        <f>EXP(-LN(2)/2)*BR82+(1-EXP(-LN(2)/2))/(LN(2)/2)*BL83*BO83*VLOOKUP('Données projet'!$B$11,Paramètres!$A$1:$I$89,3,0)*0.475*44/12</f>
        <v>8.8190082956086921E-8</v>
      </c>
      <c r="BS83" s="24">
        <f t="shared" si="63"/>
        <v>1.4194329150248512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304</v>
      </c>
      <c r="BZ83" s="14">
        <f>BY83*VLOOKUP('Données projet'!$B$12,Paramètres!$A$1:$I$89,3,0)*VLOOKUP('Données projet'!$B$12,Paramètres!$A$1:$I$89,5,0)</f>
        <v>189.696</v>
      </c>
      <c r="CA83" s="14">
        <f t="shared" si="93"/>
        <v>47.472736505152469</v>
      </c>
      <c r="CB83" s="22">
        <f t="shared" si="64"/>
        <v>413.06888274647389</v>
      </c>
      <c r="CC83" s="62">
        <f t="shared" si="65"/>
        <v>706.4022160798072</v>
      </c>
      <c r="CD83" s="62">
        <f ca="1">AVERAGE(OFFSET($CC$3,0,0,'Données projet'!$E$12+1,1))-AVERAGE(OFFSET($H$3,0,0,'Données projet'!$E$12+1,1))</f>
        <v>179.44051550872138</v>
      </c>
      <c r="CE83" s="62">
        <f t="shared" si="94"/>
        <v>272.9500808380069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1.854447032125494</v>
      </c>
      <c r="CL83" s="23">
        <f>EXP(-LN(2)/25)*CL82+(1-EXP(-LN(2)/25))/(LN(2)/25)*Calculateur!CG83*Calculateur!CI83*VLOOKUP('Données projet'!$B$12,Paramètres!$A$1:$I$89,3,0)*0.475*44/12</f>
        <v>5.0163008298157514</v>
      </c>
      <c r="CM83" s="23">
        <f>EXP(-LN(2)/2)*CM82+(1-EXP(-LN(2)/2))/(LN(2)/2)*CG83*CJ83*VLOOKUP('Données projet'!$B$12,Paramètres!$A$1:$I$89,3,0)*0.475*44/12</f>
        <v>6.1415921450537167E-7</v>
      </c>
      <c r="CN83" s="24">
        <f t="shared" si="66"/>
        <v>6.8707484761004594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277.99999999999994</v>
      </c>
      <c r="CU83" s="18">
        <f>CT83*VLOOKUP('Données projet'!$B$13,Paramètres!$A$1:$I$89,3,0)*VLOOKUP('Données projet'!$B$13,Paramètres!$A$1:$I$89,5,0)</f>
        <v>151.78799999999998</v>
      </c>
      <c r="CV83" s="14">
        <f t="shared" si="95"/>
        <v>38.984634390835623</v>
      </c>
      <c r="CW83" s="22">
        <f t="shared" si="67"/>
        <v>332.26233823070532</v>
      </c>
      <c r="CX83" s="62">
        <f t="shared" si="68"/>
        <v>625.59567156403864</v>
      </c>
      <c r="CY83" s="62">
        <f ca="1">AVERAGE(OFFSET($CX$3,0,0,'Données projet'!$E$13+1,1))-AVERAGE(OFFSET($H$3,0,0,'Données projet'!$E$13+1,1))</f>
        <v>159.92263609041913</v>
      </c>
      <c r="CZ83" s="62">
        <f t="shared" si="96"/>
        <v>271.78119133009307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2.431209200215195</v>
      </c>
      <c r="DG83" s="23">
        <f>EXP(-LN(2)/25)*DG82+(1-EXP(-LN(2)/25))/(LN(2)/25)*Calculateur!DB83*Calculateur!DD83*VLOOKUP('Données projet'!$B$13,Paramètres!$A$1:$I$89,3,0)*0.475*44/12</f>
        <v>7.3155216830397176</v>
      </c>
      <c r="DH83" s="23">
        <f>EXP(-LN(2)/2)*DH82+(1-EXP(-LN(2)/2))/(LN(2)/2)*DB83*DE83*VLOOKUP('Données projet'!$B$13,Paramètres!$A$1:$I$89,3,0)*0.475*44/12</f>
        <v>8.1761709356173529E-7</v>
      </c>
      <c r="DI83" s="24">
        <f t="shared" si="69"/>
        <v>9.7467317008720062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-1.1368683772161603E-13</v>
      </c>
      <c r="DP83" s="18">
        <f>DO83*VLOOKUP('Données projet'!$B$14,Paramètres!$A$1:$I$89,3,0)*VLOOKUP('Données projet'!$B$14,Paramètres!$A$1:$I$89,5,0)</f>
        <v>-5.4683368944097308E-14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122.60806128440754</v>
      </c>
      <c r="DU83" s="62">
        <f t="shared" si="98"/>
        <v>73.937252053142004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>
        <f>EJ83*VLOOKUP('Données projet'!$B$15,Paramètres!$A$1:$I$89,3,0)*VLOOKUP('Données projet'!$B$15,Paramètres!$A$1:$I$89,5,0)</f>
        <v>0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0</v>
      </c>
      <c r="EP83" s="62">
        <f t="shared" si="100"/>
        <v>0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382.55387448074327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0.80214504601123449</v>
      </c>
      <c r="AA84" s="23">
        <f>EXP(-LN(2)/25)*AA83+(1-EXP(-LN(2)/25))/(LN(2)/25)*Calculateur!V84*Calculateur!X84*VLOOKUP('Données projet'!$B$9,Paramètres!$A$1:$I$89,3,0)*0.475*44/12</f>
        <v>2.5981254713946482</v>
      </c>
      <c r="AB84" s="23">
        <f>EXP(-LN(2)/2)*AB83+(1-EXP(-LN(2)/2))/(LN(2)/2)*V84*Y84*VLOOKUP('Données projet'!$B$9,Paramètres!$A$1:$I$89,3,0)*0.475*44/12</f>
        <v>4.7470836777884314E-7</v>
      </c>
      <c r="AC84" s="24">
        <f t="shared" si="57"/>
        <v>3.4002709921142502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269.64423257646359</v>
      </c>
      <c r="AO84" s="62">
        <f t="shared" si="90"/>
        <v>161.0819079811821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8.5265128291212022E-14</v>
      </c>
      <c r="BE84" s="14">
        <f>BD84*VLOOKUP('Données projet'!$B$11,Paramètres!$A$1:$I$89,3,0)*VLOOKUP('Données projet'!$B$11,Paramètres!$A$1:$I$89,5,0)</f>
        <v>3.990408004028723E-14</v>
      </c>
      <c r="BF84" s="14">
        <f t="shared" si="91"/>
        <v>6.6713074187844705E-13</v>
      </c>
      <c r="BG84" s="22">
        <f t="shared" si="61"/>
        <v>1.2314189815084623E-12</v>
      </c>
      <c r="BH84" s="62">
        <f t="shared" si="62"/>
        <v>293.33333333333456</v>
      </c>
      <c r="BI84" s="62">
        <f ca="1">AVERAGE(OFFSET($BH$3,0,0,'Données projet'!$E$11+1,1))-AVERAGE(OFFSET($H$3,0,0,'Données projet'!$E$11+1,1))</f>
        <v>90.797383835887558</v>
      </c>
      <c r="BJ84" s="62">
        <f t="shared" si="92"/>
        <v>104.31413437636684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0.35157005320484902</v>
      </c>
      <c r="BQ84" s="23">
        <f>EXP(-LN(2)/25)*BQ83+(1-EXP(-LN(2)/25))/(LN(2)/25)*Calculateur!BL84*Calculateur!BN84*VLOOKUP('Données projet'!$B$11,Paramètres!$A$1:$I$89,3,0)*0.475*44/12</f>
        <v>1.0318223325445108</v>
      </c>
      <c r="BR84" s="23">
        <f>EXP(-LN(2)/2)*BR83+(1-EXP(-LN(2)/2))/(LN(2)/2)*BL84*BO84*VLOOKUP('Données projet'!$B$11,Paramètres!$A$1:$I$89,3,0)*0.475*44/12</f>
        <v>6.2359805691653228E-8</v>
      </c>
      <c r="BS84" s="24">
        <f t="shared" si="63"/>
        <v>1.3833924481091655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304</v>
      </c>
      <c r="BZ84" s="14">
        <f>BY84*VLOOKUP('Données projet'!$B$12,Paramètres!$A$1:$I$89,3,0)*VLOOKUP('Données projet'!$B$12,Paramètres!$A$1:$I$89,5,0)</f>
        <v>189.696</v>
      </c>
      <c r="CA84" s="14">
        <f t="shared" si="93"/>
        <v>47.472736505152469</v>
      </c>
      <c r="CB84" s="22">
        <f t="shared" si="64"/>
        <v>413.06888274647389</v>
      </c>
      <c r="CC84" s="62">
        <f t="shared" si="65"/>
        <v>706.4022160798072</v>
      </c>
      <c r="CD84" s="62">
        <f ca="1">AVERAGE(OFFSET($CC$3,0,0,'Données projet'!$E$12+1,1))-AVERAGE(OFFSET($H$3,0,0,'Données projet'!$E$12+1,1))</f>
        <v>179.44051550872138</v>
      </c>
      <c r="CE84" s="62">
        <f t="shared" si="94"/>
        <v>272.9500808380069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1.8180824569265157</v>
      </c>
      <c r="CL84" s="23">
        <f>EXP(-LN(2)/25)*CL83+(1-EXP(-LN(2)/25))/(LN(2)/25)*Calculateur!CG84*Calculateur!CI84*VLOOKUP('Données projet'!$B$12,Paramètres!$A$1:$I$89,3,0)*0.475*44/12</f>
        <v>4.8791298198286439</v>
      </c>
      <c r="CM84" s="23">
        <f>EXP(-LN(2)/2)*CM83+(1-EXP(-LN(2)/2))/(LN(2)/2)*CG84*CJ84*VLOOKUP('Données projet'!$B$12,Paramètres!$A$1:$I$89,3,0)*0.475*44/12</f>
        <v>4.3427614530495175E-7</v>
      </c>
      <c r="CN84" s="24">
        <f t="shared" si="66"/>
        <v>6.6972127110313053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277.99999999999994</v>
      </c>
      <c r="CU84" s="18">
        <f>CT84*VLOOKUP('Données projet'!$B$13,Paramètres!$A$1:$I$89,3,0)*VLOOKUP('Données projet'!$B$13,Paramètres!$A$1:$I$89,5,0)</f>
        <v>151.78799999999998</v>
      </c>
      <c r="CV84" s="14">
        <f t="shared" si="95"/>
        <v>38.984634390835623</v>
      </c>
      <c r="CW84" s="22">
        <f t="shared" si="67"/>
        <v>332.26233823070532</v>
      </c>
      <c r="CX84" s="62">
        <f t="shared" si="68"/>
        <v>625.59567156403864</v>
      </c>
      <c r="CY84" s="62">
        <f ca="1">AVERAGE(OFFSET($CX$3,0,0,'Données projet'!$E$13+1,1))-AVERAGE(OFFSET($H$3,0,0,'Données projet'!$E$13+1,1))</f>
        <v>159.92263609041913</v>
      </c>
      <c r="CZ84" s="62">
        <f t="shared" si="96"/>
        <v>271.78119133009307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2.3835346706901639</v>
      </c>
      <c r="DG84" s="23">
        <f>EXP(-LN(2)/25)*DG83+(1-EXP(-LN(2)/25))/(LN(2)/25)*Calculateur!DB84*Calculateur!DD84*VLOOKUP('Données projet'!$B$13,Paramètres!$A$1:$I$89,3,0)*0.475*44/12</f>
        <v>7.1154783579104315</v>
      </c>
      <c r="DH84" s="23">
        <f>EXP(-LN(2)/2)*DH83+(1-EXP(-LN(2)/2))/(LN(2)/2)*DB84*DE84*VLOOKUP('Données projet'!$B$13,Paramètres!$A$1:$I$89,3,0)*0.475*44/12</f>
        <v>5.781425912715389E-7</v>
      </c>
      <c r="DI84" s="24">
        <f t="shared" si="69"/>
        <v>9.499013606743187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-1.1368683772161603E-13</v>
      </c>
      <c r="DP84" s="18">
        <f>DO84*VLOOKUP('Données projet'!$B$14,Paramètres!$A$1:$I$89,3,0)*VLOOKUP('Données projet'!$B$14,Paramètres!$A$1:$I$89,5,0)</f>
        <v>-5.4683368944097308E-14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122.60806128440754</v>
      </c>
      <c r="DU84" s="62">
        <f t="shared" si="98"/>
        <v>73.937252053142004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0</v>
      </c>
      <c r="EP84" s="62">
        <f t="shared" si="100"/>
        <v>0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382.55387448074327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0.78641547091912178</v>
      </c>
      <c r="AA85" s="23">
        <f>EXP(-LN(2)/25)*AA84+(1-EXP(-LN(2)/25))/(LN(2)/25)*Calculateur!V85*Calculateur!X85*VLOOKUP('Données projet'!$B$9,Paramètres!$A$1:$I$89,3,0)*0.475*44/12</f>
        <v>2.5270795937498813</v>
      </c>
      <c r="AB85" s="23">
        <f>EXP(-LN(2)/2)*AB84+(1-EXP(-LN(2)/2))/(LN(2)/2)*V85*Y85*VLOOKUP('Données projet'!$B$9,Paramètres!$A$1:$I$89,3,0)*0.475*44/12</f>
        <v>3.3566950594241758E-7</v>
      </c>
      <c r="AC85" s="24">
        <f t="shared" si="57"/>
        <v>3.3134954003385091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269.64423257646359</v>
      </c>
      <c r="AO85" s="62">
        <f t="shared" si="90"/>
        <v>161.0819079811821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8.5265128291212022E-14</v>
      </c>
      <c r="BE85" s="14">
        <f>BD85*VLOOKUP('Données projet'!$B$11,Paramètres!$A$1:$I$89,3,0)*VLOOKUP('Données projet'!$B$11,Paramètres!$A$1:$I$89,5,0)</f>
        <v>3.990408004028723E-14</v>
      </c>
      <c r="BF85" s="14">
        <f t="shared" si="91"/>
        <v>6.6713074187844705E-13</v>
      </c>
      <c r="BG85" s="22">
        <f t="shared" si="61"/>
        <v>1.2314189815084623E-12</v>
      </c>
      <c r="BH85" s="62">
        <f t="shared" si="62"/>
        <v>293.33333333333456</v>
      </c>
      <c r="BI85" s="62">
        <f ca="1">AVERAGE(OFFSET($BH$3,0,0,'Données projet'!$E$11+1,1))-AVERAGE(OFFSET($H$3,0,0,'Données projet'!$E$11+1,1))</f>
        <v>90.797383835887558</v>
      </c>
      <c r="BJ85" s="62">
        <f t="shared" si="92"/>
        <v>104.31413437636684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0.34467597889806051</v>
      </c>
      <c r="BQ85" s="23">
        <f>EXP(-LN(2)/25)*BQ84+(1-EXP(-LN(2)/25))/(LN(2)/25)*Calculateur!BL85*Calculateur!BN85*VLOOKUP('Données projet'!$B$11,Paramètres!$A$1:$I$89,3,0)*0.475*44/12</f>
        <v>1.0036070965999029</v>
      </c>
      <c r="BR85" s="23">
        <f>EXP(-LN(2)/2)*BR84+(1-EXP(-LN(2)/2))/(LN(2)/2)*BL85*BO85*VLOOKUP('Données projet'!$B$11,Paramètres!$A$1:$I$89,3,0)*0.475*44/12</f>
        <v>4.4095041478043461E-8</v>
      </c>
      <c r="BS85" s="24">
        <f t="shared" si="63"/>
        <v>1.3482831195930047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304</v>
      </c>
      <c r="BZ85" s="14">
        <f>BY85*VLOOKUP('Données projet'!$B$12,Paramètres!$A$1:$I$89,3,0)*VLOOKUP('Données projet'!$B$12,Paramètres!$A$1:$I$89,5,0)</f>
        <v>189.696</v>
      </c>
      <c r="CA85" s="14">
        <f t="shared" si="93"/>
        <v>47.472736505152469</v>
      </c>
      <c r="CB85" s="22">
        <f t="shared" si="64"/>
        <v>413.06888274647389</v>
      </c>
      <c r="CC85" s="62">
        <f t="shared" si="65"/>
        <v>706.4022160798072</v>
      </c>
      <c r="CD85" s="62">
        <f ca="1">AVERAGE(OFFSET($CC$3,0,0,'Données projet'!$E$12+1,1))-AVERAGE(OFFSET($H$3,0,0,'Données projet'!$E$12+1,1))</f>
        <v>179.44051550872138</v>
      </c>
      <c r="CE85" s="62">
        <f t="shared" si="94"/>
        <v>272.9500808380069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1.7824309688669886</v>
      </c>
      <c r="CL85" s="23">
        <f>EXP(-LN(2)/25)*CL84+(1-EXP(-LN(2)/25))/(LN(2)/25)*Calculateur!CG85*Calculateur!CI85*VLOOKUP('Données projet'!$B$12,Paramètres!$A$1:$I$89,3,0)*0.475*44/12</f>
        <v>4.7457097583231436</v>
      </c>
      <c r="CM85" s="23">
        <f>EXP(-LN(2)/2)*CM84+(1-EXP(-LN(2)/2))/(LN(2)/2)*CG85*CJ85*VLOOKUP('Données projet'!$B$12,Paramètres!$A$1:$I$89,3,0)*0.475*44/12</f>
        <v>3.0707960725268583E-7</v>
      </c>
      <c r="CN85" s="24">
        <f t="shared" si="66"/>
        <v>6.5281410342697397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277.99999999999994</v>
      </c>
      <c r="CU85" s="18">
        <f>CT85*VLOOKUP('Données projet'!$B$13,Paramètres!$A$1:$I$89,3,0)*VLOOKUP('Données projet'!$B$13,Paramètres!$A$1:$I$89,5,0)</f>
        <v>151.78799999999998</v>
      </c>
      <c r="CV85" s="14">
        <f t="shared" si="95"/>
        <v>38.984634390835623</v>
      </c>
      <c r="CW85" s="22">
        <f t="shared" si="67"/>
        <v>332.26233823070532</v>
      </c>
      <c r="CX85" s="62">
        <f t="shared" si="68"/>
        <v>625.59567156403864</v>
      </c>
      <c r="CY85" s="62">
        <f ca="1">AVERAGE(OFFSET($CX$3,0,0,'Données projet'!$E$13+1,1))-AVERAGE(OFFSET($H$3,0,0,'Données projet'!$E$13+1,1))</f>
        <v>159.92263609041913</v>
      </c>
      <c r="CZ85" s="62">
        <f t="shared" si="96"/>
        <v>271.78119133009307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2.336795009610527</v>
      </c>
      <c r="DG85" s="23">
        <f>EXP(-LN(2)/25)*DG84+(1-EXP(-LN(2)/25))/(LN(2)/25)*Calculateur!DB85*Calculateur!DD85*VLOOKUP('Données projet'!$B$13,Paramètres!$A$1:$I$89,3,0)*0.475*44/12</f>
        <v>6.9209052280266263</v>
      </c>
      <c r="DH85" s="23">
        <f>EXP(-LN(2)/2)*DH84+(1-EXP(-LN(2)/2))/(LN(2)/2)*DB85*DE85*VLOOKUP('Données projet'!$B$13,Paramètres!$A$1:$I$89,3,0)*0.475*44/12</f>
        <v>4.0880854678086764E-7</v>
      </c>
      <c r="DI85" s="24">
        <f t="shared" si="69"/>
        <v>9.2577006464456986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-1.1368683772161603E-13</v>
      </c>
      <c r="DP85" s="18">
        <f>DO85*VLOOKUP('Données projet'!$B$14,Paramètres!$A$1:$I$89,3,0)*VLOOKUP('Données projet'!$B$14,Paramètres!$A$1:$I$89,5,0)</f>
        <v>-5.4683368944097308E-14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122.60806128440754</v>
      </c>
      <c r="DU85" s="62">
        <f t="shared" si="98"/>
        <v>73.937252053142004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0</v>
      </c>
      <c r="EP85" s="62">
        <f t="shared" si="100"/>
        <v>0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382.55387448074327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0.770994343200472</v>
      </c>
      <c r="AA86" s="23">
        <f>EXP(-LN(2)/25)*AA85+(1-EXP(-LN(2)/25))/(LN(2)/25)*Calculateur!V86*Calculateur!X86*VLOOKUP('Données projet'!$B$9,Paramètres!$A$1:$I$89,3,0)*0.475*44/12</f>
        <v>2.4579764693654509</v>
      </c>
      <c r="AB86" s="23">
        <f>EXP(-LN(2)/2)*AB85+(1-EXP(-LN(2)/2))/(LN(2)/2)*V86*Y86*VLOOKUP('Données projet'!$B$9,Paramètres!$A$1:$I$89,3,0)*0.475*44/12</f>
        <v>2.373541838894216E-7</v>
      </c>
      <c r="AC86" s="24">
        <f t="shared" si="57"/>
        <v>3.2289710499201068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269.64423257646359</v>
      </c>
      <c r="AO86" s="62">
        <f t="shared" si="90"/>
        <v>161.0819079811821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8.5265128291212022E-14</v>
      </c>
      <c r="BE86" s="14">
        <f>BD86*VLOOKUP('Données projet'!$B$11,Paramètres!$A$1:$I$89,3,0)*VLOOKUP('Données projet'!$B$11,Paramètres!$A$1:$I$89,5,0)</f>
        <v>3.990408004028723E-14</v>
      </c>
      <c r="BF86" s="14">
        <f t="shared" si="91"/>
        <v>6.6713074187844705E-13</v>
      </c>
      <c r="BG86" s="22">
        <f t="shared" si="61"/>
        <v>1.2314189815084623E-12</v>
      </c>
      <c r="BH86" s="62">
        <f t="shared" si="62"/>
        <v>293.33333333333456</v>
      </c>
      <c r="BI86" s="62">
        <f ca="1">AVERAGE(OFFSET($BH$3,0,0,'Données projet'!$E$11+1,1))-AVERAGE(OFFSET($H$3,0,0,'Données projet'!$E$11+1,1))</f>
        <v>90.797383835887558</v>
      </c>
      <c r="BJ86" s="62">
        <f t="shared" si="92"/>
        <v>104.31413437636684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0.33791709318345803</v>
      </c>
      <c r="BQ86" s="23">
        <f>EXP(-LN(2)/25)*BQ85+(1-EXP(-LN(2)/25))/(LN(2)/25)*Calculateur!BL86*Calculateur!BN86*VLOOKUP('Données projet'!$B$11,Paramètres!$A$1:$I$89,3,0)*0.475*44/12</f>
        <v>0.9761634077659751</v>
      </c>
      <c r="BR86" s="23">
        <f>EXP(-LN(2)/2)*BR85+(1-EXP(-LN(2)/2))/(LN(2)/2)*BL86*BO86*VLOOKUP('Données projet'!$B$11,Paramètres!$A$1:$I$89,3,0)*0.475*44/12</f>
        <v>3.1179902845826614E-8</v>
      </c>
      <c r="BS86" s="24">
        <f t="shared" si="63"/>
        <v>1.3140805321293361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304</v>
      </c>
      <c r="BZ86" s="14">
        <f>BY86*VLOOKUP('Données projet'!$B$12,Paramètres!$A$1:$I$89,3,0)*VLOOKUP('Données projet'!$B$12,Paramètres!$A$1:$I$89,5,0)</f>
        <v>189.696</v>
      </c>
      <c r="CA86" s="14">
        <f t="shared" si="93"/>
        <v>47.472736505152469</v>
      </c>
      <c r="CB86" s="22">
        <f t="shared" si="64"/>
        <v>413.06888274647389</v>
      </c>
      <c r="CC86" s="62">
        <f t="shared" si="65"/>
        <v>706.4022160798072</v>
      </c>
      <c r="CD86" s="62">
        <f ca="1">AVERAGE(OFFSET($CC$3,0,0,'Données projet'!$E$12+1,1))-AVERAGE(OFFSET($H$3,0,0,'Données projet'!$E$12+1,1))</f>
        <v>179.44051550872138</v>
      </c>
      <c r="CE86" s="62">
        <f t="shared" si="94"/>
        <v>272.9500808380069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1.7474785847430483</v>
      </c>
      <c r="CL86" s="23">
        <f>EXP(-LN(2)/25)*CL85+(1-EXP(-LN(2)/25))/(LN(2)/25)*Calculateur!CG86*Calculateur!CI86*VLOOKUP('Données projet'!$B$12,Paramètres!$A$1:$I$89,3,0)*0.475*44/12</f>
        <v>4.6159380754157677</v>
      </c>
      <c r="CM86" s="23">
        <f>EXP(-LN(2)/2)*CM85+(1-EXP(-LN(2)/2))/(LN(2)/2)*CG86*CJ86*VLOOKUP('Données projet'!$B$12,Paramètres!$A$1:$I$89,3,0)*0.475*44/12</f>
        <v>2.1713807265247588E-7</v>
      </c>
      <c r="CN86" s="24">
        <f t="shared" si="66"/>
        <v>6.3634168772968884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277.99999999999994</v>
      </c>
      <c r="CU86" s="18">
        <f>CT86*VLOOKUP('Données projet'!$B$13,Paramètres!$A$1:$I$89,3,0)*VLOOKUP('Données projet'!$B$13,Paramètres!$A$1:$I$89,5,0)</f>
        <v>151.78799999999998</v>
      </c>
      <c r="CV86" s="14">
        <f t="shared" si="95"/>
        <v>38.984634390835623</v>
      </c>
      <c r="CW86" s="22">
        <f t="shared" si="67"/>
        <v>332.26233823070532</v>
      </c>
      <c r="CX86" s="62">
        <f t="shared" si="68"/>
        <v>625.59567156403864</v>
      </c>
      <c r="CY86" s="62">
        <f ca="1">AVERAGE(OFFSET($CX$3,0,0,'Données projet'!$E$13+1,1))-AVERAGE(OFFSET($H$3,0,0,'Données projet'!$E$13+1,1))</f>
        <v>159.92263609041913</v>
      </c>
      <c r="CZ86" s="62">
        <f t="shared" si="96"/>
        <v>271.78119133009307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2.2909718847762832</v>
      </c>
      <c r="DG86" s="23">
        <f>EXP(-LN(2)/25)*DG85+(1-EXP(-LN(2)/25))/(LN(2)/25)*Calculateur!DB86*Calculateur!DD86*VLOOKUP('Données projet'!$B$13,Paramètres!$A$1:$I$89,3,0)*0.475*44/12</f>
        <v>6.7316527106116499</v>
      </c>
      <c r="DH86" s="23">
        <f>EXP(-LN(2)/2)*DH85+(1-EXP(-LN(2)/2))/(LN(2)/2)*DB86*DE86*VLOOKUP('Données projet'!$B$13,Paramètres!$A$1:$I$89,3,0)*0.475*44/12</f>
        <v>2.8907129563576945E-7</v>
      </c>
      <c r="DI86" s="24">
        <f t="shared" si="69"/>
        <v>9.0226248844592281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-1.1368683772161603E-13</v>
      </c>
      <c r="DP86" s="18">
        <f>DO86*VLOOKUP('Données projet'!$B$14,Paramètres!$A$1:$I$89,3,0)*VLOOKUP('Données projet'!$B$14,Paramètres!$A$1:$I$89,5,0)</f>
        <v>-5.4683368944097308E-14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122.60806128440754</v>
      </c>
      <c r="DU86" s="62">
        <f t="shared" si="98"/>
        <v>73.937252053142004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0</v>
      </c>
      <c r="EP86" s="62">
        <f t="shared" si="100"/>
        <v>0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382.55387448074327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0.75587561439042572</v>
      </c>
      <c r="AA87" s="23">
        <f>EXP(-LN(2)/25)*AA86+(1-EXP(-LN(2)/25))/(LN(2)/25)*Calculateur!V87*Calculateur!X87*VLOOKUP('Données projet'!$B$9,Paramètres!$A$1:$I$89,3,0)*0.475*44/12</f>
        <v>2.3907629735512881</v>
      </c>
      <c r="AB87" s="23">
        <f>EXP(-LN(2)/2)*AB86+(1-EXP(-LN(2)/2))/(LN(2)/2)*V87*Y87*VLOOKUP('Données projet'!$B$9,Paramètres!$A$1:$I$89,3,0)*0.475*44/12</f>
        <v>1.6783475297120882E-7</v>
      </c>
      <c r="AC87" s="24">
        <f t="shared" si="57"/>
        <v>3.1466387557764666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269.64423257646359</v>
      </c>
      <c r="AO87" s="62">
        <f t="shared" si="90"/>
        <v>161.0819079811821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8.5265128291212022E-14</v>
      </c>
      <c r="BE87" s="14">
        <f>BD87*VLOOKUP('Données projet'!$B$11,Paramètres!$A$1:$I$89,3,0)*VLOOKUP('Données projet'!$B$11,Paramètres!$A$1:$I$89,5,0)</f>
        <v>3.990408004028723E-14</v>
      </c>
      <c r="BF87" s="14">
        <f t="shared" si="91"/>
        <v>6.6713074187844705E-13</v>
      </c>
      <c r="BG87" s="22">
        <f t="shared" si="61"/>
        <v>1.2314189815084623E-12</v>
      </c>
      <c r="BH87" s="62">
        <f t="shared" si="62"/>
        <v>293.33333333333456</v>
      </c>
      <c r="BI87" s="62">
        <f ca="1">AVERAGE(OFFSET($BH$3,0,0,'Données projet'!$E$11+1,1))-AVERAGE(OFFSET($H$3,0,0,'Données projet'!$E$11+1,1))</f>
        <v>90.797383835887558</v>
      </c>
      <c r="BJ87" s="62">
        <f t="shared" si="92"/>
        <v>104.31413437636684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0.33129074509520567</v>
      </c>
      <c r="BQ87" s="23">
        <f>EXP(-LN(2)/25)*BQ86+(1-EXP(-LN(2)/25))/(LN(2)/25)*Calculateur!BL87*Calculateur!BN87*VLOOKUP('Données projet'!$B$11,Paramètres!$A$1:$I$89,3,0)*0.475*44/12</f>
        <v>0.94947016804641193</v>
      </c>
      <c r="BR87" s="23">
        <f>EXP(-LN(2)/2)*BR86+(1-EXP(-LN(2)/2))/(LN(2)/2)*BL87*BO87*VLOOKUP('Données projet'!$B$11,Paramètres!$A$1:$I$89,3,0)*0.475*44/12</f>
        <v>2.204752073902173E-8</v>
      </c>
      <c r="BS87" s="24">
        <f t="shared" si="63"/>
        <v>1.2807609351891382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304</v>
      </c>
      <c r="BZ87" s="14">
        <f>BY87*VLOOKUP('Données projet'!$B$12,Paramètres!$A$1:$I$89,3,0)*VLOOKUP('Données projet'!$B$12,Paramètres!$A$1:$I$89,5,0)</f>
        <v>189.696</v>
      </c>
      <c r="CA87" s="14">
        <f t="shared" si="93"/>
        <v>47.472736505152469</v>
      </c>
      <c r="CB87" s="22">
        <f t="shared" si="64"/>
        <v>413.06888274647389</v>
      </c>
      <c r="CC87" s="62">
        <f t="shared" si="65"/>
        <v>706.4022160798072</v>
      </c>
      <c r="CD87" s="62">
        <f ca="1">AVERAGE(OFFSET($CC$3,0,0,'Données projet'!$E$12+1,1))-AVERAGE(OFFSET($H$3,0,0,'Données projet'!$E$12+1,1))</f>
        <v>179.44051550872138</v>
      </c>
      <c r="CE87" s="62">
        <f t="shared" si="94"/>
        <v>272.9500808380069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1.7132115955529292</v>
      </c>
      <c r="CL87" s="23">
        <f>EXP(-LN(2)/25)*CL86+(1-EXP(-LN(2)/25))/(LN(2)/25)*Calculateur!CG87*Calculateur!CI87*VLOOKUP('Données projet'!$B$12,Paramètres!$A$1:$I$89,3,0)*0.475*44/12</f>
        <v>4.48971500600189</v>
      </c>
      <c r="CM87" s="23">
        <f>EXP(-LN(2)/2)*CM86+(1-EXP(-LN(2)/2))/(LN(2)/2)*CG87*CJ87*VLOOKUP('Données projet'!$B$12,Paramètres!$A$1:$I$89,3,0)*0.475*44/12</f>
        <v>1.5353980362634292E-7</v>
      </c>
      <c r="CN87" s="24">
        <f t="shared" si="66"/>
        <v>6.202926755094623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277.99999999999994</v>
      </c>
      <c r="CU87" s="18">
        <f>CT87*VLOOKUP('Données projet'!$B$13,Paramètres!$A$1:$I$89,3,0)*VLOOKUP('Données projet'!$B$13,Paramètres!$A$1:$I$89,5,0)</f>
        <v>151.78799999999998</v>
      </c>
      <c r="CV87" s="14">
        <f t="shared" si="95"/>
        <v>38.984634390835623</v>
      </c>
      <c r="CW87" s="22">
        <f t="shared" si="67"/>
        <v>332.26233823070532</v>
      </c>
      <c r="CX87" s="62">
        <f t="shared" si="68"/>
        <v>625.59567156403864</v>
      </c>
      <c r="CY87" s="62">
        <f ca="1">AVERAGE(OFFSET($CX$3,0,0,'Données projet'!$E$13+1,1))-AVERAGE(OFFSET($H$3,0,0,'Données projet'!$E$13+1,1))</f>
        <v>159.92263609041913</v>
      </c>
      <c r="CZ87" s="62">
        <f t="shared" si="96"/>
        <v>271.78119133009307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2.2460473234706928</v>
      </c>
      <c r="DG87" s="23">
        <f>EXP(-LN(2)/25)*DG86+(1-EXP(-LN(2)/25))/(LN(2)/25)*Calculateur!DB87*Calculateur!DD87*VLOOKUP('Données projet'!$B$13,Paramètres!$A$1:$I$89,3,0)*0.475*44/12</f>
        <v>6.5475753132377434</v>
      </c>
      <c r="DH87" s="23">
        <f>EXP(-LN(2)/2)*DH86+(1-EXP(-LN(2)/2))/(LN(2)/2)*DB87*DE87*VLOOKUP('Données projet'!$B$13,Paramètres!$A$1:$I$89,3,0)*0.475*44/12</f>
        <v>2.0440427339043382E-7</v>
      </c>
      <c r="DI87" s="24">
        <f t="shared" si="69"/>
        <v>8.7936228411127093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-1.1368683772161603E-13</v>
      </c>
      <c r="DP87" s="18">
        <f>DO87*VLOOKUP('Données projet'!$B$14,Paramètres!$A$1:$I$89,3,0)*VLOOKUP('Données projet'!$B$14,Paramètres!$A$1:$I$89,5,0)</f>
        <v>-5.4683368944097308E-14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122.60806128440754</v>
      </c>
      <c r="DU87" s="62">
        <f t="shared" si="98"/>
        <v>73.937252053142004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0</v>
      </c>
      <c r="EP87" s="62">
        <f t="shared" si="100"/>
        <v>0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382.55387448074327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0.74105335463083044</v>
      </c>
      <c r="AA88" s="23">
        <f>EXP(-LN(2)/25)*AA87+(1-EXP(-LN(2)/25))/(LN(2)/25)*Calculateur!V88*Calculateur!X88*VLOOKUP('Données projet'!$B$9,Paramètres!$A$1:$I$89,3,0)*0.475*44/12</f>
        <v>2.3253874343147674</v>
      </c>
      <c r="AB88" s="23">
        <f>EXP(-LN(2)/2)*AB87+(1-EXP(-LN(2)/2))/(LN(2)/2)*V88*Y88*VLOOKUP('Données projet'!$B$9,Paramètres!$A$1:$I$89,3,0)*0.475*44/12</f>
        <v>1.1867709194471083E-7</v>
      </c>
      <c r="AC88" s="24">
        <f t="shared" si="57"/>
        <v>3.0664409076226899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269.64423257646359</v>
      </c>
      <c r="AO88" s="62">
        <f t="shared" si="90"/>
        <v>161.0819079811821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8.5265128291212022E-14</v>
      </c>
      <c r="BE88" s="14">
        <f>BD88*VLOOKUP('Données projet'!$B$11,Paramètres!$A$1:$I$89,3,0)*VLOOKUP('Données projet'!$B$11,Paramètres!$A$1:$I$89,5,0)</f>
        <v>3.990408004028723E-14</v>
      </c>
      <c r="BF88" s="14">
        <f t="shared" si="91"/>
        <v>6.6713074187844705E-13</v>
      </c>
      <c r="BG88" s="22">
        <f t="shared" si="61"/>
        <v>1.2314189815084623E-12</v>
      </c>
      <c r="BH88" s="62">
        <f t="shared" si="62"/>
        <v>293.33333333333456</v>
      </c>
      <c r="BI88" s="62">
        <f ca="1">AVERAGE(OFFSET($BH$3,0,0,'Données projet'!$E$11+1,1))-AVERAGE(OFFSET($H$3,0,0,'Données projet'!$E$11+1,1))</f>
        <v>90.797383835887558</v>
      </c>
      <c r="BJ88" s="62">
        <f t="shared" si="92"/>
        <v>104.31413437636684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0.32479433565129068</v>
      </c>
      <c r="BQ88" s="23">
        <f>EXP(-LN(2)/25)*BQ87+(1-EXP(-LN(2)/25))/(LN(2)/25)*Calculateur!BL88*Calculateur!BN88*VLOOKUP('Données projet'!$B$11,Paramètres!$A$1:$I$89,3,0)*0.475*44/12</f>
        <v>0.92350685637071672</v>
      </c>
      <c r="BR88" s="23">
        <f>EXP(-LN(2)/2)*BR87+(1-EXP(-LN(2)/2))/(LN(2)/2)*BL88*BO88*VLOOKUP('Données projet'!$B$11,Paramètres!$A$1:$I$89,3,0)*0.475*44/12</f>
        <v>1.5589951422913307E-8</v>
      </c>
      <c r="BS88" s="24">
        <f t="shared" si="63"/>
        <v>1.2483012076119586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304</v>
      </c>
      <c r="BZ88" s="14">
        <f>BY88*VLOOKUP('Données projet'!$B$12,Paramètres!$A$1:$I$89,3,0)*VLOOKUP('Données projet'!$B$12,Paramètres!$A$1:$I$89,5,0)</f>
        <v>189.696</v>
      </c>
      <c r="CA88" s="14">
        <f t="shared" si="93"/>
        <v>47.472736505152469</v>
      </c>
      <c r="CB88" s="22">
        <f t="shared" si="64"/>
        <v>413.06888274647389</v>
      </c>
      <c r="CC88" s="62">
        <f t="shared" si="65"/>
        <v>706.4022160798072</v>
      </c>
      <c r="CD88" s="62">
        <f ca="1">AVERAGE(OFFSET($CC$3,0,0,'Données projet'!$E$12+1,1))-AVERAGE(OFFSET($H$3,0,0,'Données projet'!$E$12+1,1))</f>
        <v>179.44051550872138</v>
      </c>
      <c r="CE88" s="62">
        <f t="shared" si="94"/>
        <v>272.9500808380069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1.6796165611200287</v>
      </c>
      <c r="CL88" s="23">
        <f>EXP(-LN(2)/25)*CL87+(1-EXP(-LN(2)/25))/(LN(2)/25)*Calculateur!CG88*Calculateur!CI88*VLOOKUP('Données projet'!$B$12,Paramètres!$A$1:$I$89,3,0)*0.475*44/12</f>
        <v>4.3669435130589171</v>
      </c>
      <c r="CM88" s="23">
        <f>EXP(-LN(2)/2)*CM87+(1-EXP(-LN(2)/2))/(LN(2)/2)*CG88*CJ88*VLOOKUP('Données projet'!$B$12,Paramètres!$A$1:$I$89,3,0)*0.475*44/12</f>
        <v>1.0856903632623794E-7</v>
      </c>
      <c r="CN88" s="24">
        <f t="shared" si="66"/>
        <v>6.0465601827479825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277.99999999999994</v>
      </c>
      <c r="CU88" s="18">
        <f>CT88*VLOOKUP('Données projet'!$B$13,Paramètres!$A$1:$I$89,3,0)*VLOOKUP('Données projet'!$B$13,Paramètres!$A$1:$I$89,5,0)</f>
        <v>151.78799999999998</v>
      </c>
      <c r="CV88" s="14">
        <f t="shared" si="95"/>
        <v>38.984634390835623</v>
      </c>
      <c r="CW88" s="22">
        <f t="shared" si="67"/>
        <v>332.26233823070532</v>
      </c>
      <c r="CX88" s="62">
        <f t="shared" si="68"/>
        <v>625.59567156403864</v>
      </c>
      <c r="CY88" s="62">
        <f ca="1">AVERAGE(OFFSET($CX$3,0,0,'Données projet'!$E$13+1,1))-AVERAGE(OFFSET($H$3,0,0,'Données projet'!$E$13+1,1))</f>
        <v>159.92263609041913</v>
      </c>
      <c r="CZ88" s="62">
        <f t="shared" si="96"/>
        <v>271.78119133009307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2.2020037054110282</v>
      </c>
      <c r="DG88" s="23">
        <f>EXP(-LN(2)/25)*DG87+(1-EXP(-LN(2)/25))/(LN(2)/25)*Calculateur!DB88*Calculateur!DD88*VLOOKUP('Données projet'!$B$13,Paramètres!$A$1:$I$89,3,0)*0.475*44/12</f>
        <v>6.3685315219752363</v>
      </c>
      <c r="DH88" s="23">
        <f>EXP(-LN(2)/2)*DH87+(1-EXP(-LN(2)/2))/(LN(2)/2)*DB88*DE88*VLOOKUP('Données projet'!$B$13,Paramètres!$A$1:$I$89,3,0)*0.475*44/12</f>
        <v>1.4453564781788473E-7</v>
      </c>
      <c r="DI88" s="24">
        <f t="shared" si="69"/>
        <v>8.5705353719219115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-1.1368683772161603E-13</v>
      </c>
      <c r="DP88" s="18">
        <f>DO88*VLOOKUP('Données projet'!$B$14,Paramètres!$A$1:$I$89,3,0)*VLOOKUP('Données projet'!$B$14,Paramètres!$A$1:$I$89,5,0)</f>
        <v>-5.4683368944097308E-14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122.60806128440754</v>
      </c>
      <c r="DU88" s="62">
        <f t="shared" si="98"/>
        <v>73.937252053142004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0</v>
      </c>
      <c r="EP88" s="62">
        <f t="shared" si="100"/>
        <v>0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382.55387448074327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0.72652175034443511</v>
      </c>
      <c r="AA89" s="23">
        <f>EXP(-LN(2)/25)*AA88+(1-EXP(-LN(2)/25))/(LN(2)/25)*Calculateur!V89*Calculateur!X89*VLOOKUP('Données projet'!$B$9,Paramètres!$A$1:$I$89,3,0)*0.475*44/12</f>
        <v>2.2617995926366197</v>
      </c>
      <c r="AB89" s="23">
        <f>EXP(-LN(2)/2)*AB88+(1-EXP(-LN(2)/2))/(LN(2)/2)*V89*Y89*VLOOKUP('Données projet'!$B$9,Paramètres!$A$1:$I$89,3,0)*0.475*44/12</f>
        <v>8.3917376485604422E-8</v>
      </c>
      <c r="AC89" s="24">
        <f t="shared" si="57"/>
        <v>2.9883214268984313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269.64423257646359</v>
      </c>
      <c r="AO89" s="62">
        <f t="shared" si="90"/>
        <v>161.0819079811821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8.5265128291212022E-14</v>
      </c>
      <c r="BE89" s="14">
        <f>BD89*VLOOKUP('Données projet'!$B$11,Paramètres!$A$1:$I$89,3,0)*VLOOKUP('Données projet'!$B$11,Paramètres!$A$1:$I$89,5,0)</f>
        <v>3.990408004028723E-14</v>
      </c>
      <c r="BF89" s="14">
        <f t="shared" si="91"/>
        <v>6.6713074187844705E-13</v>
      </c>
      <c r="BG89" s="22">
        <f t="shared" si="61"/>
        <v>1.2314189815084623E-12</v>
      </c>
      <c r="BH89" s="62">
        <f t="shared" si="62"/>
        <v>293.33333333333456</v>
      </c>
      <c r="BI89" s="62">
        <f ca="1">AVERAGE(OFFSET($BH$3,0,0,'Données projet'!$E$11+1,1))-AVERAGE(OFFSET($H$3,0,0,'Données projet'!$E$11+1,1))</f>
        <v>90.797383835887558</v>
      </c>
      <c r="BJ89" s="62">
        <f t="shared" si="92"/>
        <v>104.31413437636684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0.31842531683415237</v>
      </c>
      <c r="BQ89" s="23">
        <f>EXP(-LN(2)/25)*BQ88+(1-EXP(-LN(2)/25))/(LN(2)/25)*Calculateur!BL89*Calculateur!BN89*VLOOKUP('Données projet'!$B$11,Paramètres!$A$1:$I$89,3,0)*0.475*44/12</f>
        <v>0.89825351281814458</v>
      </c>
      <c r="BR89" s="23">
        <f>EXP(-LN(2)/2)*BR88+(1-EXP(-LN(2)/2))/(LN(2)/2)*BL89*BO89*VLOOKUP('Données projet'!$B$11,Paramètres!$A$1:$I$89,3,0)*0.475*44/12</f>
        <v>1.1023760369510865E-8</v>
      </c>
      <c r="BS89" s="24">
        <f t="shared" si="63"/>
        <v>1.2166788406760574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304</v>
      </c>
      <c r="BZ89" s="14">
        <f>BY89*VLOOKUP('Données projet'!$B$12,Paramètres!$A$1:$I$89,3,0)*VLOOKUP('Données projet'!$B$12,Paramètres!$A$1:$I$89,5,0)</f>
        <v>189.696</v>
      </c>
      <c r="CA89" s="14">
        <f t="shared" si="93"/>
        <v>47.472736505152469</v>
      </c>
      <c r="CB89" s="22">
        <f t="shared" si="64"/>
        <v>413.06888274647389</v>
      </c>
      <c r="CC89" s="62">
        <f t="shared" si="65"/>
        <v>706.4022160798072</v>
      </c>
      <c r="CD89" s="62">
        <f ca="1">AVERAGE(OFFSET($CC$3,0,0,'Données projet'!$E$12+1,1))-AVERAGE(OFFSET($H$3,0,0,'Données projet'!$E$12+1,1))</f>
        <v>179.44051550872138</v>
      </c>
      <c r="CE89" s="62">
        <f t="shared" si="94"/>
        <v>272.9500808380069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1.6466803048214096</v>
      </c>
      <c r="CL89" s="23">
        <f>EXP(-LN(2)/25)*CL88+(1-EXP(-LN(2)/25))/(LN(2)/25)*Calculateur!CG89*Calculateur!CI89*VLOOKUP('Données projet'!$B$12,Paramètres!$A$1:$I$89,3,0)*0.475*44/12</f>
        <v>4.2475292130467421</v>
      </c>
      <c r="CM89" s="23">
        <f>EXP(-LN(2)/2)*CM88+(1-EXP(-LN(2)/2))/(LN(2)/2)*CG89*CJ89*VLOOKUP('Données projet'!$B$12,Paramètres!$A$1:$I$89,3,0)*0.475*44/12</f>
        <v>7.6769901813171459E-8</v>
      </c>
      <c r="CN89" s="24">
        <f t="shared" si="66"/>
        <v>5.8942095946380535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277.99999999999994</v>
      </c>
      <c r="CU89" s="18">
        <f>CT89*VLOOKUP('Données projet'!$B$13,Paramètres!$A$1:$I$89,3,0)*VLOOKUP('Données projet'!$B$13,Paramètres!$A$1:$I$89,5,0)</f>
        <v>151.78799999999998</v>
      </c>
      <c r="CV89" s="14">
        <f t="shared" si="95"/>
        <v>38.984634390835623</v>
      </c>
      <c r="CW89" s="22">
        <f t="shared" si="67"/>
        <v>332.26233823070532</v>
      </c>
      <c r="CX89" s="62">
        <f t="shared" si="68"/>
        <v>625.59567156403864</v>
      </c>
      <c r="CY89" s="62">
        <f ca="1">AVERAGE(OFFSET($CX$3,0,0,'Données projet'!$E$13+1,1))-AVERAGE(OFFSET($H$3,0,0,'Données projet'!$E$13+1,1))</f>
        <v>159.92263609041913</v>
      </c>
      <c r="CZ89" s="62">
        <f t="shared" si="96"/>
        <v>271.78119133009307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2.1588237558375591</v>
      </c>
      <c r="DG89" s="23">
        <f>EXP(-LN(2)/25)*DG88+(1-EXP(-LN(2)/25))/(LN(2)/25)*Calculateur!DB89*Calculateur!DD89*VLOOKUP('Données projet'!$B$13,Paramètres!$A$1:$I$89,3,0)*0.475*44/12</f>
        <v>6.1943836926003062</v>
      </c>
      <c r="DH89" s="23">
        <f>EXP(-LN(2)/2)*DH88+(1-EXP(-LN(2)/2))/(LN(2)/2)*DB89*DE89*VLOOKUP('Données projet'!$B$13,Paramètres!$A$1:$I$89,3,0)*0.475*44/12</f>
        <v>1.0220213669521691E-7</v>
      </c>
      <c r="DI89" s="24">
        <f t="shared" si="69"/>
        <v>8.3532075506400023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-1.1368683772161603E-13</v>
      </c>
      <c r="DP89" s="18">
        <f>DO89*VLOOKUP('Données projet'!$B$14,Paramètres!$A$1:$I$89,3,0)*VLOOKUP('Données projet'!$B$14,Paramètres!$A$1:$I$89,5,0)</f>
        <v>-5.4683368944097308E-14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122.60806128440754</v>
      </c>
      <c r="DU89" s="62">
        <f t="shared" si="98"/>
        <v>73.937252053142004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0</v>
      </c>
      <c r="EP89" s="62">
        <f t="shared" si="100"/>
        <v>0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382.55387448074327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0.71227510195469257</v>
      </c>
      <c r="AA90" s="23">
        <f>EXP(-LN(2)/25)*AA89+(1-EXP(-LN(2)/25))/(LN(2)/25)*Calculateur!V90*Calculateur!X90*VLOOKUP('Données projet'!$B$9,Paramètres!$A$1:$I$89,3,0)*0.475*44/12</f>
        <v>2.1999505638331001</v>
      </c>
      <c r="AB90" s="23">
        <f>EXP(-LN(2)/2)*AB89+(1-EXP(-LN(2)/2))/(LN(2)/2)*V90*Y90*VLOOKUP('Données projet'!$B$9,Paramètres!$A$1:$I$89,3,0)*0.475*44/12</f>
        <v>5.9338545972355419E-8</v>
      </c>
      <c r="AC90" s="24">
        <f t="shared" si="57"/>
        <v>2.9122257251263388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800.75738581526548</v>
      </c>
      <c r="AN90" s="62">
        <f ca="1">AVERAGE(OFFSET($AM$3,0,0,'Données projet'!$E$10+1,1))-AVERAGE(OFFSET($H$3,0,0,'Données projet'!$E$10+1,1))</f>
        <v>269.64423257646359</v>
      </c>
      <c r="AO90" s="62">
        <f t="shared" si="90"/>
        <v>161.0819079811821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8.5265128291212022E-14</v>
      </c>
      <c r="BE90" s="14">
        <f>BD90*VLOOKUP('Données projet'!$B$11,Paramètres!$A$1:$I$89,3,0)*VLOOKUP('Données projet'!$B$11,Paramètres!$A$1:$I$89,5,0)</f>
        <v>3.990408004028723E-14</v>
      </c>
      <c r="BF90" s="14">
        <f t="shared" si="91"/>
        <v>6.6713074187844705E-13</v>
      </c>
      <c r="BG90" s="22">
        <f t="shared" si="61"/>
        <v>1.2314189815084623E-12</v>
      </c>
      <c r="BH90" s="62">
        <f t="shared" si="62"/>
        <v>293.33333333333456</v>
      </c>
      <c r="BI90" s="62">
        <f ca="1">AVERAGE(OFFSET($BH$3,0,0,'Données projet'!$E$11+1,1))-AVERAGE(OFFSET($H$3,0,0,'Données projet'!$E$11+1,1))</f>
        <v>90.797383835887558</v>
      </c>
      <c r="BJ90" s="62">
        <f t="shared" si="92"/>
        <v>104.31413437636684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0.31218119059130023</v>
      </c>
      <c r="BQ90" s="23">
        <f>EXP(-LN(2)/25)*BQ89+(1-EXP(-LN(2)/25))/(LN(2)/25)*Calculateur!BL90*Calculateur!BN90*VLOOKUP('Données projet'!$B$11,Paramètres!$A$1:$I$89,3,0)*0.475*44/12</f>
        <v>0.87369072327303321</v>
      </c>
      <c r="BR90" s="23">
        <f>EXP(-LN(2)/2)*BR89+(1-EXP(-LN(2)/2))/(LN(2)/2)*BL90*BO90*VLOOKUP('Données projet'!$B$11,Paramètres!$A$1:$I$89,3,0)*0.475*44/12</f>
        <v>7.7949757114566535E-9</v>
      </c>
      <c r="BS90" s="24">
        <f t="shared" si="63"/>
        <v>1.1858719216593092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304</v>
      </c>
      <c r="BZ90" s="14">
        <f>BY90*VLOOKUP('Données projet'!$B$12,Paramètres!$A$1:$I$89,3,0)*VLOOKUP('Données projet'!$B$12,Paramètres!$A$1:$I$89,5,0)</f>
        <v>189.696</v>
      </c>
      <c r="CA90" s="14">
        <f t="shared" si="93"/>
        <v>47.472736505152469</v>
      </c>
      <c r="CB90" s="22">
        <f t="shared" si="64"/>
        <v>413.06888274647389</v>
      </c>
      <c r="CC90" s="62">
        <f t="shared" si="65"/>
        <v>706.4022160798072</v>
      </c>
      <c r="CD90" s="62">
        <f ca="1">AVERAGE(OFFSET($CC$3,0,0,'Données projet'!$E$12+1,1))-AVERAGE(OFFSET($H$3,0,0,'Données projet'!$E$12+1,1))</f>
        <v>179.44051550872138</v>
      </c>
      <c r="CE90" s="62">
        <f t="shared" si="94"/>
        <v>272.9500808380069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1.6143899084196738</v>
      </c>
      <c r="CL90" s="23">
        <f>EXP(-LN(2)/25)*CL89+(1-EXP(-LN(2)/25))/(LN(2)/25)*Calculateur!CG90*Calculateur!CI90*VLOOKUP('Données projet'!$B$12,Paramètres!$A$1:$I$89,3,0)*0.475*44/12</f>
        <v>4.1313803033481253</v>
      </c>
      <c r="CM90" s="23">
        <f>EXP(-LN(2)/2)*CM89+(1-EXP(-LN(2)/2))/(LN(2)/2)*CG90*CJ90*VLOOKUP('Données projet'!$B$12,Paramètres!$A$1:$I$89,3,0)*0.475*44/12</f>
        <v>5.4284518163118969E-8</v>
      </c>
      <c r="CN90" s="24">
        <f t="shared" si="66"/>
        <v>5.7457702660523173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277.99999999999994</v>
      </c>
      <c r="CU90" s="18">
        <f>CT90*VLOOKUP('Données projet'!$B$13,Paramètres!$A$1:$I$89,3,0)*VLOOKUP('Données projet'!$B$13,Paramètres!$A$1:$I$89,5,0)</f>
        <v>151.78799999999998</v>
      </c>
      <c r="CV90" s="14">
        <f t="shared" si="95"/>
        <v>38.984634390835623</v>
      </c>
      <c r="CW90" s="22">
        <f t="shared" si="67"/>
        <v>332.26233823070532</v>
      </c>
      <c r="CX90" s="62">
        <f t="shared" si="68"/>
        <v>625.59567156403864</v>
      </c>
      <c r="CY90" s="62">
        <f ca="1">AVERAGE(OFFSET($CX$3,0,0,'Données projet'!$E$13+1,1))-AVERAGE(OFFSET($H$3,0,0,'Données projet'!$E$13+1,1))</f>
        <v>159.92263609041913</v>
      </c>
      <c r="CZ90" s="62">
        <f t="shared" si="96"/>
        <v>271.78119133009307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2.116490538738057</v>
      </c>
      <c r="DG90" s="23">
        <f>EXP(-LN(2)/25)*DG89+(1-EXP(-LN(2)/25))/(LN(2)/25)*Calculateur!DB90*Calculateur!DD90*VLOOKUP('Données projet'!$B$13,Paramètres!$A$1:$I$89,3,0)*0.475*44/12</f>
        <v>6.0249979447776703</v>
      </c>
      <c r="DH90" s="23">
        <f>EXP(-LN(2)/2)*DH89+(1-EXP(-LN(2)/2))/(LN(2)/2)*DB90*DE90*VLOOKUP('Données projet'!$B$13,Paramètres!$A$1:$I$89,3,0)*0.475*44/12</f>
        <v>7.2267823908942363E-8</v>
      </c>
      <c r="DI90" s="24">
        <f t="shared" si="69"/>
        <v>8.1414885557835515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-1.1368683772161603E-13</v>
      </c>
      <c r="DP90" s="18">
        <f>DO90*VLOOKUP('Données projet'!$B$14,Paramètres!$A$1:$I$89,3,0)*VLOOKUP('Données projet'!$B$14,Paramètres!$A$1:$I$89,5,0)</f>
        <v>-5.4683368944097308E-14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122.60806128440754</v>
      </c>
      <c r="DU90" s="62">
        <f t="shared" si="98"/>
        <v>73.937252053142004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0</v>
      </c>
      <c r="EP90" s="62">
        <f t="shared" si="100"/>
        <v>0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382.55387448074327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0.69830782165027538</v>
      </c>
      <c r="AA91" s="23">
        <f>EXP(-LN(2)/25)*AA90+(1-EXP(-LN(2)/25))/(LN(2)/25)*Calculateur!V91*Calculateur!X91*VLOOKUP('Données projet'!$B$9,Paramètres!$A$1:$I$89,3,0)*0.475*44/12</f>
        <v>2.1397927999747117</v>
      </c>
      <c r="AB91" s="23">
        <f>EXP(-LN(2)/2)*AB90+(1-EXP(-LN(2)/2))/(LN(2)/2)*V91*Y91*VLOOKUP('Données projet'!$B$9,Paramètres!$A$1:$I$89,3,0)*0.475*44/12</f>
        <v>4.1958688242802218E-8</v>
      </c>
      <c r="AC91" s="24">
        <f t="shared" si="57"/>
        <v>2.838100663583675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269.64423257646359</v>
      </c>
      <c r="AO91" s="62">
        <f t="shared" si="90"/>
        <v>161.0819079811821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8.5265128291212022E-14</v>
      </c>
      <c r="BE91" s="14">
        <f>BD91*VLOOKUP('Données projet'!$B$11,Paramètres!$A$1:$I$89,3,0)*VLOOKUP('Données projet'!$B$11,Paramètres!$A$1:$I$89,5,0)</f>
        <v>3.990408004028723E-14</v>
      </c>
      <c r="BF91" s="14">
        <f t="shared" si="91"/>
        <v>6.6713074187844705E-13</v>
      </c>
      <c r="BG91" s="22">
        <f t="shared" si="61"/>
        <v>1.2314189815084623E-12</v>
      </c>
      <c r="BH91" s="62">
        <f t="shared" si="62"/>
        <v>293.33333333333456</v>
      </c>
      <c r="BI91" s="62">
        <f ca="1">AVERAGE(OFFSET($BH$3,0,0,'Données projet'!$E$11+1,1))-AVERAGE(OFFSET($H$3,0,0,'Données projet'!$E$11+1,1))</f>
        <v>90.797383835887558</v>
      </c>
      <c r="BJ91" s="62">
        <f t="shared" si="92"/>
        <v>104.31413437636684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0.30605950785552949</v>
      </c>
      <c r="BQ91" s="23">
        <f>EXP(-LN(2)/25)*BQ90+(1-EXP(-LN(2)/25))/(LN(2)/25)*Calculateur!BL91*Calculateur!BN91*VLOOKUP('Données projet'!$B$11,Paramètres!$A$1:$I$89,3,0)*0.475*44/12</f>
        <v>0.8497996044997338</v>
      </c>
      <c r="BR91" s="23">
        <f>EXP(-LN(2)/2)*BR90+(1-EXP(-LN(2)/2))/(LN(2)/2)*BL91*BO91*VLOOKUP('Données projet'!$B$11,Paramètres!$A$1:$I$89,3,0)*0.475*44/12</f>
        <v>5.5118801847554326E-9</v>
      </c>
      <c r="BS91" s="24">
        <f t="shared" si="63"/>
        <v>1.1558591178671436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304</v>
      </c>
      <c r="BZ91" s="14">
        <f>BY91*VLOOKUP('Données projet'!$B$12,Paramètres!$A$1:$I$89,3,0)*VLOOKUP('Données projet'!$B$12,Paramètres!$A$1:$I$89,5,0)</f>
        <v>189.696</v>
      </c>
      <c r="CA91" s="14">
        <f t="shared" si="93"/>
        <v>47.472736505152469</v>
      </c>
      <c r="CB91" s="22">
        <f t="shared" si="64"/>
        <v>413.06888274647389</v>
      </c>
      <c r="CC91" s="62">
        <f t="shared" si="65"/>
        <v>706.4022160798072</v>
      </c>
      <c r="CD91" s="62">
        <f ca="1">AVERAGE(OFFSET($CC$3,0,0,'Données projet'!$E$12+1,1))-AVERAGE(OFFSET($H$3,0,0,'Données projet'!$E$12+1,1))</f>
        <v>179.44051550872138</v>
      </c>
      <c r="CE91" s="62">
        <f t="shared" si="94"/>
        <v>272.9500808380069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1.582732706996179</v>
      </c>
      <c r="CL91" s="23">
        <f>EXP(-LN(2)/25)*CL90+(1-EXP(-LN(2)/25))/(LN(2)/25)*Calculateur!CG91*Calculateur!CI91*VLOOKUP('Données projet'!$B$12,Paramètres!$A$1:$I$89,3,0)*0.475*44/12</f>
        <v>4.0184074916932229</v>
      </c>
      <c r="CM91" s="23">
        <f>EXP(-LN(2)/2)*CM90+(1-EXP(-LN(2)/2))/(LN(2)/2)*CG91*CJ91*VLOOKUP('Données projet'!$B$12,Paramètres!$A$1:$I$89,3,0)*0.475*44/12</f>
        <v>3.8384950906585729E-8</v>
      </c>
      <c r="CN91" s="24">
        <f t="shared" si="66"/>
        <v>5.601140237074353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277.99999999999994</v>
      </c>
      <c r="CU91" s="18">
        <f>CT91*VLOOKUP('Données projet'!$B$13,Paramètres!$A$1:$I$89,3,0)*VLOOKUP('Données projet'!$B$13,Paramètres!$A$1:$I$89,5,0)</f>
        <v>151.78799999999998</v>
      </c>
      <c r="CV91" s="14">
        <f t="shared" si="95"/>
        <v>38.984634390835623</v>
      </c>
      <c r="CW91" s="22">
        <f t="shared" si="67"/>
        <v>332.26233823070532</v>
      </c>
      <c r="CX91" s="62">
        <f t="shared" si="68"/>
        <v>625.59567156403864</v>
      </c>
      <c r="CY91" s="62">
        <f ca="1">AVERAGE(OFFSET($CX$3,0,0,'Données projet'!$E$13+1,1))-AVERAGE(OFFSET($H$3,0,0,'Données projet'!$E$13+1,1))</f>
        <v>159.92263609041913</v>
      </c>
      <c r="CZ91" s="62">
        <f t="shared" si="96"/>
        <v>271.78119133009307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2.0749874502051635</v>
      </c>
      <c r="DG91" s="23">
        <f>EXP(-LN(2)/25)*DG90+(1-EXP(-LN(2)/25))/(LN(2)/25)*Calculateur!DB91*Calculateur!DD91*VLOOKUP('Données projet'!$B$13,Paramètres!$A$1:$I$89,3,0)*0.475*44/12</f>
        <v>5.8602440591368534</v>
      </c>
      <c r="DH91" s="23">
        <f>EXP(-LN(2)/2)*DH90+(1-EXP(-LN(2)/2))/(LN(2)/2)*DB91*DE91*VLOOKUP('Données projet'!$B$13,Paramètres!$A$1:$I$89,3,0)*0.475*44/12</f>
        <v>5.1101068347608455E-8</v>
      </c>
      <c r="DI91" s="24">
        <f t="shared" si="69"/>
        <v>7.9352315604430856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-1.1368683772161603E-13</v>
      </c>
      <c r="DP91" s="18">
        <f>DO91*VLOOKUP('Données projet'!$B$14,Paramètres!$A$1:$I$89,3,0)*VLOOKUP('Données projet'!$B$14,Paramètres!$A$1:$I$89,5,0)</f>
        <v>-5.4683368944097308E-14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122.60806128440754</v>
      </c>
      <c r="DU91" s="62">
        <f t="shared" si="98"/>
        <v>73.937252053142004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0</v>
      </c>
      <c r="EP91" s="62">
        <f t="shared" si="100"/>
        <v>0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382.55387448074327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0.68461443119342802</v>
      </c>
      <c r="AA92" s="23">
        <f>EXP(-LN(2)/25)*AA91+(1-EXP(-LN(2)/25))/(LN(2)/25)*Calculateur!V92*Calculateur!X92*VLOOKUP('Données projet'!$B$9,Paramètres!$A$1:$I$89,3,0)*0.475*44/12</f>
        <v>2.0812800533325904</v>
      </c>
      <c r="AB92" s="23">
        <f>EXP(-LN(2)/2)*AB91+(1-EXP(-LN(2)/2))/(LN(2)/2)*V92*Y92*VLOOKUP('Données projet'!$B$9,Paramètres!$A$1:$I$89,3,0)*0.475*44/12</f>
        <v>2.9669272986177713E-8</v>
      </c>
      <c r="AC92" s="24">
        <f t="shared" si="57"/>
        <v>2.7658945141952911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269.64423257646359</v>
      </c>
      <c r="AO92" s="62">
        <f t="shared" si="90"/>
        <v>161.0819079811821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8.5265128291212022E-14</v>
      </c>
      <c r="BE92" s="14">
        <f>BD92*VLOOKUP('Données projet'!$B$11,Paramètres!$A$1:$I$89,3,0)*VLOOKUP('Données projet'!$B$11,Paramètres!$A$1:$I$89,5,0)</f>
        <v>3.990408004028723E-14</v>
      </c>
      <c r="BF92" s="14">
        <f t="shared" si="91"/>
        <v>6.6713074187844705E-13</v>
      </c>
      <c r="BG92" s="22">
        <f t="shared" si="61"/>
        <v>1.2314189815084623E-12</v>
      </c>
      <c r="BH92" s="62">
        <f t="shared" si="62"/>
        <v>293.33333333333456</v>
      </c>
      <c r="BI92" s="62">
        <f ca="1">AVERAGE(OFFSET($BH$3,0,0,'Données projet'!$E$11+1,1))-AVERAGE(OFFSET($H$3,0,0,'Données projet'!$E$11+1,1))</f>
        <v>90.797383835887558</v>
      </c>
      <c r="BJ92" s="62">
        <f t="shared" si="92"/>
        <v>104.31413437636684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0.30005786758434944</v>
      </c>
      <c r="BQ92" s="23">
        <f>EXP(-LN(2)/25)*BQ91+(1-EXP(-LN(2)/25))/(LN(2)/25)*Calculateur!BL92*Calculateur!BN92*VLOOKUP('Données projet'!$B$11,Paramètres!$A$1:$I$89,3,0)*0.475*44/12</f>
        <v>0.82656178962566962</v>
      </c>
      <c r="BR92" s="23">
        <f>EXP(-LN(2)/2)*BR91+(1-EXP(-LN(2)/2))/(LN(2)/2)*BL92*BO92*VLOOKUP('Données projet'!$B$11,Paramètres!$A$1:$I$89,3,0)*0.475*44/12</f>
        <v>3.8974878557283267E-9</v>
      </c>
      <c r="BS92" s="24">
        <f t="shared" si="63"/>
        <v>1.126619661107507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304</v>
      </c>
      <c r="BZ92" s="14">
        <f>BY92*VLOOKUP('Données projet'!$B$12,Paramètres!$A$1:$I$89,3,0)*VLOOKUP('Données projet'!$B$12,Paramètres!$A$1:$I$89,5,0)</f>
        <v>189.696</v>
      </c>
      <c r="CA92" s="14">
        <f t="shared" si="93"/>
        <v>47.472736505152469</v>
      </c>
      <c r="CB92" s="22">
        <f t="shared" si="64"/>
        <v>413.06888274647389</v>
      </c>
      <c r="CC92" s="62">
        <f t="shared" si="65"/>
        <v>706.4022160798072</v>
      </c>
      <c r="CD92" s="62">
        <f ca="1">AVERAGE(OFFSET($CC$3,0,0,'Données projet'!$E$12+1,1))-AVERAGE(OFFSET($H$3,0,0,'Données projet'!$E$12+1,1))</f>
        <v>179.44051550872138</v>
      </c>
      <c r="CE92" s="62">
        <f t="shared" si="94"/>
        <v>272.9500808380069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1.5516962839836126</v>
      </c>
      <c r="CL92" s="23">
        <f>EXP(-LN(2)/25)*CL91+(1-EXP(-LN(2)/25))/(LN(2)/25)*Calculateur!CG92*Calculateur!CI92*VLOOKUP('Données projet'!$B$12,Paramètres!$A$1:$I$89,3,0)*0.475*44/12</f>
        <v>3.9085239275140058</v>
      </c>
      <c r="CM92" s="23">
        <f>EXP(-LN(2)/2)*CM91+(1-EXP(-LN(2)/2))/(LN(2)/2)*CG92*CJ92*VLOOKUP('Données projet'!$B$12,Paramètres!$A$1:$I$89,3,0)*0.475*44/12</f>
        <v>2.7142259081559485E-8</v>
      </c>
      <c r="CN92" s="24">
        <f t="shared" si="66"/>
        <v>5.4602202386398773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277.99999999999994</v>
      </c>
      <c r="CU92" s="18">
        <f>CT92*VLOOKUP('Données projet'!$B$13,Paramètres!$A$1:$I$89,3,0)*VLOOKUP('Données projet'!$B$13,Paramètres!$A$1:$I$89,5,0)</f>
        <v>151.78799999999998</v>
      </c>
      <c r="CV92" s="14">
        <f t="shared" si="95"/>
        <v>38.984634390835623</v>
      </c>
      <c r="CW92" s="22">
        <f t="shared" si="67"/>
        <v>332.26233823070532</v>
      </c>
      <c r="CX92" s="62">
        <f t="shared" si="68"/>
        <v>625.59567156403864</v>
      </c>
      <c r="CY92" s="62">
        <f ca="1">AVERAGE(OFFSET($CX$3,0,0,'Données projet'!$E$13+1,1))-AVERAGE(OFFSET($H$3,0,0,'Données projet'!$E$13+1,1))</f>
        <v>159.92263609041913</v>
      </c>
      <c r="CZ92" s="62">
        <f t="shared" si="96"/>
        <v>271.78119133009307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2.0342982119240154</v>
      </c>
      <c r="DG92" s="23">
        <f>EXP(-LN(2)/25)*DG91+(1-EXP(-LN(2)/25))/(LN(2)/25)*Calculateur!DB92*Calculateur!DD92*VLOOKUP('Données projet'!$B$13,Paramètres!$A$1:$I$89,3,0)*0.475*44/12</f>
        <v>5.6999953771629146</v>
      </c>
      <c r="DH92" s="23">
        <f>EXP(-LN(2)/2)*DH91+(1-EXP(-LN(2)/2))/(LN(2)/2)*DB92*DE92*VLOOKUP('Données projet'!$B$13,Paramètres!$A$1:$I$89,3,0)*0.475*44/12</f>
        <v>3.6133911954471181E-8</v>
      </c>
      <c r="DI92" s="24">
        <f t="shared" si="69"/>
        <v>7.7342936252208414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-1.1368683772161603E-13</v>
      </c>
      <c r="DP92" s="18">
        <f>DO92*VLOOKUP('Données projet'!$B$14,Paramètres!$A$1:$I$89,3,0)*VLOOKUP('Données projet'!$B$14,Paramètres!$A$1:$I$89,5,0)</f>
        <v>-5.4683368944097308E-14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122.60806128440754</v>
      </c>
      <c r="DU92" s="62">
        <f t="shared" si="98"/>
        <v>73.937252053142004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0</v>
      </c>
      <c r="EP92" s="62">
        <f t="shared" si="100"/>
        <v>0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382.55387448074327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0.67118955977129591</v>
      </c>
      <c r="AA93" s="23">
        <f>EXP(-LN(2)/25)*AA92+(1-EXP(-LN(2)/25))/(LN(2)/25)*Calculateur!V93*Calculateur!X93*VLOOKUP('Données projet'!$B$9,Paramètres!$A$1:$I$89,3,0)*0.475*44/12</f>
        <v>2.0243673408244494</v>
      </c>
      <c r="AB93" s="23">
        <f>EXP(-LN(2)/2)*AB92+(1-EXP(-LN(2)/2))/(LN(2)/2)*V93*Y93*VLOOKUP('Données projet'!$B$9,Paramètres!$A$1:$I$89,3,0)*0.475*44/12</f>
        <v>2.0979344121401112E-8</v>
      </c>
      <c r="AC93" s="24">
        <f t="shared" si="57"/>
        <v>2.6955569215750894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269.64423257646359</v>
      </c>
      <c r="AO93" s="62">
        <f t="shared" si="90"/>
        <v>161.0819079811821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8.5265128291212022E-14</v>
      </c>
      <c r="BE93" s="14">
        <f>BD93*VLOOKUP('Données projet'!$B$11,Paramètres!$A$1:$I$89,3,0)*VLOOKUP('Données projet'!$B$11,Paramètres!$A$1:$I$89,5,0)</f>
        <v>3.990408004028723E-14</v>
      </c>
      <c r="BF93" s="14">
        <f t="shared" si="91"/>
        <v>6.6713074187844705E-13</v>
      </c>
      <c r="BG93" s="22">
        <f t="shared" si="61"/>
        <v>1.2314189815084623E-12</v>
      </c>
      <c r="BH93" s="62">
        <f t="shared" si="62"/>
        <v>293.33333333333456</v>
      </c>
      <c r="BI93" s="62">
        <f ca="1">AVERAGE(OFFSET($BH$3,0,0,'Données projet'!$E$11+1,1))-AVERAGE(OFFSET($H$3,0,0,'Données projet'!$E$11+1,1))</f>
        <v>90.797383835887558</v>
      </c>
      <c r="BJ93" s="62">
        <f t="shared" si="92"/>
        <v>104.31413437636684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0.29417391581824814</v>
      </c>
      <c r="BQ93" s="23">
        <f>EXP(-LN(2)/25)*BQ92+(1-EXP(-LN(2)/25))/(LN(2)/25)*Calculateur!BL93*Calculateur!BN93*VLOOKUP('Données projet'!$B$11,Paramètres!$A$1:$I$89,3,0)*0.475*44/12</f>
        <v>0.80395941402136029</v>
      </c>
      <c r="BR93" s="23">
        <f>EXP(-LN(2)/2)*BR92+(1-EXP(-LN(2)/2))/(LN(2)/2)*BL93*BO93*VLOOKUP('Données projet'!$B$11,Paramètres!$A$1:$I$89,3,0)*0.475*44/12</f>
        <v>2.7559400923777163E-9</v>
      </c>
      <c r="BS93" s="24">
        <f t="shared" si="63"/>
        <v>1.0981333325955485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304</v>
      </c>
      <c r="BZ93" s="14">
        <f>BY93*VLOOKUP('Données projet'!$B$12,Paramètres!$A$1:$I$89,3,0)*VLOOKUP('Données projet'!$B$12,Paramètres!$A$1:$I$89,5,0)</f>
        <v>189.696</v>
      </c>
      <c r="CA93" s="14">
        <f t="shared" si="93"/>
        <v>47.472736505152469</v>
      </c>
      <c r="CB93" s="22">
        <f t="shared" si="64"/>
        <v>413.06888274647389</v>
      </c>
      <c r="CC93" s="62">
        <f t="shared" si="65"/>
        <v>706.4022160798072</v>
      </c>
      <c r="CD93" s="62">
        <f ca="1">AVERAGE(OFFSET($CC$3,0,0,'Données projet'!$E$12+1,1))-AVERAGE(OFFSET($H$3,0,0,'Données projet'!$E$12+1,1))</f>
        <v>179.44051550872138</v>
      </c>
      <c r="CE93" s="62">
        <f t="shared" si="94"/>
        <v>272.9500808380069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1.5212684662959739</v>
      </c>
      <c r="CL93" s="23">
        <f>EXP(-LN(2)/25)*CL92+(1-EXP(-LN(2)/25))/(LN(2)/25)*Calculateur!CG93*Calculateur!CI93*VLOOKUP('Données projet'!$B$12,Paramètres!$A$1:$I$89,3,0)*0.475*44/12</f>
        <v>3.8016451351757952</v>
      </c>
      <c r="CM93" s="23">
        <f>EXP(-LN(2)/2)*CM92+(1-EXP(-LN(2)/2))/(LN(2)/2)*CG93*CJ93*VLOOKUP('Données projet'!$B$12,Paramètres!$A$1:$I$89,3,0)*0.475*44/12</f>
        <v>1.9192475453292865E-8</v>
      </c>
      <c r="CN93" s="24">
        <f t="shared" si="66"/>
        <v>5.3229136206642442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277.99999999999994</v>
      </c>
      <c r="CU93" s="18">
        <f>CT93*VLOOKUP('Données projet'!$B$13,Paramètres!$A$1:$I$89,3,0)*VLOOKUP('Données projet'!$B$13,Paramètres!$A$1:$I$89,5,0)</f>
        <v>151.78799999999998</v>
      </c>
      <c r="CV93" s="14">
        <f t="shared" si="95"/>
        <v>38.984634390835623</v>
      </c>
      <c r="CW93" s="22">
        <f t="shared" si="67"/>
        <v>332.26233823070532</v>
      </c>
      <c r="CX93" s="62">
        <f t="shared" si="68"/>
        <v>625.59567156403864</v>
      </c>
      <c r="CY93" s="62">
        <f ca="1">AVERAGE(OFFSET($CX$3,0,0,'Données projet'!$E$13+1,1))-AVERAGE(OFFSET($H$3,0,0,'Données projet'!$E$13+1,1))</f>
        <v>159.92263609041913</v>
      </c>
      <c r="CZ93" s="62">
        <f t="shared" si="96"/>
        <v>271.78119133009307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1.9944068647875759</v>
      </c>
      <c r="DG93" s="23">
        <f>EXP(-LN(2)/25)*DG92+(1-EXP(-LN(2)/25))/(LN(2)/25)*Calculateur!DB93*Calculateur!DD93*VLOOKUP('Données projet'!$B$13,Paramètres!$A$1:$I$89,3,0)*0.475*44/12</f>
        <v>5.5441287038246649</v>
      </c>
      <c r="DH93" s="23">
        <f>EXP(-LN(2)/2)*DH92+(1-EXP(-LN(2)/2))/(LN(2)/2)*DB93*DE93*VLOOKUP('Données projet'!$B$13,Paramètres!$A$1:$I$89,3,0)*0.475*44/12</f>
        <v>2.5550534173804228E-8</v>
      </c>
      <c r="DI93" s="24">
        <f t="shared" si="69"/>
        <v>7.5385355941627754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-1.1368683772161603E-13</v>
      </c>
      <c r="DP93" s="18">
        <f>DO93*VLOOKUP('Données projet'!$B$14,Paramètres!$A$1:$I$89,3,0)*VLOOKUP('Données projet'!$B$14,Paramètres!$A$1:$I$89,5,0)</f>
        <v>-5.4683368944097308E-14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122.60806128440754</v>
      </c>
      <c r="DU93" s="62">
        <f t="shared" si="98"/>
        <v>73.937252053142004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0</v>
      </c>
      <c r="EP93" s="62">
        <f t="shared" si="100"/>
        <v>0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382.55387448074327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0.65802794188938885</v>
      </c>
      <c r="AA94" s="23">
        <f>EXP(-LN(2)/25)*AA93+(1-EXP(-LN(2)/25))/(LN(2)/25)*Calculateur!V94*Calculateur!X94*VLOOKUP('Données projet'!$B$9,Paramètres!$A$1:$I$89,3,0)*0.475*44/12</f>
        <v>1.969010909432753</v>
      </c>
      <c r="AB94" s="23">
        <f>EXP(-LN(2)/2)*AB93+(1-EXP(-LN(2)/2))/(LN(2)/2)*V94*Y94*VLOOKUP('Données projet'!$B$9,Paramètres!$A$1:$I$89,3,0)*0.475*44/12</f>
        <v>1.483463649308886E-8</v>
      </c>
      <c r="AC94" s="24">
        <f t="shared" si="57"/>
        <v>2.6270388661567785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269.64423257646359</v>
      </c>
      <c r="AO94" s="62">
        <f t="shared" si="90"/>
        <v>161.0819079811821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8.5265128291212022E-14</v>
      </c>
      <c r="BE94" s="14">
        <f>BD94*VLOOKUP('Données projet'!$B$11,Paramètres!$A$1:$I$89,3,0)*VLOOKUP('Données projet'!$B$11,Paramètres!$A$1:$I$89,5,0)</f>
        <v>3.990408004028723E-14</v>
      </c>
      <c r="BF94" s="14">
        <f t="shared" si="91"/>
        <v>6.6713074187844705E-13</v>
      </c>
      <c r="BG94" s="22">
        <f t="shared" si="61"/>
        <v>1.2314189815084623E-12</v>
      </c>
      <c r="BH94" s="62">
        <f t="shared" si="62"/>
        <v>293.33333333333456</v>
      </c>
      <c r="BI94" s="62">
        <f ca="1">AVERAGE(OFFSET($BH$3,0,0,'Données projet'!$E$11+1,1))-AVERAGE(OFFSET($H$3,0,0,'Données projet'!$E$11+1,1))</f>
        <v>90.797383835887558</v>
      </c>
      <c r="BJ94" s="62">
        <f t="shared" si="92"/>
        <v>104.31413437636684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0.28840534475742385</v>
      </c>
      <c r="BQ94" s="23">
        <f>EXP(-LN(2)/25)*BQ93+(1-EXP(-LN(2)/25))/(LN(2)/25)*Calculateur!BL94*Calculateur!BN94*VLOOKUP('Données projet'!$B$11,Paramètres!$A$1:$I$89,3,0)*0.475*44/12</f>
        <v>0.78197510156655803</v>
      </c>
      <c r="BR94" s="23">
        <f>EXP(-LN(2)/2)*BR93+(1-EXP(-LN(2)/2))/(LN(2)/2)*BL94*BO94*VLOOKUP('Données projet'!$B$11,Paramètres!$A$1:$I$89,3,0)*0.475*44/12</f>
        <v>1.9487439278641634E-9</v>
      </c>
      <c r="BS94" s="24">
        <f t="shared" si="63"/>
        <v>1.0703804482727257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304</v>
      </c>
      <c r="BZ94" s="14">
        <f>BY94*VLOOKUP('Données projet'!$B$12,Paramètres!$A$1:$I$89,3,0)*VLOOKUP('Données projet'!$B$12,Paramètres!$A$1:$I$89,5,0)</f>
        <v>189.696</v>
      </c>
      <c r="CA94" s="14">
        <f t="shared" si="93"/>
        <v>47.472736505152469</v>
      </c>
      <c r="CB94" s="22">
        <f t="shared" si="64"/>
        <v>413.06888274647389</v>
      </c>
      <c r="CC94" s="62">
        <f t="shared" si="65"/>
        <v>706.4022160798072</v>
      </c>
      <c r="CD94" s="62">
        <f ca="1">AVERAGE(OFFSET($CC$3,0,0,'Données projet'!$E$12+1,1))-AVERAGE(OFFSET($H$3,0,0,'Données projet'!$E$12+1,1))</f>
        <v>179.44051550872138</v>
      </c>
      <c r="CE94" s="62">
        <f t="shared" si="94"/>
        <v>272.9500808380069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1.4914373195540536</v>
      </c>
      <c r="CL94" s="23">
        <f>EXP(-LN(2)/25)*CL93+(1-EXP(-LN(2)/25))/(LN(2)/25)*Calculateur!CG94*Calculateur!CI94*VLOOKUP('Données projet'!$B$12,Paramètres!$A$1:$I$89,3,0)*0.475*44/12</f>
        <v>3.6976889490345841</v>
      </c>
      <c r="CM94" s="23">
        <f>EXP(-LN(2)/2)*CM93+(1-EXP(-LN(2)/2))/(LN(2)/2)*CG94*CJ94*VLOOKUP('Données projet'!$B$12,Paramètres!$A$1:$I$89,3,0)*0.475*44/12</f>
        <v>1.3571129540779742E-8</v>
      </c>
      <c r="CN94" s="24">
        <f t="shared" si="66"/>
        <v>5.1891262821597666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277.99999999999994</v>
      </c>
      <c r="CU94" s="18">
        <f>CT94*VLOOKUP('Données projet'!$B$13,Paramètres!$A$1:$I$89,3,0)*VLOOKUP('Données projet'!$B$13,Paramètres!$A$1:$I$89,5,0)</f>
        <v>151.78799999999998</v>
      </c>
      <c r="CV94" s="14">
        <f t="shared" si="95"/>
        <v>38.984634390835623</v>
      </c>
      <c r="CW94" s="22">
        <f t="shared" si="67"/>
        <v>332.26233823070532</v>
      </c>
      <c r="CX94" s="62">
        <f t="shared" si="68"/>
        <v>625.59567156403864</v>
      </c>
      <c r="CY94" s="62">
        <f ca="1">AVERAGE(OFFSET($CX$3,0,0,'Données projet'!$E$13+1,1))-AVERAGE(OFFSET($H$3,0,0,'Données projet'!$E$13+1,1))</f>
        <v>159.92263609041913</v>
      </c>
      <c r="CZ94" s="62">
        <f t="shared" si="96"/>
        <v>271.78119133009307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1.9552977626371628</v>
      </c>
      <c r="DG94" s="23">
        <f>EXP(-LN(2)/25)*DG93+(1-EXP(-LN(2)/25))/(LN(2)/25)*Calculateur!DB94*Calculateur!DD94*VLOOKUP('Données projet'!$B$13,Paramètres!$A$1:$I$89,3,0)*0.475*44/12</f>
        <v>5.3925242128655224</v>
      </c>
      <c r="DH94" s="23">
        <f>EXP(-LN(2)/2)*DH93+(1-EXP(-LN(2)/2))/(LN(2)/2)*DB94*DE94*VLOOKUP('Données projet'!$B$13,Paramètres!$A$1:$I$89,3,0)*0.475*44/12</f>
        <v>1.8066955977235591E-8</v>
      </c>
      <c r="DI94" s="24">
        <f t="shared" si="69"/>
        <v>7.3478219935696414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-1.1368683772161603E-13</v>
      </c>
      <c r="DP94" s="18">
        <f>DO94*VLOOKUP('Données projet'!$B$14,Paramètres!$A$1:$I$89,3,0)*VLOOKUP('Données projet'!$B$14,Paramètres!$A$1:$I$89,5,0)</f>
        <v>-5.4683368944097308E-14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122.60806128440754</v>
      </c>
      <c r="DU94" s="62">
        <f t="shared" si="98"/>
        <v>73.937252053142004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0</v>
      </c>
      <c r="EP94" s="62">
        <f t="shared" si="100"/>
        <v>0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382.55387448074327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0.64512441530635178</v>
      </c>
      <c r="AA95" s="23">
        <f>EXP(-LN(2)/25)*AA94+(1-EXP(-LN(2)/25))/(LN(2)/25)*Calculateur!V95*Calculateur!X95*VLOOKUP('Données projet'!$B$9,Paramètres!$A$1:$I$89,3,0)*0.475*44/12</f>
        <v>1.9151682025685308</v>
      </c>
      <c r="AB95" s="23">
        <f>EXP(-LN(2)/2)*AB94+(1-EXP(-LN(2)/2))/(LN(2)/2)*V95*Y95*VLOOKUP('Données projet'!$B$9,Paramètres!$A$1:$I$89,3,0)*0.475*44/12</f>
        <v>1.0489672060700558E-8</v>
      </c>
      <c r="AC95" s="24">
        <f t="shared" si="57"/>
        <v>2.5602926283645546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269.64423257646359</v>
      </c>
      <c r="AO95" s="62">
        <f t="shared" si="90"/>
        <v>161.0819079811821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8.5265128291212022E-14</v>
      </c>
      <c r="BE95" s="14">
        <f>BD95*VLOOKUP('Données projet'!$B$11,Paramètres!$A$1:$I$89,3,0)*VLOOKUP('Données projet'!$B$11,Paramètres!$A$1:$I$89,5,0)</f>
        <v>3.990408004028723E-14</v>
      </c>
      <c r="BF95" s="14">
        <f t="shared" si="91"/>
        <v>6.6713074187844705E-13</v>
      </c>
      <c r="BG95" s="22">
        <f t="shared" si="61"/>
        <v>1.2314189815084623E-12</v>
      </c>
      <c r="BH95" s="62">
        <f t="shared" si="62"/>
        <v>293.33333333333456</v>
      </c>
      <c r="BI95" s="62">
        <f ca="1">AVERAGE(OFFSET($BH$3,0,0,'Données projet'!$E$11+1,1))-AVERAGE(OFFSET($H$3,0,0,'Données projet'!$E$11+1,1))</f>
        <v>90.797383835887558</v>
      </c>
      <c r="BJ95" s="62">
        <f t="shared" si="92"/>
        <v>104.31413437636684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0.28274989185662142</v>
      </c>
      <c r="BQ95" s="23">
        <f>EXP(-LN(2)/25)*BQ94+(1-EXP(-LN(2)/25))/(LN(2)/25)*Calculateur!BL95*Calculateur!BN95*VLOOKUP('Données projet'!$B$11,Paramètres!$A$1:$I$89,3,0)*0.475*44/12</f>
        <v>0.76059195129193713</v>
      </c>
      <c r="BR95" s="23">
        <f>EXP(-LN(2)/2)*BR94+(1-EXP(-LN(2)/2))/(LN(2)/2)*BL95*BO95*VLOOKUP('Données projet'!$B$11,Paramètres!$A$1:$I$89,3,0)*0.475*44/12</f>
        <v>1.3779700461888581E-9</v>
      </c>
      <c r="BS95" s="24">
        <f t="shared" si="63"/>
        <v>1.0433418445265286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304</v>
      </c>
      <c r="BZ95" s="14">
        <f>BY95*VLOOKUP('Données projet'!$B$12,Paramètres!$A$1:$I$89,3,0)*VLOOKUP('Données projet'!$B$12,Paramètres!$A$1:$I$89,5,0)</f>
        <v>189.696</v>
      </c>
      <c r="CA95" s="14">
        <f t="shared" si="93"/>
        <v>47.472736505152469</v>
      </c>
      <c r="CB95" s="22">
        <f t="shared" si="64"/>
        <v>413.06888274647389</v>
      </c>
      <c r="CC95" s="62">
        <f t="shared" si="65"/>
        <v>706.4022160798072</v>
      </c>
      <c r="CD95" s="62">
        <f ca="1">AVERAGE(OFFSET($CC$3,0,0,'Données projet'!$E$12+1,1))-AVERAGE(OFFSET($H$3,0,0,'Données projet'!$E$12+1,1))</f>
        <v>179.44051550872138</v>
      </c>
      <c r="CE95" s="62">
        <f t="shared" si="94"/>
        <v>272.9500808380069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1.4621911434045394</v>
      </c>
      <c r="CL95" s="23">
        <f>EXP(-LN(2)/25)*CL94+(1-EXP(-LN(2)/25))/(LN(2)/25)*Calculateur!CG95*Calculateur!CI95*VLOOKUP('Données projet'!$B$12,Paramètres!$A$1:$I$89,3,0)*0.475*44/12</f>
        <v>3.596575450270223</v>
      </c>
      <c r="CM95" s="23">
        <f>EXP(-LN(2)/2)*CM94+(1-EXP(-LN(2)/2))/(LN(2)/2)*CG95*CJ95*VLOOKUP('Données projet'!$B$12,Paramètres!$A$1:$I$89,3,0)*0.475*44/12</f>
        <v>9.5962377266464323E-9</v>
      </c>
      <c r="CN95" s="24">
        <f t="shared" si="66"/>
        <v>5.0587666032709997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277.99999999999994</v>
      </c>
      <c r="CU95" s="18">
        <f>CT95*VLOOKUP('Données projet'!$B$13,Paramètres!$A$1:$I$89,3,0)*VLOOKUP('Données projet'!$B$13,Paramètres!$A$1:$I$89,5,0)</f>
        <v>151.78799999999998</v>
      </c>
      <c r="CV95" s="14">
        <f t="shared" si="95"/>
        <v>38.984634390835623</v>
      </c>
      <c r="CW95" s="22">
        <f t="shared" si="67"/>
        <v>332.26233823070532</v>
      </c>
      <c r="CX95" s="62">
        <f t="shared" si="68"/>
        <v>625.59567156403864</v>
      </c>
      <c r="CY95" s="62">
        <f ca="1">AVERAGE(OFFSET($CX$3,0,0,'Données projet'!$E$13+1,1))-AVERAGE(OFFSET($H$3,0,0,'Données projet'!$E$13+1,1))</f>
        <v>159.92263609041913</v>
      </c>
      <c r="CZ95" s="62">
        <f t="shared" si="96"/>
        <v>271.78119133009307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1.9169555661257225</v>
      </c>
      <c r="DG95" s="23">
        <f>EXP(-LN(2)/25)*DG94+(1-EXP(-LN(2)/25))/(LN(2)/25)*Calculateur!DB95*Calculateur!DD95*VLOOKUP('Données projet'!$B$13,Paramètres!$A$1:$I$89,3,0)*0.475*44/12</f>
        <v>5.2450653546841908</v>
      </c>
      <c r="DH95" s="23">
        <f>EXP(-LN(2)/2)*DH94+(1-EXP(-LN(2)/2))/(LN(2)/2)*DB95*DE95*VLOOKUP('Données projet'!$B$13,Paramètres!$A$1:$I$89,3,0)*0.475*44/12</f>
        <v>1.2775267086902114E-8</v>
      </c>
      <c r="DI95" s="24">
        <f t="shared" si="69"/>
        <v>7.1620209335851808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-1.1368683772161603E-13</v>
      </c>
      <c r="DP95" s="18">
        <f>DO95*VLOOKUP('Données projet'!$B$14,Paramètres!$A$1:$I$89,3,0)*VLOOKUP('Données projet'!$B$14,Paramètres!$A$1:$I$89,5,0)</f>
        <v>-5.4683368944097308E-14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122.60806128440754</v>
      </c>
      <c r="DU95" s="62">
        <f t="shared" si="98"/>
        <v>73.937252053142004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0</v>
      </c>
      <c r="EP95" s="62">
        <f t="shared" si="100"/>
        <v>0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382.55387448074327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0.632473919009234</v>
      </c>
      <c r="AA96" s="23">
        <f>EXP(-LN(2)/25)*AA95+(1-EXP(-LN(2)/25))/(LN(2)/25)*Calculateur!V96*Calculateur!X96*VLOOKUP('Données projet'!$B$9,Paramètres!$A$1:$I$89,3,0)*0.475*44/12</f>
        <v>1.8627978273549757</v>
      </c>
      <c r="AB96" s="23">
        <f>EXP(-LN(2)/2)*AB95+(1-EXP(-LN(2)/2))/(LN(2)/2)*V96*Y96*VLOOKUP('Données projet'!$B$9,Paramètres!$A$1:$I$89,3,0)*0.475*44/12</f>
        <v>7.4173182465444307E-9</v>
      </c>
      <c r="AC96" s="24">
        <f t="shared" si="57"/>
        <v>2.4952717537815281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269.64423257646359</v>
      </c>
      <c r="AO96" s="62">
        <f t="shared" si="90"/>
        <v>161.0819079811821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8.5265128291212022E-14</v>
      </c>
      <c r="BE96" s="14">
        <f>BD96*VLOOKUP('Données projet'!$B$11,Paramètres!$A$1:$I$89,3,0)*VLOOKUP('Données projet'!$B$11,Paramètres!$A$1:$I$89,5,0)</f>
        <v>3.990408004028723E-14</v>
      </c>
      <c r="BF96" s="14">
        <f t="shared" si="91"/>
        <v>6.6713074187844705E-13</v>
      </c>
      <c r="BG96" s="22">
        <f t="shared" si="61"/>
        <v>1.2314189815084623E-12</v>
      </c>
      <c r="BH96" s="62">
        <f t="shared" si="62"/>
        <v>293.33333333333456</v>
      </c>
      <c r="BI96" s="62">
        <f ca="1">AVERAGE(OFFSET($BH$3,0,0,'Données projet'!$E$11+1,1))-AVERAGE(OFFSET($H$3,0,0,'Données projet'!$E$11+1,1))</f>
        <v>90.797383835887558</v>
      </c>
      <c r="BJ96" s="62">
        <f t="shared" si="92"/>
        <v>104.31413437636684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0.27720533893771804</v>
      </c>
      <c r="BQ96" s="23">
        <f>EXP(-LN(2)/25)*BQ95+(1-EXP(-LN(2)/25))/(LN(2)/25)*Calculateur!BL96*Calculateur!BN96*VLOOKUP('Données projet'!$B$11,Paramètres!$A$1:$I$89,3,0)*0.475*44/12</f>
        <v>0.73979352438606671</v>
      </c>
      <c r="BR96" s="23">
        <f>EXP(-LN(2)/2)*BR95+(1-EXP(-LN(2)/2))/(LN(2)/2)*BL96*BO96*VLOOKUP('Données projet'!$B$11,Paramètres!$A$1:$I$89,3,0)*0.475*44/12</f>
        <v>9.7437196393208169E-10</v>
      </c>
      <c r="BS96" s="24">
        <f t="shared" si="63"/>
        <v>1.0169988642981567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304</v>
      </c>
      <c r="BZ96" s="14">
        <f>BY96*VLOOKUP('Données projet'!$B$12,Paramètres!$A$1:$I$89,3,0)*VLOOKUP('Données projet'!$B$12,Paramètres!$A$1:$I$89,5,0)</f>
        <v>189.696</v>
      </c>
      <c r="CA96" s="14">
        <f t="shared" si="93"/>
        <v>47.472736505152469</v>
      </c>
      <c r="CB96" s="22">
        <f t="shared" si="64"/>
        <v>413.06888274647389</v>
      </c>
      <c r="CC96" s="62">
        <f t="shared" si="65"/>
        <v>706.4022160798072</v>
      </c>
      <c r="CD96" s="62">
        <f ca="1">AVERAGE(OFFSET($CC$3,0,0,'Données projet'!$E$12+1,1))-AVERAGE(OFFSET($H$3,0,0,'Données projet'!$E$12+1,1))</f>
        <v>179.44051550872138</v>
      </c>
      <c r="CE96" s="62">
        <f t="shared" si="94"/>
        <v>272.9500808380069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1.4335184669309111</v>
      </c>
      <c r="CL96" s="23">
        <f>EXP(-LN(2)/25)*CL95+(1-EXP(-LN(2)/25))/(LN(2)/25)*Calculateur!CG96*Calculateur!CI96*VLOOKUP('Données projet'!$B$12,Paramètres!$A$1:$I$89,3,0)*0.475*44/12</f>
        <v>3.4982269054469008</v>
      </c>
      <c r="CM96" s="23">
        <f>EXP(-LN(2)/2)*CM95+(1-EXP(-LN(2)/2))/(LN(2)/2)*CG96*CJ96*VLOOKUP('Données projet'!$B$12,Paramètres!$A$1:$I$89,3,0)*0.475*44/12</f>
        <v>6.7855647703898711E-9</v>
      </c>
      <c r="CN96" s="24">
        <f t="shared" si="66"/>
        <v>4.9317453791633765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277.99999999999994</v>
      </c>
      <c r="CU96" s="18">
        <f>CT96*VLOOKUP('Données projet'!$B$13,Paramètres!$A$1:$I$89,3,0)*VLOOKUP('Données projet'!$B$13,Paramètres!$A$1:$I$89,5,0)</f>
        <v>151.78799999999998</v>
      </c>
      <c r="CV96" s="14">
        <f t="shared" si="95"/>
        <v>38.984634390835623</v>
      </c>
      <c r="CW96" s="22">
        <f t="shared" si="67"/>
        <v>332.26233823070532</v>
      </c>
      <c r="CX96" s="62">
        <f t="shared" si="68"/>
        <v>625.59567156403864</v>
      </c>
      <c r="CY96" s="62">
        <f ca="1">AVERAGE(OFFSET($CX$3,0,0,'Données projet'!$E$13+1,1))-AVERAGE(OFFSET($H$3,0,0,'Données projet'!$E$13+1,1))</f>
        <v>159.92263609041913</v>
      </c>
      <c r="CZ96" s="62">
        <f t="shared" si="96"/>
        <v>271.78119133009307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1.8793652367014408</v>
      </c>
      <c r="DG96" s="23">
        <f>EXP(-LN(2)/25)*DG95+(1-EXP(-LN(2)/25))/(LN(2)/25)*Calculateur!DB96*Calculateur!DD96*VLOOKUP('Données projet'!$B$13,Paramètres!$A$1:$I$89,3,0)*0.475*44/12</f>
        <v>5.1016387667343519</v>
      </c>
      <c r="DH96" s="23">
        <f>EXP(-LN(2)/2)*DH95+(1-EXP(-LN(2)/2))/(LN(2)/2)*DB96*DE96*VLOOKUP('Données projet'!$B$13,Paramètres!$A$1:$I$89,3,0)*0.475*44/12</f>
        <v>9.0334779886177953E-9</v>
      </c>
      <c r="DI96" s="24">
        <f t="shared" si="69"/>
        <v>6.9810040124692705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-1.1368683772161603E-13</v>
      </c>
      <c r="DP96" s="18">
        <f>DO96*VLOOKUP('Données projet'!$B$14,Paramètres!$A$1:$I$89,3,0)*VLOOKUP('Données projet'!$B$14,Paramètres!$A$1:$I$89,5,0)</f>
        <v>-5.4683368944097308E-14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122.60806128440754</v>
      </c>
      <c r="DU96" s="62">
        <f t="shared" si="98"/>
        <v>73.937252053142004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0</v>
      </c>
      <c r="EP96" s="62">
        <f t="shared" si="100"/>
        <v>0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382.55387448074327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0.62007149122846184</v>
      </c>
      <c r="AA97" s="23">
        <f>EXP(-LN(2)/25)*AA96+(1-EXP(-LN(2)/25))/(LN(2)/25)*Calculateur!V97*Calculateur!X97*VLOOKUP('Données projet'!$B$9,Paramètres!$A$1:$I$89,3,0)*0.475*44/12</f>
        <v>1.8118595228056735</v>
      </c>
      <c r="AB97" s="23">
        <f>EXP(-LN(2)/2)*AB96+(1-EXP(-LN(2)/2))/(LN(2)/2)*V97*Y97*VLOOKUP('Données projet'!$B$9,Paramètres!$A$1:$I$89,3,0)*0.475*44/12</f>
        <v>5.2448360303502797E-9</v>
      </c>
      <c r="AC97" s="24">
        <f t="shared" si="57"/>
        <v>2.4319310192789714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269.64423257646359</v>
      </c>
      <c r="AO97" s="62">
        <f t="shared" si="90"/>
        <v>161.0819079811821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8.5265128291212022E-14</v>
      </c>
      <c r="BE97" s="14">
        <f>BD97*VLOOKUP('Données projet'!$B$11,Paramètres!$A$1:$I$89,3,0)*VLOOKUP('Données projet'!$B$11,Paramètres!$A$1:$I$89,5,0)</f>
        <v>3.990408004028723E-14</v>
      </c>
      <c r="BF97" s="14">
        <f t="shared" si="91"/>
        <v>6.6713074187844705E-13</v>
      </c>
      <c r="BG97" s="22">
        <f t="shared" si="61"/>
        <v>1.2314189815084623E-12</v>
      </c>
      <c r="BH97" s="62">
        <f t="shared" si="62"/>
        <v>293.33333333333456</v>
      </c>
      <c r="BI97" s="62">
        <f ca="1">AVERAGE(OFFSET($BH$3,0,0,'Données projet'!$E$11+1,1))-AVERAGE(OFFSET($H$3,0,0,'Données projet'!$E$11+1,1))</f>
        <v>90.797383835887558</v>
      </c>
      <c r="BJ97" s="62">
        <f t="shared" si="92"/>
        <v>104.31413437636684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0.271769511319711</v>
      </c>
      <c r="BQ97" s="23">
        <f>EXP(-LN(2)/25)*BQ96+(1-EXP(-LN(2)/25))/(LN(2)/25)*Calculateur!BL97*Calculateur!BN97*VLOOKUP('Données projet'!$B$11,Paramètres!$A$1:$I$89,3,0)*0.475*44/12</f>
        <v>0.71956383155767911</v>
      </c>
      <c r="BR97" s="23">
        <f>EXP(-LN(2)/2)*BR96+(1-EXP(-LN(2)/2))/(LN(2)/2)*BL97*BO97*VLOOKUP('Données projet'!$B$11,Paramètres!$A$1:$I$89,3,0)*0.475*44/12</f>
        <v>6.8898502309442907E-10</v>
      </c>
      <c r="BS97" s="24">
        <f t="shared" si="63"/>
        <v>0.99133334356637504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304</v>
      </c>
      <c r="BZ97" s="14">
        <f>BY97*VLOOKUP('Données projet'!$B$12,Paramètres!$A$1:$I$89,3,0)*VLOOKUP('Données projet'!$B$12,Paramètres!$A$1:$I$89,5,0)</f>
        <v>189.696</v>
      </c>
      <c r="CA97" s="14">
        <f t="shared" si="93"/>
        <v>47.472736505152469</v>
      </c>
      <c r="CB97" s="22">
        <f t="shared" si="64"/>
        <v>413.06888274647389</v>
      </c>
      <c r="CC97" s="62">
        <f t="shared" si="65"/>
        <v>706.4022160798072</v>
      </c>
      <c r="CD97" s="62">
        <f ca="1">AVERAGE(OFFSET($CC$3,0,0,'Données projet'!$E$12+1,1))-AVERAGE(OFFSET($H$3,0,0,'Données projet'!$E$12+1,1))</f>
        <v>179.44051550872138</v>
      </c>
      <c r="CE97" s="62">
        <f t="shared" si="94"/>
        <v>272.9500808380069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1.4054080441543249</v>
      </c>
      <c r="CL97" s="23">
        <f>EXP(-LN(2)/25)*CL96+(1-EXP(-LN(2)/25))/(LN(2)/25)*Calculateur!CG97*Calculateur!CI97*VLOOKUP('Données projet'!$B$12,Paramètres!$A$1:$I$89,3,0)*0.475*44/12</f>
        <v>3.4025677067536977</v>
      </c>
      <c r="CM97" s="23">
        <f>EXP(-LN(2)/2)*CM96+(1-EXP(-LN(2)/2))/(LN(2)/2)*CG97*CJ97*VLOOKUP('Données projet'!$B$12,Paramètres!$A$1:$I$89,3,0)*0.475*44/12</f>
        <v>4.7981188633232162E-9</v>
      </c>
      <c r="CN97" s="24">
        <f t="shared" si="66"/>
        <v>4.807975755706142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277.99999999999994</v>
      </c>
      <c r="CU97" s="18">
        <f>CT97*VLOOKUP('Données projet'!$B$13,Paramètres!$A$1:$I$89,3,0)*VLOOKUP('Données projet'!$B$13,Paramètres!$A$1:$I$89,5,0)</f>
        <v>151.78799999999998</v>
      </c>
      <c r="CV97" s="14">
        <f t="shared" si="95"/>
        <v>38.984634390835623</v>
      </c>
      <c r="CW97" s="22">
        <f t="shared" si="67"/>
        <v>332.26233823070532</v>
      </c>
      <c r="CX97" s="62">
        <f t="shared" si="68"/>
        <v>625.59567156403864</v>
      </c>
      <c r="CY97" s="62">
        <f ca="1">AVERAGE(OFFSET($CX$3,0,0,'Données projet'!$E$13+1,1))-AVERAGE(OFFSET($H$3,0,0,'Données projet'!$E$13+1,1))</f>
        <v>159.92263609041913</v>
      </c>
      <c r="CZ97" s="62">
        <f t="shared" si="96"/>
        <v>271.78119133009307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1.8425120307093323</v>
      </c>
      <c r="DG97" s="23">
        <f>EXP(-LN(2)/25)*DG96+(1-EXP(-LN(2)/25))/(LN(2)/25)*Calculateur!DB97*Calculateur!DD97*VLOOKUP('Données projet'!$B$13,Paramètres!$A$1:$I$89,3,0)*0.475*44/12</f>
        <v>4.9621341863744783</v>
      </c>
      <c r="DH97" s="23">
        <f>EXP(-LN(2)/2)*DH96+(1-EXP(-LN(2)/2))/(LN(2)/2)*DB97*DE97*VLOOKUP('Données projet'!$B$13,Paramètres!$A$1:$I$89,3,0)*0.475*44/12</f>
        <v>6.3876335434510569E-9</v>
      </c>
      <c r="DI97" s="24">
        <f t="shared" si="69"/>
        <v>6.804646223471444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-1.1368683772161603E-13</v>
      </c>
      <c r="DP97" s="18">
        <f>DO97*VLOOKUP('Données projet'!$B$14,Paramètres!$A$1:$I$89,3,0)*VLOOKUP('Données projet'!$B$14,Paramètres!$A$1:$I$89,5,0)</f>
        <v>-5.4683368944097308E-14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122.60806128440754</v>
      </c>
      <c r="DU97" s="62">
        <f t="shared" si="98"/>
        <v>73.937252053142004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0</v>
      </c>
      <c r="EP97" s="62">
        <f t="shared" si="100"/>
        <v>0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382.55387448074327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0.60791226749173655</v>
      </c>
      <c r="AA98" s="23">
        <f>EXP(-LN(2)/25)*AA97+(1-EXP(-LN(2)/25))/(LN(2)/25)*Calculateur!V98*Calculateur!X98*VLOOKUP('Données projet'!$B$9,Paramètres!$A$1:$I$89,3,0)*0.475*44/12</f>
        <v>1.7623141288730011</v>
      </c>
      <c r="AB98" s="23">
        <f>EXP(-LN(2)/2)*AB97+(1-EXP(-LN(2)/2))/(LN(2)/2)*V98*Y98*VLOOKUP('Données projet'!$B$9,Paramètres!$A$1:$I$89,3,0)*0.475*44/12</f>
        <v>3.7086591232722162E-9</v>
      </c>
      <c r="AC98" s="24">
        <f t="shared" si="57"/>
        <v>2.3702264000733968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839.42797607406874</v>
      </c>
      <c r="AN98" s="62">
        <f ca="1">AVERAGE(OFFSET($AM$3,0,0,'Données projet'!$E$10+1,1))-AVERAGE(OFFSET($H$3,0,0,'Données projet'!$E$10+1,1))</f>
        <v>269.64423257646359</v>
      </c>
      <c r="AO98" s="62">
        <f t="shared" si="90"/>
        <v>161.0819079811821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8.5265128291212022E-14</v>
      </c>
      <c r="BE98" s="14">
        <f>BD98*VLOOKUP('Données projet'!$B$11,Paramètres!$A$1:$I$89,3,0)*VLOOKUP('Données projet'!$B$11,Paramètres!$A$1:$I$89,5,0)</f>
        <v>3.990408004028723E-14</v>
      </c>
      <c r="BF98" s="14">
        <f t="shared" si="91"/>
        <v>6.6713074187844705E-13</v>
      </c>
      <c r="BG98" s="22">
        <f t="shared" si="61"/>
        <v>1.2314189815084623E-12</v>
      </c>
      <c r="BH98" s="62">
        <f t="shared" si="62"/>
        <v>293.33333333333456</v>
      </c>
      <c r="BI98" s="62">
        <f ca="1">AVERAGE(OFFSET($BH$3,0,0,'Données projet'!$E$11+1,1))-AVERAGE(OFFSET($H$3,0,0,'Données projet'!$E$11+1,1))</f>
        <v>90.797383835887558</v>
      </c>
      <c r="BJ98" s="62">
        <f t="shared" si="92"/>
        <v>104.31413437636684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0.26644027696576561</v>
      </c>
      <c r="BQ98" s="23">
        <f>EXP(-LN(2)/25)*BQ97+(1-EXP(-LN(2)/25))/(LN(2)/25)*Calculateur!BL98*Calculateur!BN98*VLOOKUP('Données projet'!$B$11,Paramètres!$A$1:$I$89,3,0)*0.475*44/12</f>
        <v>0.69988732074351701</v>
      </c>
      <c r="BR98" s="23">
        <f>EXP(-LN(2)/2)*BR97+(1-EXP(-LN(2)/2))/(LN(2)/2)*BL98*BO98*VLOOKUP('Données projet'!$B$11,Paramètres!$A$1:$I$89,3,0)*0.475*44/12</f>
        <v>4.8718598196604084E-10</v>
      </c>
      <c r="BS98" s="24">
        <f t="shared" si="63"/>
        <v>0.96632759819646863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304</v>
      </c>
      <c r="BZ98" s="14">
        <f>BY98*VLOOKUP('Données projet'!$B$12,Paramètres!$A$1:$I$89,3,0)*VLOOKUP('Données projet'!$B$12,Paramètres!$A$1:$I$89,5,0)</f>
        <v>189.696</v>
      </c>
      <c r="CA98" s="14">
        <f t="shared" si="93"/>
        <v>47.472736505152469</v>
      </c>
      <c r="CB98" s="22">
        <f t="shared" si="64"/>
        <v>413.06888274647389</v>
      </c>
      <c r="CC98" s="62">
        <f t="shared" si="65"/>
        <v>706.4022160798072</v>
      </c>
      <c r="CD98" s="62">
        <f ca="1">AVERAGE(OFFSET($CC$3,0,0,'Données projet'!$E$12+1,1))-AVERAGE(OFFSET($H$3,0,0,'Données projet'!$E$12+1,1))</f>
        <v>179.44051550872138</v>
      </c>
      <c r="CE98" s="62">
        <f t="shared" si="94"/>
        <v>272.9500808380069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1.3778488496227226</v>
      </c>
      <c r="CL98" s="23">
        <f>EXP(-LN(2)/25)*CL97+(1-EXP(-LN(2)/25))/(LN(2)/25)*Calculateur!CG98*Calculateur!CI98*VLOOKUP('Données projet'!$B$12,Paramètres!$A$1:$I$89,3,0)*0.475*44/12</f>
        <v>3.3095243138792587</v>
      </c>
      <c r="CM98" s="23">
        <f>EXP(-LN(2)/2)*CM97+(1-EXP(-LN(2)/2))/(LN(2)/2)*CG98*CJ98*VLOOKUP('Données projet'!$B$12,Paramètres!$A$1:$I$89,3,0)*0.475*44/12</f>
        <v>3.3927823851949356E-9</v>
      </c>
      <c r="CN98" s="24">
        <f t="shared" si="66"/>
        <v>4.6873731668947629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277.99999999999994</v>
      </c>
      <c r="CU98" s="18">
        <f>CT98*VLOOKUP('Données projet'!$B$13,Paramètres!$A$1:$I$89,3,0)*VLOOKUP('Données projet'!$B$13,Paramètres!$A$1:$I$89,5,0)</f>
        <v>151.78799999999998</v>
      </c>
      <c r="CV98" s="14">
        <f t="shared" si="95"/>
        <v>38.984634390835623</v>
      </c>
      <c r="CW98" s="22">
        <f t="shared" si="67"/>
        <v>332.26233823070532</v>
      </c>
      <c r="CX98" s="62">
        <f t="shared" si="68"/>
        <v>625.59567156403864</v>
      </c>
      <c r="CY98" s="62">
        <f ca="1">AVERAGE(OFFSET($CX$3,0,0,'Données projet'!$E$13+1,1))-AVERAGE(OFFSET($H$3,0,0,'Données projet'!$E$13+1,1))</f>
        <v>159.92263609041913</v>
      </c>
      <c r="CZ98" s="62">
        <f t="shared" si="96"/>
        <v>271.78119133009307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1.806381493608493</v>
      </c>
      <c r="DG98" s="23">
        <f>EXP(-LN(2)/25)*DG97+(1-EXP(-LN(2)/25))/(LN(2)/25)*Calculateur!DB98*Calculateur!DD98*VLOOKUP('Données projet'!$B$13,Paramètres!$A$1:$I$89,3,0)*0.475*44/12</f>
        <v>4.8264443661007723</v>
      </c>
      <c r="DH98" s="23">
        <f>EXP(-LN(2)/2)*DH97+(1-EXP(-LN(2)/2))/(LN(2)/2)*DB98*DE98*VLOOKUP('Données projet'!$B$13,Paramètres!$A$1:$I$89,3,0)*0.475*44/12</f>
        <v>4.5167389943088977E-9</v>
      </c>
      <c r="DI98" s="24">
        <f t="shared" si="69"/>
        <v>6.6328258642260041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-1.1368683772161603E-13</v>
      </c>
      <c r="DP98" s="18">
        <f>DO98*VLOOKUP('Données projet'!$B$14,Paramètres!$A$1:$I$89,3,0)*VLOOKUP('Données projet'!$B$14,Paramètres!$A$1:$I$89,5,0)</f>
        <v>-5.4683368944097308E-14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122.60806128440754</v>
      </c>
      <c r="DU98" s="62">
        <f t="shared" si="98"/>
        <v>73.937252053142004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0</v>
      </c>
      <c r="EP98" s="62">
        <f t="shared" si="100"/>
        <v>0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382.55387448074327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0.59599147871609426</v>
      </c>
      <c r="AA99" s="23">
        <f>EXP(-LN(2)/25)*AA98+(1-EXP(-LN(2)/25))/(LN(2)/25)*Calculateur!V99*Calculateur!X99*VLOOKUP('Données projet'!$B$9,Paramètres!$A$1:$I$89,3,0)*0.475*44/12</f>
        <v>1.7141235563428967</v>
      </c>
      <c r="AB99" s="23">
        <f>EXP(-LN(2)/2)*AB98+(1-EXP(-LN(2)/2))/(LN(2)/2)*V99*Y99*VLOOKUP('Données projet'!$B$9,Paramètres!$A$1:$I$89,3,0)*0.475*44/12</f>
        <v>2.6224180151751403E-9</v>
      </c>
      <c r="AC99" s="24">
        <f t="shared" si="57"/>
        <v>2.3101150376814088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808.41971807128607</v>
      </c>
      <c r="AN99" s="62">
        <f ca="1">AVERAGE(OFFSET($AM$3,0,0,'Données projet'!$E$10+1,1))-AVERAGE(OFFSET($H$3,0,0,'Données projet'!$E$10+1,1))</f>
        <v>269.64423257646359</v>
      </c>
      <c r="AO99" s="62">
        <f t="shared" si="90"/>
        <v>161.0819079811821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8.5265128291212022E-14</v>
      </c>
      <c r="BE99" s="14">
        <f>BD99*VLOOKUP('Données projet'!$B$11,Paramètres!$A$1:$I$89,3,0)*VLOOKUP('Données projet'!$B$11,Paramètres!$A$1:$I$89,5,0)</f>
        <v>3.990408004028723E-14</v>
      </c>
      <c r="BF99" s="14">
        <f t="shared" si="91"/>
        <v>6.6713074187844705E-13</v>
      </c>
      <c r="BG99" s="22">
        <f t="shared" si="61"/>
        <v>1.2314189815084623E-12</v>
      </c>
      <c r="BH99" s="62">
        <f t="shared" si="62"/>
        <v>293.33333333333456</v>
      </c>
      <c r="BI99" s="62">
        <f ca="1">AVERAGE(OFFSET($BH$3,0,0,'Données projet'!$E$11+1,1))-AVERAGE(OFFSET($H$3,0,0,'Données projet'!$E$11+1,1))</f>
        <v>90.797383835887558</v>
      </c>
      <c r="BJ99" s="62">
        <f t="shared" si="92"/>
        <v>104.31413437636684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0.26121554564698912</v>
      </c>
      <c r="BQ99" s="23">
        <f>EXP(-LN(2)/25)*BQ98+(1-EXP(-LN(2)/25))/(LN(2)/25)*Calculateur!BL99*Calculateur!BN99*VLOOKUP('Données projet'!$B$11,Paramètres!$A$1:$I$89,3,0)*0.475*44/12</f>
        <v>0.68074886515231092</v>
      </c>
      <c r="BR99" s="23">
        <f>EXP(-LN(2)/2)*BR98+(1-EXP(-LN(2)/2))/(LN(2)/2)*BL99*BO99*VLOOKUP('Données projet'!$B$11,Paramètres!$A$1:$I$89,3,0)*0.475*44/12</f>
        <v>3.4449251154721454E-10</v>
      </c>
      <c r="BS99" s="24">
        <f t="shared" si="63"/>
        <v>0.94196441114379259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304</v>
      </c>
      <c r="BZ99" s="14">
        <f>BY99*VLOOKUP('Données projet'!$B$12,Paramètres!$A$1:$I$89,3,0)*VLOOKUP('Données projet'!$B$12,Paramètres!$A$1:$I$89,5,0)</f>
        <v>189.696</v>
      </c>
      <c r="CA99" s="14">
        <f t="shared" si="93"/>
        <v>47.472736505152469</v>
      </c>
      <c r="CB99" s="22">
        <f t="shared" si="64"/>
        <v>413.06888274647389</v>
      </c>
      <c r="CC99" s="62">
        <f t="shared" si="65"/>
        <v>706.4022160798072</v>
      </c>
      <c r="CD99" s="62">
        <f ca="1">AVERAGE(OFFSET($CC$3,0,0,'Données projet'!$E$12+1,1))-AVERAGE(OFFSET($H$3,0,0,'Données projet'!$E$12+1,1))</f>
        <v>179.44051550872138</v>
      </c>
      <c r="CE99" s="62">
        <f t="shared" si="94"/>
        <v>272.9500808380069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1.3508300740864361</v>
      </c>
      <c r="CL99" s="23">
        <f>EXP(-LN(2)/25)*CL98+(1-EXP(-LN(2)/25))/(LN(2)/25)*Calculateur!CG99*Calculateur!CI99*VLOOKUP('Données projet'!$B$12,Paramètres!$A$1:$I$89,3,0)*0.475*44/12</f>
        <v>3.2190251974759105</v>
      </c>
      <c r="CM99" s="23">
        <f>EXP(-LN(2)/2)*CM98+(1-EXP(-LN(2)/2))/(LN(2)/2)*CG99*CJ99*VLOOKUP('Données projet'!$B$12,Paramètres!$A$1:$I$89,3,0)*0.475*44/12</f>
        <v>2.3990594316616081E-9</v>
      </c>
      <c r="CN99" s="24">
        <f t="shared" si="66"/>
        <v>4.569855273961406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277.99999999999994</v>
      </c>
      <c r="CU99" s="18">
        <f>CT99*VLOOKUP('Données projet'!$B$13,Paramètres!$A$1:$I$89,3,0)*VLOOKUP('Données projet'!$B$13,Paramètres!$A$1:$I$89,5,0)</f>
        <v>151.78799999999998</v>
      </c>
      <c r="CV99" s="14">
        <f t="shared" si="95"/>
        <v>38.984634390835623</v>
      </c>
      <c r="CW99" s="22">
        <f t="shared" si="67"/>
        <v>332.26233823070532</v>
      </c>
      <c r="CX99" s="62">
        <f t="shared" si="68"/>
        <v>625.59567156403864</v>
      </c>
      <c r="CY99" s="62">
        <f ca="1">AVERAGE(OFFSET($CX$3,0,0,'Données projet'!$E$13+1,1))-AVERAGE(OFFSET($H$3,0,0,'Données projet'!$E$13+1,1))</f>
        <v>159.92263609041913</v>
      </c>
      <c r="CZ99" s="62">
        <f t="shared" si="96"/>
        <v>271.78119133009307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1.7709594543027494</v>
      </c>
      <c r="DG99" s="23">
        <f>EXP(-LN(2)/25)*DG98+(1-EXP(-LN(2)/25))/(LN(2)/25)*Calculateur!DB99*Calculateur!DD99*VLOOKUP('Données projet'!$B$13,Paramètres!$A$1:$I$89,3,0)*0.475*44/12</f>
        <v>4.6944649910980685</v>
      </c>
      <c r="DH99" s="23">
        <f>EXP(-LN(2)/2)*DH98+(1-EXP(-LN(2)/2))/(LN(2)/2)*DB99*DE99*VLOOKUP('Données projet'!$B$13,Paramètres!$A$1:$I$89,3,0)*0.475*44/12</f>
        <v>3.1938167717255285E-9</v>
      </c>
      <c r="DI99" s="24">
        <f t="shared" si="69"/>
        <v>6.4654244485946348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-1.1368683772161603E-13</v>
      </c>
      <c r="DP99" s="18">
        <f>DO99*VLOOKUP('Données projet'!$B$14,Paramètres!$A$1:$I$89,3,0)*VLOOKUP('Données projet'!$B$14,Paramètres!$A$1:$I$89,5,0)</f>
        <v>-5.4683368944097308E-14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122.60806128440754</v>
      </c>
      <c r="DU99" s="62">
        <f t="shared" si="98"/>
        <v>73.937252053142004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0</v>
      </c>
      <c r="EP99" s="62">
        <f t="shared" si="100"/>
        <v>0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382.55387448074327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0.58430444933737913</v>
      </c>
      <c r="AA100" s="23">
        <f>EXP(-LN(2)/25)*AA99+(1-EXP(-LN(2)/25))/(LN(2)/25)*Calculateur!V100*Calculateur!X100*VLOOKUP('Données projet'!$B$9,Paramètres!$A$1:$I$89,3,0)*0.475*44/12</f>
        <v>1.6672507575528601</v>
      </c>
      <c r="AB100" s="23">
        <f>EXP(-LN(2)/2)*AB99+(1-EXP(-LN(2)/2))/(LN(2)/2)*V100*Y100*VLOOKUP('Données projet'!$B$9,Paramètres!$A$1:$I$89,3,0)*0.475*44/12</f>
        <v>1.8543295616361083E-9</v>
      </c>
      <c r="AC100" s="24">
        <f t="shared" si="57"/>
        <v>2.2515552087445689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269.64423257646359</v>
      </c>
      <c r="AO100" s="62">
        <f t="shared" si="90"/>
        <v>161.0819079811821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8.5265128291212022E-14</v>
      </c>
      <c r="BE100" s="14">
        <f>BD100*VLOOKUP('Données projet'!$B$11,Paramètres!$A$1:$I$89,3,0)*VLOOKUP('Données projet'!$B$11,Paramètres!$A$1:$I$89,5,0)</f>
        <v>3.990408004028723E-14</v>
      </c>
      <c r="BF100" s="14">
        <f t="shared" si="91"/>
        <v>6.6713074187844705E-13</v>
      </c>
      <c r="BG100" s="22">
        <f t="shared" si="61"/>
        <v>1.2314189815084623E-12</v>
      </c>
      <c r="BH100" s="62">
        <f t="shared" si="62"/>
        <v>293.33333333333456</v>
      </c>
      <c r="BI100" s="62">
        <f ca="1">AVERAGE(OFFSET($BH$3,0,0,'Données projet'!$E$11+1,1))-AVERAGE(OFFSET($H$3,0,0,'Données projet'!$E$11+1,1))</f>
        <v>90.797383835887558</v>
      </c>
      <c r="BJ100" s="62">
        <f t="shared" si="92"/>
        <v>104.31413437636684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0.25609326812260241</v>
      </c>
      <c r="BQ100" s="23">
        <f>EXP(-LN(2)/25)*BQ99+(1-EXP(-LN(2)/25))/(LN(2)/25)*Calculateur!BL100*Calculateur!BN100*VLOOKUP('Données projet'!$B$11,Paramètres!$A$1:$I$89,3,0)*0.475*44/12</f>
        <v>0.66213375163569399</v>
      </c>
      <c r="BR100" s="23">
        <f>EXP(-LN(2)/2)*BR99+(1-EXP(-LN(2)/2))/(LN(2)/2)*BL100*BO100*VLOOKUP('Données projet'!$B$11,Paramètres!$A$1:$I$89,3,0)*0.475*44/12</f>
        <v>2.4359299098302042E-10</v>
      </c>
      <c r="BS100" s="24">
        <f t="shared" si="63"/>
        <v>0.91822702000188949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304</v>
      </c>
      <c r="BZ100" s="14">
        <f>BY100*VLOOKUP('Données projet'!$B$12,Paramètres!$A$1:$I$89,3,0)*VLOOKUP('Données projet'!$B$12,Paramètres!$A$1:$I$89,5,0)</f>
        <v>189.696</v>
      </c>
      <c r="CA100" s="14">
        <f t="shared" si="93"/>
        <v>47.472736505152469</v>
      </c>
      <c r="CB100" s="22">
        <f t="shared" si="64"/>
        <v>413.06888274647389</v>
      </c>
      <c r="CC100" s="62">
        <f t="shared" si="65"/>
        <v>706.4022160798072</v>
      </c>
      <c r="CD100" s="62">
        <f ca="1">AVERAGE(OFFSET($CC$3,0,0,'Données projet'!$E$12+1,1))-AVERAGE(OFFSET($H$3,0,0,'Données projet'!$E$12+1,1))</f>
        <v>179.44051550872138</v>
      </c>
      <c r="CE100" s="62">
        <f t="shared" si="94"/>
        <v>272.9500808380069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1.3243411202585904</v>
      </c>
      <c r="CL100" s="23">
        <f>EXP(-LN(2)/25)*CL99+(1-EXP(-LN(2)/25))/(LN(2)/25)*Calculateur!CG100*Calculateur!CI100*VLOOKUP('Données projet'!$B$12,Paramètres!$A$1:$I$89,3,0)*0.475*44/12</f>
        <v>3.1310007841697538</v>
      </c>
      <c r="CM100" s="23">
        <f>EXP(-LN(2)/2)*CM99+(1-EXP(-LN(2)/2))/(LN(2)/2)*CG100*CJ100*VLOOKUP('Données projet'!$B$12,Paramètres!$A$1:$I$89,3,0)*0.475*44/12</f>
        <v>1.6963911925974678E-9</v>
      </c>
      <c r="CN100" s="24">
        <f t="shared" si="66"/>
        <v>4.4553419061247359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277.99999999999994</v>
      </c>
      <c r="CU100" s="18">
        <f>CT100*VLOOKUP('Données projet'!$B$13,Paramètres!$A$1:$I$89,3,0)*VLOOKUP('Données projet'!$B$13,Paramètres!$A$1:$I$89,5,0)</f>
        <v>151.78799999999998</v>
      </c>
      <c r="CV100" s="14">
        <f t="shared" si="95"/>
        <v>38.984634390835623</v>
      </c>
      <c r="CW100" s="22">
        <f t="shared" si="67"/>
        <v>332.26233823070532</v>
      </c>
      <c r="CX100" s="62">
        <f t="shared" si="68"/>
        <v>625.59567156403864</v>
      </c>
      <c r="CY100" s="62">
        <f ca="1">AVERAGE(OFFSET($CX$3,0,0,'Données projet'!$E$13+1,1))-AVERAGE(OFFSET($H$3,0,0,'Données projet'!$E$13+1,1))</f>
        <v>159.92263609041913</v>
      </c>
      <c r="CZ100" s="62">
        <f t="shared" si="96"/>
        <v>271.78119133009307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1.7362320195824807</v>
      </c>
      <c r="DG100" s="23">
        <f>EXP(-LN(2)/25)*DG99+(1-EXP(-LN(2)/25))/(LN(2)/25)*Calculateur!DB100*Calculateur!DD100*VLOOKUP('Données projet'!$B$13,Paramètres!$A$1:$I$89,3,0)*0.475*44/12</f>
        <v>4.5660945990453072</v>
      </c>
      <c r="DH100" s="23">
        <f>EXP(-LN(2)/2)*DH99+(1-EXP(-LN(2)/2))/(LN(2)/2)*DB100*DE100*VLOOKUP('Données projet'!$B$13,Paramètres!$A$1:$I$89,3,0)*0.475*44/12</f>
        <v>2.2583694971544488E-9</v>
      </c>
      <c r="DI100" s="24">
        <f t="shared" si="69"/>
        <v>6.3023266208861575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-1.1368683772161603E-13</v>
      </c>
      <c r="DP100" s="18">
        <f>DO100*VLOOKUP('Données projet'!$B$14,Paramètres!$A$1:$I$89,3,0)*VLOOKUP('Données projet'!$B$14,Paramètres!$A$1:$I$89,5,0)</f>
        <v>-5.4683368944097308E-14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122.60806128440754</v>
      </c>
      <c r="DU100" s="62">
        <f t="shared" si="98"/>
        <v>73.937252053142004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0</v>
      </c>
      <c r="EP100" s="62">
        <f t="shared" si="100"/>
        <v>0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382.55387448074327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0.5728465954763966</v>
      </c>
      <c r="AA101" s="23">
        <f>EXP(-LN(2)/25)*AA100+(1-EXP(-LN(2)/25))/(LN(2)/25)*Calculateur!V101*Calculateur!X101*VLOOKUP('Données projet'!$B$9,Paramètres!$A$1:$I$89,3,0)*0.475*44/12</f>
        <v>1.6216596979106703</v>
      </c>
      <c r="AB101" s="23">
        <f>EXP(-LN(2)/2)*AB100+(1-EXP(-LN(2)/2))/(LN(2)/2)*V101*Y101*VLOOKUP('Données projet'!$B$9,Paramètres!$A$1:$I$89,3,0)*0.475*44/12</f>
        <v>1.3112090075875703E-9</v>
      </c>
      <c r="AC101" s="24">
        <f t="shared" si="57"/>
        <v>2.1945062946982761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269.64423257646359</v>
      </c>
      <c r="AO101" s="62">
        <f t="shared" si="90"/>
        <v>161.0819079811821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8.5265128291212022E-14</v>
      </c>
      <c r="BE101" s="14">
        <f>BD101*VLOOKUP('Données projet'!$B$11,Paramètres!$A$1:$I$89,3,0)*VLOOKUP('Données projet'!$B$11,Paramètres!$A$1:$I$89,5,0)</f>
        <v>3.990408004028723E-14</v>
      </c>
      <c r="BF101" s="14">
        <f t="shared" si="91"/>
        <v>6.6713074187844705E-13</v>
      </c>
      <c r="BG101" s="22">
        <f t="shared" si="61"/>
        <v>1.2314189815084623E-12</v>
      </c>
      <c r="BH101" s="62">
        <f t="shared" si="62"/>
        <v>293.33333333333456</v>
      </c>
      <c r="BI101" s="62">
        <f ca="1">AVERAGE(OFFSET($BH$3,0,0,'Données projet'!$E$11+1,1))-AVERAGE(OFFSET($H$3,0,0,'Données projet'!$E$11+1,1))</f>
        <v>90.797383835887558</v>
      </c>
      <c r="BJ101" s="62">
        <f t="shared" si="92"/>
        <v>104.31413437636684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0.25107143533618814</v>
      </c>
      <c r="BQ101" s="23">
        <f>EXP(-LN(2)/25)*BQ100+(1-EXP(-LN(2)/25))/(LN(2)/25)*Calculateur!BL101*Calculateur!BN101*VLOOKUP('Données projet'!$B$11,Paramètres!$A$1:$I$89,3,0)*0.475*44/12</f>
        <v>0.64402766937711531</v>
      </c>
      <c r="BR101" s="23">
        <f>EXP(-LN(2)/2)*BR100+(1-EXP(-LN(2)/2))/(LN(2)/2)*BL101*BO101*VLOOKUP('Données projet'!$B$11,Paramètres!$A$1:$I$89,3,0)*0.475*44/12</f>
        <v>1.7224625577360727E-10</v>
      </c>
      <c r="BS101" s="24">
        <f t="shared" si="63"/>
        <v>0.89509910488554967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304</v>
      </c>
      <c r="BZ101" s="14">
        <f>BY101*VLOOKUP('Données projet'!$B$12,Paramètres!$A$1:$I$89,3,0)*VLOOKUP('Données projet'!$B$12,Paramètres!$A$1:$I$89,5,0)</f>
        <v>189.696</v>
      </c>
      <c r="CA101" s="14">
        <f t="shared" si="93"/>
        <v>47.472736505152469</v>
      </c>
      <c r="CB101" s="22">
        <f t="shared" si="64"/>
        <v>413.06888274647389</v>
      </c>
      <c r="CC101" s="62">
        <f t="shared" si="65"/>
        <v>706.4022160798072</v>
      </c>
      <c r="CD101" s="62">
        <f ca="1">AVERAGE(OFFSET($CC$3,0,0,'Données projet'!$E$12+1,1))-AVERAGE(OFFSET($H$3,0,0,'Données projet'!$E$12+1,1))</f>
        <v>179.44051550872138</v>
      </c>
      <c r="CE101" s="62">
        <f t="shared" si="94"/>
        <v>272.9500808380069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1.2983715986586424</v>
      </c>
      <c r="CL101" s="23">
        <f>EXP(-LN(2)/25)*CL100+(1-EXP(-LN(2)/25))/(LN(2)/25)*Calculateur!CG101*Calculateur!CI101*VLOOKUP('Données projet'!$B$12,Paramètres!$A$1:$I$89,3,0)*0.475*44/12</f>
        <v>3.0453834030744567</v>
      </c>
      <c r="CM101" s="23">
        <f>EXP(-LN(2)/2)*CM100+(1-EXP(-LN(2)/2))/(LN(2)/2)*CG101*CJ101*VLOOKUP('Données projet'!$B$12,Paramètres!$A$1:$I$89,3,0)*0.475*44/12</f>
        <v>1.199529715830804E-9</v>
      </c>
      <c r="CN101" s="24">
        <f t="shared" si="66"/>
        <v>4.3437550029326282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277.99999999999994</v>
      </c>
      <c r="CU101" s="18">
        <f>CT101*VLOOKUP('Données projet'!$B$13,Paramètres!$A$1:$I$89,3,0)*VLOOKUP('Données projet'!$B$13,Paramètres!$A$1:$I$89,5,0)</f>
        <v>151.78799999999998</v>
      </c>
      <c r="CV101" s="14">
        <f t="shared" si="95"/>
        <v>38.984634390835623</v>
      </c>
      <c r="CW101" s="22">
        <f t="shared" si="67"/>
        <v>332.26233823070532</v>
      </c>
      <c r="CX101" s="62">
        <f t="shared" si="68"/>
        <v>625.59567156403864</v>
      </c>
      <c r="CY101" s="62">
        <f ca="1">AVERAGE(OFFSET($CX$3,0,0,'Données projet'!$E$13+1,1))-AVERAGE(OFFSET($H$3,0,0,'Données projet'!$E$13+1,1))</f>
        <v>159.92263609041913</v>
      </c>
      <c r="CZ101" s="62">
        <f t="shared" si="96"/>
        <v>271.78119133009307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1.702185568675433</v>
      </c>
      <c r="DG101" s="23">
        <f>EXP(-LN(2)/25)*DG100+(1-EXP(-LN(2)/25))/(LN(2)/25)*Calculateur!DB101*Calculateur!DD101*VLOOKUP('Données projet'!$B$13,Paramètres!$A$1:$I$89,3,0)*0.475*44/12</f>
        <v>4.4412345021139341</v>
      </c>
      <c r="DH101" s="23">
        <f>EXP(-LN(2)/2)*DH100+(1-EXP(-LN(2)/2))/(LN(2)/2)*DB101*DE101*VLOOKUP('Données projet'!$B$13,Paramètres!$A$1:$I$89,3,0)*0.475*44/12</f>
        <v>1.5969083858627642E-9</v>
      </c>
      <c r="DI101" s="24">
        <f t="shared" si="69"/>
        <v>6.1434200723862755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-1.1368683772161603E-13</v>
      </c>
      <c r="DP101" s="18">
        <f>DO101*VLOOKUP('Données projet'!$B$14,Paramètres!$A$1:$I$89,3,0)*VLOOKUP('Données projet'!$B$14,Paramètres!$A$1:$I$89,5,0)</f>
        <v>-5.4683368944097308E-14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122.60806128440754</v>
      </c>
      <c r="DU101" s="62">
        <f t="shared" si="98"/>
        <v>73.937252053142004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0</v>
      </c>
      <c r="EP101" s="62">
        <f t="shared" si="100"/>
        <v>0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382.55387448074327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0.56161342314102713</v>
      </c>
      <c r="AA102" s="23">
        <f>EXP(-LN(2)/25)*AA101+(1-EXP(-LN(2)/25))/(LN(2)/25)*Calculateur!V102*Calculateur!X102*VLOOKUP('Données projet'!$B$9,Paramètres!$A$1:$I$89,3,0)*0.475*44/12</f>
        <v>1.5773153281919259</v>
      </c>
      <c r="AB102" s="23">
        <f>EXP(-LN(2)/2)*AB101+(1-EXP(-LN(2)/2))/(LN(2)/2)*V102*Y102*VLOOKUP('Données projet'!$B$9,Paramètres!$A$1:$I$89,3,0)*0.475*44/12</f>
        <v>9.2716478081805425E-10</v>
      </c>
      <c r="AC102" s="24">
        <f t="shared" si="57"/>
        <v>2.1389287522601177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269.64423257646359</v>
      </c>
      <c r="AO102" s="62">
        <f t="shared" si="90"/>
        <v>161.0819079811821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8.5265128291212022E-14</v>
      </c>
      <c r="BE102" s="14">
        <f>BD102*VLOOKUP('Données projet'!$B$11,Paramètres!$A$1:$I$89,3,0)*VLOOKUP('Données projet'!$B$11,Paramètres!$A$1:$I$89,5,0)</f>
        <v>3.990408004028723E-14</v>
      </c>
      <c r="BF102" s="14">
        <f t="shared" si="91"/>
        <v>6.6713074187844705E-13</v>
      </c>
      <c r="BG102" s="22">
        <f t="shared" si="61"/>
        <v>1.2314189815084623E-12</v>
      </c>
      <c r="BH102" s="62">
        <f t="shared" si="62"/>
        <v>293.33333333333456</v>
      </c>
      <c r="BI102" s="62">
        <f ca="1">AVERAGE(OFFSET($BH$3,0,0,'Données projet'!$E$11+1,1))-AVERAGE(OFFSET($H$3,0,0,'Données projet'!$E$11+1,1))</f>
        <v>90.797383835887558</v>
      </c>
      <c r="BJ102" s="62">
        <f t="shared" si="92"/>
        <v>104.31413437636684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0.24614807762769988</v>
      </c>
      <c r="BQ102" s="23">
        <f>EXP(-LN(2)/25)*BQ101+(1-EXP(-LN(2)/25))/(LN(2)/25)*Calculateur!BL102*Calculateur!BN102*VLOOKUP('Données projet'!$B$11,Paramètres!$A$1:$I$89,3,0)*0.475*44/12</f>
        <v>0.62641669889005491</v>
      </c>
      <c r="BR102" s="23">
        <f>EXP(-LN(2)/2)*BR101+(1-EXP(-LN(2)/2))/(LN(2)/2)*BL102*BO102*VLOOKUP('Données projet'!$B$11,Paramètres!$A$1:$I$89,3,0)*0.475*44/12</f>
        <v>1.2179649549151021E-10</v>
      </c>
      <c r="BS102" s="24">
        <f t="shared" si="63"/>
        <v>0.87256477663955123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304</v>
      </c>
      <c r="BZ102" s="14">
        <f>BY102*VLOOKUP('Données projet'!$B$12,Paramètres!$A$1:$I$89,3,0)*VLOOKUP('Données projet'!$B$12,Paramètres!$A$1:$I$89,5,0)</f>
        <v>189.696</v>
      </c>
      <c r="CA102" s="14">
        <f t="shared" si="93"/>
        <v>47.472736505152469</v>
      </c>
      <c r="CB102" s="22">
        <f t="shared" si="64"/>
        <v>413.06888274647389</v>
      </c>
      <c r="CC102" s="62">
        <f t="shared" si="65"/>
        <v>706.4022160798072</v>
      </c>
      <c r="CD102" s="62">
        <f ca="1">AVERAGE(OFFSET($CC$3,0,0,'Données projet'!$E$12+1,1))-AVERAGE(OFFSET($H$3,0,0,'Données projet'!$E$12+1,1))</f>
        <v>179.44051550872138</v>
      </c>
      <c r="CE102" s="62">
        <f t="shared" si="94"/>
        <v>272.9500808380069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1.2729113235374252</v>
      </c>
      <c r="CL102" s="23">
        <f>EXP(-LN(2)/25)*CL101+(1-EXP(-LN(2)/25))/(LN(2)/25)*Calculateur!CG102*Calculateur!CI102*VLOOKUP('Données projet'!$B$12,Paramètres!$A$1:$I$89,3,0)*0.475*44/12</f>
        <v>2.9621072337676329</v>
      </c>
      <c r="CM102" s="23">
        <f>EXP(-LN(2)/2)*CM101+(1-EXP(-LN(2)/2))/(LN(2)/2)*CG102*CJ102*VLOOKUP('Données projet'!$B$12,Paramètres!$A$1:$I$89,3,0)*0.475*44/12</f>
        <v>8.4819559629873389E-10</v>
      </c>
      <c r="CN102" s="24">
        <f t="shared" si="66"/>
        <v>4.2350185581532536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277.99999999999994</v>
      </c>
      <c r="CU102" s="18">
        <f>CT102*VLOOKUP('Données projet'!$B$13,Paramètres!$A$1:$I$89,3,0)*VLOOKUP('Données projet'!$B$13,Paramètres!$A$1:$I$89,5,0)</f>
        <v>151.78799999999998</v>
      </c>
      <c r="CV102" s="14">
        <f t="shared" si="95"/>
        <v>38.984634390835623</v>
      </c>
      <c r="CW102" s="22">
        <f t="shared" si="67"/>
        <v>332.26233823070532</v>
      </c>
      <c r="CX102" s="62">
        <f t="shared" si="68"/>
        <v>625.59567156403864</v>
      </c>
      <c r="CY102" s="62">
        <f ca="1">AVERAGE(OFFSET($CX$3,0,0,'Données projet'!$E$13+1,1))-AVERAGE(OFFSET($H$3,0,0,'Données projet'!$E$13+1,1))</f>
        <v>159.92263609041913</v>
      </c>
      <c r="CZ102" s="62">
        <f t="shared" si="96"/>
        <v>271.78119133009307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1.668806747904388</v>
      </c>
      <c r="DG102" s="23">
        <f>EXP(-LN(2)/25)*DG101+(1-EXP(-LN(2)/25))/(LN(2)/25)*Calculateur!DB102*Calculateur!DD102*VLOOKUP('Données projet'!$B$13,Paramètres!$A$1:$I$89,3,0)*0.475*44/12</f>
        <v>4.3197887110992568</v>
      </c>
      <c r="DH102" s="23">
        <f>EXP(-LN(2)/2)*DH101+(1-EXP(-LN(2)/2))/(LN(2)/2)*DB102*DE102*VLOOKUP('Données projet'!$B$13,Paramètres!$A$1:$I$89,3,0)*0.475*44/12</f>
        <v>1.1291847485772244E-9</v>
      </c>
      <c r="DI102" s="24">
        <f t="shared" si="69"/>
        <v>5.9885954601328297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-1.1368683772161603E-13</v>
      </c>
      <c r="DP102" s="18">
        <f>DO102*VLOOKUP('Données projet'!$B$14,Paramètres!$A$1:$I$89,3,0)*VLOOKUP('Données projet'!$B$14,Paramètres!$A$1:$I$89,5,0)</f>
        <v>-5.4683368944097308E-14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122.60806128440754</v>
      </c>
      <c r="DU102" s="62">
        <f t="shared" si="98"/>
        <v>73.937252053142004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0</v>
      </c>
      <c r="EP102" s="62">
        <f t="shared" si="100"/>
        <v>0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382.55387448074327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0.5506005264635957</v>
      </c>
      <c r="AA103" s="23">
        <f>EXP(-LN(2)/25)*AA102+(1-EXP(-LN(2)/25))/(LN(2)/25)*Calculateur!V103*Calculateur!X103*VLOOKUP('Données projet'!$B$9,Paramètres!$A$1:$I$89,3,0)*0.475*44/12</f>
        <v>1.5341835575951095</v>
      </c>
      <c r="AB103" s="23">
        <f>EXP(-LN(2)/2)*AB102+(1-EXP(-LN(2)/2))/(LN(2)/2)*V103*Y103*VLOOKUP('Données projet'!$B$9,Paramètres!$A$1:$I$89,3,0)*0.475*44/12</f>
        <v>6.5560450379378527E-10</v>
      </c>
      <c r="AC103" s="24">
        <f t="shared" si="57"/>
        <v>2.0847840847143098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845.16612239513029</v>
      </c>
      <c r="AN103" s="62">
        <f ca="1">AVERAGE(OFFSET($AM$3,0,0,'Données projet'!$E$10+1,1))-AVERAGE(OFFSET($H$3,0,0,'Données projet'!$E$10+1,1))</f>
        <v>269.64423257646359</v>
      </c>
      <c r="AO103" s="62">
        <f t="shared" si="90"/>
        <v>161.0819079811821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8.5265128291212022E-14</v>
      </c>
      <c r="BE103" s="14">
        <f>BD103*VLOOKUP('Données projet'!$B$11,Paramètres!$A$1:$I$89,3,0)*VLOOKUP('Données projet'!$B$11,Paramètres!$A$1:$I$89,5,0)</f>
        <v>3.990408004028723E-14</v>
      </c>
      <c r="BF103" s="14">
        <f t="shared" si="91"/>
        <v>6.6713074187844705E-13</v>
      </c>
      <c r="BG103" s="22">
        <f t="shared" si="61"/>
        <v>1.2314189815084623E-12</v>
      </c>
      <c r="BH103" s="62">
        <f t="shared" si="62"/>
        <v>293.33333333333456</v>
      </c>
      <c r="BI103" s="62">
        <f ca="1">AVERAGE(OFFSET($BH$3,0,0,'Données projet'!$E$11+1,1))-AVERAGE(OFFSET($H$3,0,0,'Données projet'!$E$11+1,1))</f>
        <v>90.797383835887558</v>
      </c>
      <c r="BJ103" s="62">
        <f t="shared" si="92"/>
        <v>104.31413437636684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0.2413212639609234</v>
      </c>
      <c r="BQ103" s="23">
        <f>EXP(-LN(2)/25)*BQ102+(1-EXP(-LN(2)/25))/(LN(2)/25)*Calculateur!BL103*Calculateur!BN103*VLOOKUP('Données projet'!$B$11,Paramètres!$A$1:$I$89,3,0)*0.475*44/12</f>
        <v>0.60928730131708386</v>
      </c>
      <c r="BR103" s="23">
        <f>EXP(-LN(2)/2)*BR102+(1-EXP(-LN(2)/2))/(LN(2)/2)*BL103*BO103*VLOOKUP('Données projet'!$B$11,Paramètres!$A$1:$I$89,3,0)*0.475*44/12</f>
        <v>8.6123127886803634E-11</v>
      </c>
      <c r="BS103" s="24">
        <f t="shared" si="63"/>
        <v>0.85060856536413043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304</v>
      </c>
      <c r="BZ103" s="14">
        <f>BY103*VLOOKUP('Données projet'!$B$12,Paramètres!$A$1:$I$89,3,0)*VLOOKUP('Données projet'!$B$12,Paramètres!$A$1:$I$89,5,0)</f>
        <v>189.696</v>
      </c>
      <c r="CA103" s="14">
        <f t="shared" si="93"/>
        <v>47.472736505152469</v>
      </c>
      <c r="CB103" s="22">
        <f t="shared" si="64"/>
        <v>413.06888274647389</v>
      </c>
      <c r="CC103" s="62">
        <f t="shared" si="65"/>
        <v>706.4022160798072</v>
      </c>
      <c r="CD103" s="62">
        <f ca="1">AVERAGE(OFFSET($CC$3,0,0,'Données projet'!$E$12+1,1))-AVERAGE(OFFSET($H$3,0,0,'Données projet'!$E$12+1,1))</f>
        <v>179.44051550872138</v>
      </c>
      <c r="CE103" s="62">
        <f t="shared" si="94"/>
        <v>272.9500808380069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1.2479503088821007</v>
      </c>
      <c r="CL103" s="23">
        <f>EXP(-LN(2)/25)*CL102+(1-EXP(-LN(2)/25))/(LN(2)/25)*Calculateur!CG103*Calculateur!CI103*VLOOKUP('Données projet'!$B$12,Paramètres!$A$1:$I$89,3,0)*0.475*44/12</f>
        <v>2.8811082556898073</v>
      </c>
      <c r="CM103" s="23">
        <f>EXP(-LN(2)/2)*CM102+(1-EXP(-LN(2)/2))/(LN(2)/2)*CG103*CJ103*VLOOKUP('Données projet'!$B$12,Paramètres!$A$1:$I$89,3,0)*0.475*44/12</f>
        <v>5.9976485791540202E-10</v>
      </c>
      <c r="CN103" s="24">
        <f t="shared" si="66"/>
        <v>4.1290585651716727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277.99999999999994</v>
      </c>
      <c r="CU103" s="18">
        <f>CT103*VLOOKUP('Données projet'!$B$13,Paramètres!$A$1:$I$89,3,0)*VLOOKUP('Données projet'!$B$13,Paramètres!$A$1:$I$89,5,0)</f>
        <v>151.78799999999998</v>
      </c>
      <c r="CV103" s="14">
        <f t="shared" si="95"/>
        <v>38.984634390835623</v>
      </c>
      <c r="CW103" s="22">
        <f t="shared" si="67"/>
        <v>332.26233823070532</v>
      </c>
      <c r="CX103" s="62">
        <f t="shared" si="68"/>
        <v>625.59567156403864</v>
      </c>
      <c r="CY103" s="62">
        <f ca="1">AVERAGE(OFFSET($CX$3,0,0,'Données projet'!$E$13+1,1))-AVERAGE(OFFSET($H$3,0,0,'Données projet'!$E$13+1,1))</f>
        <v>159.92263609041913</v>
      </c>
      <c r="CZ103" s="62">
        <f t="shared" si="96"/>
        <v>271.78119133009307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1.6360824654495927</v>
      </c>
      <c r="DG103" s="23">
        <f>EXP(-LN(2)/25)*DG102+(1-EXP(-LN(2)/25))/(LN(2)/25)*Calculateur!DB103*Calculateur!DD103*VLOOKUP('Données projet'!$B$13,Paramètres!$A$1:$I$89,3,0)*0.475*44/12</f>
        <v>4.2016638616264324</v>
      </c>
      <c r="DH103" s="23">
        <f>EXP(-LN(2)/2)*DH102+(1-EXP(-LN(2)/2))/(LN(2)/2)*DB103*DE103*VLOOKUP('Données projet'!$B$13,Paramètres!$A$1:$I$89,3,0)*0.475*44/12</f>
        <v>7.9845419293138211E-10</v>
      </c>
      <c r="DI103" s="24">
        <f t="shared" si="69"/>
        <v>5.8377463278744797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-1.1368683772161603E-13</v>
      </c>
      <c r="DP103" s="18">
        <f>DO103*VLOOKUP('Données projet'!$B$14,Paramètres!$A$1:$I$89,3,0)*VLOOKUP('Données projet'!$B$14,Paramètres!$A$1:$I$89,5,0)</f>
        <v>-5.4683368944097308E-14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122.60806128440754</v>
      </c>
      <c r="DU103" s="62">
        <f t="shared" si="98"/>
        <v>73.937252053142004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0</v>
      </c>
      <c r="EP103" s="62">
        <f t="shared" si="100"/>
        <v>0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382.55387448074327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0.53980358597280498</v>
      </c>
      <c r="AA104" s="23">
        <f>EXP(-LN(2)/25)*AA103+(1-EXP(-LN(2)/25))/(LN(2)/25)*Calculateur!V104*Calculateur!X104*VLOOKUP('Données projet'!$B$9,Paramètres!$A$1:$I$89,3,0)*0.475*44/12</f>
        <v>1.4922312275334644</v>
      </c>
      <c r="AB104" s="23">
        <f>EXP(-LN(2)/2)*AB103+(1-EXP(-LN(2)/2))/(LN(2)/2)*V104*Y104*VLOOKUP('Données projet'!$B$9,Paramètres!$A$1:$I$89,3,0)*0.475*44/12</f>
        <v>4.6358239040902723E-10</v>
      </c>
      <c r="AC104" s="24">
        <f t="shared" si="57"/>
        <v>2.0320348139698519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813.78191695834039</v>
      </c>
      <c r="AN104" s="62">
        <f ca="1">AVERAGE(OFFSET($AM$3,0,0,'Données projet'!$E$10+1,1))-AVERAGE(OFFSET($H$3,0,0,'Données projet'!$E$10+1,1))</f>
        <v>269.64423257646359</v>
      </c>
      <c r="AO104" s="62">
        <f t="shared" si="90"/>
        <v>161.0819079811821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8.5265128291212022E-14</v>
      </c>
      <c r="BE104" s="14">
        <f>BD104*VLOOKUP('Données projet'!$B$11,Paramètres!$A$1:$I$89,3,0)*VLOOKUP('Données projet'!$B$11,Paramètres!$A$1:$I$89,5,0)</f>
        <v>3.990408004028723E-14</v>
      </c>
      <c r="BF104" s="14">
        <f t="shared" si="91"/>
        <v>6.6713074187844705E-13</v>
      </c>
      <c r="BG104" s="22">
        <f t="shared" si="61"/>
        <v>1.2314189815084623E-12</v>
      </c>
      <c r="BH104" s="62">
        <f t="shared" si="62"/>
        <v>293.33333333333456</v>
      </c>
      <c r="BI104" s="62">
        <f ca="1">AVERAGE(OFFSET($BH$3,0,0,'Données projet'!$E$11+1,1))-AVERAGE(OFFSET($H$3,0,0,'Données projet'!$E$11+1,1))</f>
        <v>90.797383835887558</v>
      </c>
      <c r="BJ104" s="62">
        <f t="shared" si="92"/>
        <v>104.31413437636684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0.23658910116608678</v>
      </c>
      <c r="BQ104" s="23">
        <f>EXP(-LN(2)/25)*BQ103+(1-EXP(-LN(2)/25))/(LN(2)/25)*Calculateur!BL104*Calculateur!BN104*VLOOKUP('Données projet'!$B$11,Paramètres!$A$1:$I$89,3,0)*0.475*44/12</f>
        <v>0.59262630802154159</v>
      </c>
      <c r="BR104" s="23">
        <f>EXP(-LN(2)/2)*BR103+(1-EXP(-LN(2)/2))/(LN(2)/2)*BL104*BO104*VLOOKUP('Données projet'!$B$11,Paramètres!$A$1:$I$89,3,0)*0.475*44/12</f>
        <v>6.0898247745755105E-11</v>
      </c>
      <c r="BS104" s="24">
        <f t="shared" si="63"/>
        <v>0.82921540924852666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304</v>
      </c>
      <c r="BZ104" s="14">
        <f>BY104*VLOOKUP('Données projet'!$B$12,Paramètres!$A$1:$I$89,3,0)*VLOOKUP('Données projet'!$B$12,Paramètres!$A$1:$I$89,5,0)</f>
        <v>189.696</v>
      </c>
      <c r="CA104" s="14">
        <f t="shared" si="93"/>
        <v>47.472736505152469</v>
      </c>
      <c r="CB104" s="22">
        <f t="shared" si="64"/>
        <v>413.06888274647389</v>
      </c>
      <c r="CC104" s="62">
        <f t="shared" si="65"/>
        <v>706.4022160798072</v>
      </c>
      <c r="CD104" s="62">
        <f ca="1">AVERAGE(OFFSET($CC$3,0,0,'Données projet'!$E$12+1,1))-AVERAGE(OFFSET($H$3,0,0,'Données projet'!$E$12+1,1))</f>
        <v>179.44051550872138</v>
      </c>
      <c r="CE104" s="62">
        <f t="shared" si="94"/>
        <v>272.9500808380069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1.2234787644994514</v>
      </c>
      <c r="CL104" s="23">
        <f>EXP(-LN(2)/25)*CL103+(1-EXP(-LN(2)/25))/(LN(2)/25)*Calculateur!CG104*Calculateur!CI104*VLOOKUP('Données projet'!$B$12,Paramètres!$A$1:$I$89,3,0)*0.475*44/12</f>
        <v>2.8023241989270713</v>
      </c>
      <c r="CM104" s="23">
        <f>EXP(-LN(2)/2)*CM103+(1-EXP(-LN(2)/2))/(LN(2)/2)*CG104*CJ104*VLOOKUP('Données projet'!$B$12,Paramètres!$A$1:$I$89,3,0)*0.475*44/12</f>
        <v>4.2409779814936695E-10</v>
      </c>
      <c r="CN104" s="24">
        <f t="shared" si="66"/>
        <v>4.0258029638506212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277.99999999999994</v>
      </c>
      <c r="CU104" s="18">
        <f>CT104*VLOOKUP('Données projet'!$B$13,Paramètres!$A$1:$I$89,3,0)*VLOOKUP('Données projet'!$B$13,Paramètres!$A$1:$I$89,5,0)</f>
        <v>151.78799999999998</v>
      </c>
      <c r="CV104" s="14">
        <f t="shared" si="95"/>
        <v>38.984634390835623</v>
      </c>
      <c r="CW104" s="22">
        <f t="shared" si="67"/>
        <v>332.26233823070532</v>
      </c>
      <c r="CX104" s="62">
        <f t="shared" si="68"/>
        <v>625.59567156403864</v>
      </c>
      <c r="CY104" s="62">
        <f ca="1">AVERAGE(OFFSET($CX$3,0,0,'Données projet'!$E$13+1,1))-AVERAGE(OFFSET($H$3,0,0,'Données projet'!$E$13+1,1))</f>
        <v>159.92263609041913</v>
      </c>
      <c r="CZ104" s="62">
        <f t="shared" si="96"/>
        <v>271.78119133009307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1.6039998862138944</v>
      </c>
      <c r="DG104" s="23">
        <f>EXP(-LN(2)/25)*DG103+(1-EXP(-LN(2)/25))/(LN(2)/25)*Calculateur!DB104*Calculateur!DD104*VLOOKUP('Données projet'!$B$13,Paramètres!$A$1:$I$89,3,0)*0.475*44/12</f>
        <v>4.086769142374358</v>
      </c>
      <c r="DH104" s="23">
        <f>EXP(-LN(2)/2)*DH103+(1-EXP(-LN(2)/2))/(LN(2)/2)*DB104*DE104*VLOOKUP('Données projet'!$B$13,Paramètres!$A$1:$I$89,3,0)*0.475*44/12</f>
        <v>5.6459237428861221E-10</v>
      </c>
      <c r="DI104" s="24">
        <f t="shared" si="69"/>
        <v>5.690769029152845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-5.4683368944097308E-14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122.60806128440754</v>
      </c>
      <c r="DU104" s="62">
        <f t="shared" si="98"/>
        <v>73.937252053142004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0</v>
      </c>
      <c r="EP104" s="62">
        <f t="shared" si="100"/>
        <v>0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382.55387448074327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0.52921836689955526</v>
      </c>
      <c r="AA105" s="23">
        <f>EXP(-LN(2)/25)*AA104+(1-EXP(-LN(2)/25))/(LN(2)/25)*Calculateur!V105*Calculateur!X105*VLOOKUP('Données projet'!$B$9,Paramètres!$A$1:$I$89,3,0)*0.475*44/12</f>
        <v>1.451426086143532</v>
      </c>
      <c r="AB105" s="23">
        <f>EXP(-LN(2)/2)*AB104+(1-EXP(-LN(2)/2))/(LN(2)/2)*V105*Y105*VLOOKUP('Données projet'!$B$9,Paramètres!$A$1:$I$89,3,0)*0.475*44/12</f>
        <v>3.2780225189689269E-10</v>
      </c>
      <c r="AC105" s="24">
        <f t="shared" si="57"/>
        <v>1.9806444533708896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822.58872132565784</v>
      </c>
      <c r="AN105" s="62">
        <f ca="1">AVERAGE(OFFSET($AM$3,0,0,'Données projet'!$E$10+1,1))-AVERAGE(OFFSET($H$3,0,0,'Données projet'!$E$10+1,1))</f>
        <v>269.64423257646359</v>
      </c>
      <c r="AO105" s="62">
        <f t="shared" si="90"/>
        <v>161.0819079811821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8.5265128291212022E-14</v>
      </c>
      <c r="BE105" s="14">
        <f>BD105*VLOOKUP('Données projet'!$B$11,Paramètres!$A$1:$I$89,3,0)*VLOOKUP('Données projet'!$B$11,Paramètres!$A$1:$I$89,5,0)</f>
        <v>3.990408004028723E-14</v>
      </c>
      <c r="BF105" s="14">
        <f t="shared" si="91"/>
        <v>6.6713074187844705E-13</v>
      </c>
      <c r="BG105" s="22">
        <f t="shared" si="61"/>
        <v>1.2314189815084623E-12</v>
      </c>
      <c r="BH105" s="62">
        <f t="shared" si="62"/>
        <v>293.33333333333456</v>
      </c>
      <c r="BI105" s="62">
        <f ca="1">AVERAGE(OFFSET($BH$3,0,0,'Données projet'!$E$11+1,1))-AVERAGE(OFFSET($H$3,0,0,'Données projet'!$E$11+1,1))</f>
        <v>90.797383835887558</v>
      </c>
      <c r="BJ105" s="62">
        <f t="shared" si="92"/>
        <v>104.31413437636684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0.23194973319732259</v>
      </c>
      <c r="BQ105" s="23">
        <f>EXP(-LN(2)/25)*BQ104+(1-EXP(-LN(2)/25))/(LN(2)/25)*Calculateur!BL105*Calculateur!BN105*VLOOKUP('Données projet'!$B$11,Paramètres!$A$1:$I$89,3,0)*0.475*44/12</f>
        <v>0.57642091046382948</v>
      </c>
      <c r="BR105" s="23">
        <f>EXP(-LN(2)/2)*BR104+(1-EXP(-LN(2)/2))/(LN(2)/2)*BL105*BO105*VLOOKUP('Données projet'!$B$11,Paramètres!$A$1:$I$89,3,0)*0.475*44/12</f>
        <v>4.3061563943401817E-11</v>
      </c>
      <c r="BS105" s="24">
        <f t="shared" si="63"/>
        <v>0.80837064370421363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304</v>
      </c>
      <c r="BZ105" s="14">
        <f>BY105*VLOOKUP('Données projet'!$B$12,Paramètres!$A$1:$I$89,3,0)*VLOOKUP('Données projet'!$B$12,Paramètres!$A$1:$I$89,5,0)</f>
        <v>189.696</v>
      </c>
      <c r="CA105" s="14">
        <f t="shared" si="93"/>
        <v>47.472736505152469</v>
      </c>
      <c r="CB105" s="22">
        <f t="shared" si="64"/>
        <v>413.06888274647389</v>
      </c>
      <c r="CC105" s="62">
        <f t="shared" si="65"/>
        <v>706.4022160798072</v>
      </c>
      <c r="CD105" s="62">
        <f ca="1">AVERAGE(OFFSET($CC$3,0,0,'Données projet'!$E$12+1,1))-AVERAGE(OFFSET($H$3,0,0,'Données projet'!$E$12+1,1))</f>
        <v>179.44051550872138</v>
      </c>
      <c r="CE105" s="62">
        <f t="shared" si="94"/>
        <v>272.9500808380069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1.1994870921759775</v>
      </c>
      <c r="CL105" s="23">
        <f>EXP(-LN(2)/25)*CL104+(1-EXP(-LN(2)/25))/(LN(2)/25)*Calculateur!CG105*Calculateur!CI105*VLOOKUP('Données projet'!$B$12,Paramètres!$A$1:$I$89,3,0)*0.475*44/12</f>
        <v>2.7256944963395857</v>
      </c>
      <c r="CM105" s="23">
        <f>EXP(-LN(2)/2)*CM104+(1-EXP(-LN(2)/2))/(LN(2)/2)*CG105*CJ105*VLOOKUP('Données projet'!$B$12,Paramètres!$A$1:$I$89,3,0)*0.475*44/12</f>
        <v>2.9988242895770101E-10</v>
      </c>
      <c r="CN105" s="24">
        <f t="shared" si="66"/>
        <v>3.9251815888154455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277.99999999999994</v>
      </c>
      <c r="CU105" s="18">
        <f>CT105*VLOOKUP('Données projet'!$B$13,Paramètres!$A$1:$I$89,3,0)*VLOOKUP('Données projet'!$B$13,Paramètres!$A$1:$I$89,5,0)</f>
        <v>151.78799999999998</v>
      </c>
      <c r="CV105" s="14">
        <f t="shared" si="95"/>
        <v>38.984634390835623</v>
      </c>
      <c r="CW105" s="22">
        <f t="shared" si="67"/>
        <v>332.26233823070532</v>
      </c>
      <c r="CX105" s="62">
        <f t="shared" si="68"/>
        <v>625.59567156403864</v>
      </c>
      <c r="CY105" s="62">
        <f ca="1">AVERAGE(OFFSET($CX$3,0,0,'Données projet'!$E$13+1,1))-AVERAGE(OFFSET($H$3,0,0,'Données projet'!$E$13+1,1))</f>
        <v>159.92263609041913</v>
      </c>
      <c r="CZ105" s="62">
        <f t="shared" si="96"/>
        <v>271.78119133009307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1.5725464267885672</v>
      </c>
      <c r="DG105" s="23">
        <f>EXP(-LN(2)/25)*DG104+(1-EXP(-LN(2)/25))/(LN(2)/25)*Calculateur!DB105*Calculateur!DD105*VLOOKUP('Données projet'!$B$13,Paramètres!$A$1:$I$89,3,0)*0.475*44/12</f>
        <v>3.9750162252622823</v>
      </c>
      <c r="DH105" s="23">
        <f>EXP(-LN(2)/2)*DH104+(1-EXP(-LN(2)/2))/(LN(2)/2)*DB105*DE105*VLOOKUP('Données projet'!$B$13,Paramètres!$A$1:$I$89,3,0)*0.475*44/12</f>
        <v>3.9922709646569106E-10</v>
      </c>
      <c r="DI105" s="24">
        <f t="shared" si="69"/>
        <v>5.5475626524500772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-5.4683368944097308E-14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122.60806128440754</v>
      </c>
      <c r="DU105" s="62">
        <f t="shared" si="98"/>
        <v>73.937252053142004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0</v>
      </c>
      <c r="EP105" s="62">
        <f t="shared" si="100"/>
        <v>0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382.55387448074327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0.51884071751598582</v>
      </c>
      <c r="AA106" s="23">
        <f>EXP(-LN(2)/25)*AA105+(1-EXP(-LN(2)/25))/(LN(2)/25)*Calculateur!V106*Calculateur!X106*VLOOKUP('Données projet'!$B$9,Paramètres!$A$1:$I$89,3,0)*0.475*44/12</f>
        <v>1.4117367634907565</v>
      </c>
      <c r="AB106" s="23">
        <f>EXP(-LN(2)/2)*AB105+(1-EXP(-LN(2)/2))/(LN(2)/2)*V106*Y106*VLOOKUP('Données projet'!$B$9,Paramètres!$A$1:$I$89,3,0)*0.475*44/12</f>
        <v>2.3179119520451364E-10</v>
      </c>
      <c r="AC106" s="24">
        <f t="shared" si="57"/>
        <v>1.9305774812385337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831.39244149254591</v>
      </c>
      <c r="AN106" s="62">
        <f ca="1">AVERAGE(OFFSET($AM$3,0,0,'Données projet'!$E$10+1,1))-AVERAGE(OFFSET($H$3,0,0,'Données projet'!$E$10+1,1))</f>
        <v>269.64423257646359</v>
      </c>
      <c r="AO106" s="62">
        <f t="shared" si="90"/>
        <v>161.0819079811821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8.5265128291212022E-14</v>
      </c>
      <c r="BE106" s="14">
        <f>BD106*VLOOKUP('Données projet'!$B$11,Paramètres!$A$1:$I$89,3,0)*VLOOKUP('Données projet'!$B$11,Paramètres!$A$1:$I$89,5,0)</f>
        <v>3.990408004028723E-14</v>
      </c>
      <c r="BF106" s="14">
        <f t="shared" si="91"/>
        <v>6.6713074187844705E-13</v>
      </c>
      <c r="BG106" s="22">
        <f t="shared" si="61"/>
        <v>1.2314189815084623E-12</v>
      </c>
      <c r="BH106" s="62">
        <f t="shared" si="62"/>
        <v>293.33333333333456</v>
      </c>
      <c r="BI106" s="62">
        <f ca="1">AVERAGE(OFFSET($BH$3,0,0,'Données projet'!$E$11+1,1))-AVERAGE(OFFSET($H$3,0,0,'Données projet'!$E$11+1,1))</f>
        <v>90.797383835887558</v>
      </c>
      <c r="BJ106" s="62">
        <f t="shared" si="92"/>
        <v>104.31413437636684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0.22740134040469082</v>
      </c>
      <c r="BQ106" s="23">
        <f>EXP(-LN(2)/25)*BQ105+(1-EXP(-LN(2)/25))/(LN(2)/25)*Calculateur!BL106*Calculateur!BN106*VLOOKUP('Données projet'!$B$11,Paramètres!$A$1:$I$89,3,0)*0.475*44/12</f>
        <v>0.56065865035453777</v>
      </c>
      <c r="BR106" s="23">
        <f>EXP(-LN(2)/2)*BR105+(1-EXP(-LN(2)/2))/(LN(2)/2)*BL106*BO106*VLOOKUP('Données projet'!$B$11,Paramètres!$A$1:$I$89,3,0)*0.475*44/12</f>
        <v>3.0449123872877553E-11</v>
      </c>
      <c r="BS106" s="24">
        <f t="shared" si="63"/>
        <v>0.7880599907896777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304</v>
      </c>
      <c r="BZ106" s="14">
        <f>BY106*VLOOKUP('Données projet'!$B$12,Paramètres!$A$1:$I$89,3,0)*VLOOKUP('Données projet'!$B$12,Paramètres!$A$1:$I$89,5,0)</f>
        <v>189.696</v>
      </c>
      <c r="CA106" s="14">
        <f t="shared" si="93"/>
        <v>47.472736505152469</v>
      </c>
      <c r="CB106" s="22">
        <f t="shared" si="64"/>
        <v>413.06888274647389</v>
      </c>
      <c r="CC106" s="62">
        <f t="shared" si="65"/>
        <v>706.4022160798072</v>
      </c>
      <c r="CD106" s="62">
        <f ca="1">AVERAGE(OFFSET($CC$3,0,0,'Données projet'!$E$12+1,1))-AVERAGE(OFFSET($H$3,0,0,'Données projet'!$E$12+1,1))</f>
        <v>179.44051550872138</v>
      </c>
      <c r="CE106" s="62">
        <f t="shared" si="94"/>
        <v>272.9500808380069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1.1759658819132919</v>
      </c>
      <c r="CL106" s="23">
        <f>EXP(-LN(2)/25)*CL105+(1-EXP(-LN(2)/25))/(LN(2)/25)*Calculateur!CG106*Calculateur!CI106*VLOOKUP('Données projet'!$B$12,Paramètres!$A$1:$I$89,3,0)*0.475*44/12</f>
        <v>2.6511602369991358</v>
      </c>
      <c r="CM106" s="23">
        <f>EXP(-LN(2)/2)*CM105+(1-EXP(-LN(2)/2))/(LN(2)/2)*CG106*CJ106*VLOOKUP('Données projet'!$B$12,Paramètres!$A$1:$I$89,3,0)*0.475*44/12</f>
        <v>2.1204889907468347E-10</v>
      </c>
      <c r="CN106" s="24">
        <f t="shared" si="66"/>
        <v>3.8271261191244768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277.99999999999994</v>
      </c>
      <c r="CU106" s="18">
        <f>CT106*VLOOKUP('Données projet'!$B$13,Paramètres!$A$1:$I$89,3,0)*VLOOKUP('Données projet'!$B$13,Paramètres!$A$1:$I$89,5,0)</f>
        <v>151.78799999999998</v>
      </c>
      <c r="CV106" s="14">
        <f t="shared" si="95"/>
        <v>38.984634390835623</v>
      </c>
      <c r="CW106" s="22">
        <f t="shared" si="67"/>
        <v>332.26233823070532</v>
      </c>
      <c r="CX106" s="62">
        <f t="shared" si="68"/>
        <v>625.59567156403864</v>
      </c>
      <c r="CY106" s="62">
        <f ca="1">AVERAGE(OFFSET($CX$3,0,0,'Données projet'!$E$13+1,1))-AVERAGE(OFFSET($H$3,0,0,'Données projet'!$E$13+1,1))</f>
        <v>159.92263609041913</v>
      </c>
      <c r="CZ106" s="62">
        <f t="shared" si="96"/>
        <v>271.78119133009307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1.5417097505178547</v>
      </c>
      <c r="DG106" s="23">
        <f>EXP(-LN(2)/25)*DG105+(1-EXP(-LN(2)/25))/(LN(2)/25)*Calculateur!DB106*Calculateur!DD106*VLOOKUP('Données projet'!$B$13,Paramètres!$A$1:$I$89,3,0)*0.475*44/12</f>
        <v>3.8663191975454669</v>
      </c>
      <c r="DH106" s="23">
        <f>EXP(-LN(2)/2)*DH105+(1-EXP(-LN(2)/2))/(LN(2)/2)*DB106*DE106*VLOOKUP('Données projet'!$B$13,Paramètres!$A$1:$I$89,3,0)*0.475*44/12</f>
        <v>2.822961871443061E-10</v>
      </c>
      <c r="DI106" s="24">
        <f t="shared" si="69"/>
        <v>5.4080289483456179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-5.4683368944097308E-14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122.60806128440754</v>
      </c>
      <c r="DU106" s="62">
        <f t="shared" si="98"/>
        <v>73.937252053142004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0</v>
      </c>
      <c r="EP106" s="62">
        <f t="shared" si="100"/>
        <v>0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382.55387448074327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0.50866656750708705</v>
      </c>
      <c r="AA107" s="23">
        <f>EXP(-LN(2)/25)*AA106+(1-EXP(-LN(2)/25))/(LN(2)/25)*Calculateur!V107*Calculateur!X107*VLOOKUP('Données projet'!$B$9,Paramètres!$A$1:$I$89,3,0)*0.475*44/12</f>
        <v>1.3731327474530919</v>
      </c>
      <c r="AB107" s="23">
        <f>EXP(-LN(2)/2)*AB106+(1-EXP(-LN(2)/2))/(LN(2)/2)*V107*Y107*VLOOKUP('Données projet'!$B$9,Paramètres!$A$1:$I$89,3,0)*0.475*44/12</f>
        <v>1.6390112594844637E-10</v>
      </c>
      <c r="AC107" s="24">
        <f t="shared" si="57"/>
        <v>1.8817993151240799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840.19313504559477</v>
      </c>
      <c r="AN107" s="62">
        <f ca="1">AVERAGE(OFFSET($AM$3,0,0,'Données projet'!$E$10+1,1))-AVERAGE(OFFSET($H$3,0,0,'Données projet'!$E$10+1,1))</f>
        <v>269.64423257646359</v>
      </c>
      <c r="AO107" s="62">
        <f t="shared" si="90"/>
        <v>161.0819079811821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8.5265128291212022E-14</v>
      </c>
      <c r="BE107" s="14">
        <f>BD107*VLOOKUP('Données projet'!$B$11,Paramètres!$A$1:$I$89,3,0)*VLOOKUP('Données projet'!$B$11,Paramètres!$A$1:$I$89,5,0)</f>
        <v>3.990408004028723E-14</v>
      </c>
      <c r="BF107" s="14">
        <f t="shared" si="91"/>
        <v>6.6713074187844705E-13</v>
      </c>
      <c r="BG107" s="22">
        <f t="shared" si="61"/>
        <v>1.2314189815084623E-12</v>
      </c>
      <c r="BH107" s="62">
        <f t="shared" si="62"/>
        <v>293.33333333333456</v>
      </c>
      <c r="BI107" s="62">
        <f ca="1">AVERAGE(OFFSET($BH$3,0,0,'Données projet'!$E$11+1,1))-AVERAGE(OFFSET($H$3,0,0,'Données projet'!$E$11+1,1))</f>
        <v>90.797383835887558</v>
      </c>
      <c r="BJ107" s="62">
        <f t="shared" si="92"/>
        <v>104.31413437636684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0.22294213882047687</v>
      </c>
      <c r="BQ107" s="23">
        <f>EXP(-LN(2)/25)*BQ106+(1-EXP(-LN(2)/25))/(LN(2)/25)*Calculateur!BL107*Calculateur!BN107*VLOOKUP('Données projet'!$B$11,Paramètres!$A$1:$I$89,3,0)*0.475*44/12</f>
        <v>0.54532741007683594</v>
      </c>
      <c r="BR107" s="23">
        <f>EXP(-LN(2)/2)*BR106+(1-EXP(-LN(2)/2))/(LN(2)/2)*BL107*BO107*VLOOKUP('Données projet'!$B$11,Paramètres!$A$1:$I$89,3,0)*0.475*44/12</f>
        <v>2.1530781971700908E-11</v>
      </c>
      <c r="BS107" s="24">
        <f t="shared" si="63"/>
        <v>0.76826954891884358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304</v>
      </c>
      <c r="BZ107" s="14">
        <f>BY107*VLOOKUP('Données projet'!$B$12,Paramètres!$A$1:$I$89,3,0)*VLOOKUP('Données projet'!$B$12,Paramètres!$A$1:$I$89,5,0)</f>
        <v>189.696</v>
      </c>
      <c r="CA107" s="14">
        <f t="shared" si="93"/>
        <v>47.472736505152469</v>
      </c>
      <c r="CB107" s="22">
        <f t="shared" si="64"/>
        <v>413.06888274647389</v>
      </c>
      <c r="CC107" s="62">
        <f t="shared" si="65"/>
        <v>706.4022160798072</v>
      </c>
      <c r="CD107" s="62">
        <f ca="1">AVERAGE(OFFSET($CC$3,0,0,'Données projet'!$E$12+1,1))-AVERAGE(OFFSET($H$3,0,0,'Données projet'!$E$12+1,1))</f>
        <v>179.44051550872138</v>
      </c>
      <c r="CE107" s="62">
        <f t="shared" si="94"/>
        <v>272.9500808380069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1.1529059082373359</v>
      </c>
      <c r="CL107" s="23">
        <f>EXP(-LN(2)/25)*CL106+(1-EXP(-LN(2)/25))/(LN(2)/25)*Calculateur!CG107*Calculateur!CI107*VLOOKUP('Données projet'!$B$12,Paramètres!$A$1:$I$89,3,0)*0.475*44/12</f>
        <v>2.578664120899937</v>
      </c>
      <c r="CM107" s="23">
        <f>EXP(-LN(2)/2)*CM106+(1-EXP(-LN(2)/2))/(LN(2)/2)*CG107*CJ107*VLOOKUP('Données projet'!$B$12,Paramètres!$A$1:$I$89,3,0)*0.475*44/12</f>
        <v>1.4994121447885051E-10</v>
      </c>
      <c r="CN107" s="24">
        <f t="shared" si="66"/>
        <v>3.731570029287214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277.99999999999994</v>
      </c>
      <c r="CU107" s="18">
        <f>CT107*VLOOKUP('Données projet'!$B$13,Paramètres!$A$1:$I$89,3,0)*VLOOKUP('Données projet'!$B$13,Paramètres!$A$1:$I$89,5,0)</f>
        <v>151.78799999999998</v>
      </c>
      <c r="CV107" s="14">
        <f t="shared" si="95"/>
        <v>38.984634390835623</v>
      </c>
      <c r="CW107" s="22">
        <f t="shared" si="67"/>
        <v>332.26233823070532</v>
      </c>
      <c r="CX107" s="62">
        <f t="shared" si="68"/>
        <v>625.59567156403864</v>
      </c>
      <c r="CY107" s="62">
        <f ca="1">AVERAGE(OFFSET($CX$3,0,0,'Données projet'!$E$13+1,1))-AVERAGE(OFFSET($H$3,0,0,'Données projet'!$E$13+1,1))</f>
        <v>159.92263609041913</v>
      </c>
      <c r="CZ107" s="62">
        <f t="shared" si="96"/>
        <v>271.78119133009307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1.5114777626602955</v>
      </c>
      <c r="DG107" s="23">
        <f>EXP(-LN(2)/25)*DG106+(1-EXP(-LN(2)/25))/(LN(2)/25)*Calculateur!DB107*Calculateur!DD107*VLOOKUP('Données projet'!$B$13,Paramètres!$A$1:$I$89,3,0)*0.475*44/12</f>
        <v>3.760594495767696</v>
      </c>
      <c r="DH107" s="23">
        <f>EXP(-LN(2)/2)*DH106+(1-EXP(-LN(2)/2))/(LN(2)/2)*DB107*DE107*VLOOKUP('Données projet'!$B$13,Paramètres!$A$1:$I$89,3,0)*0.475*44/12</f>
        <v>1.9961354823284553E-10</v>
      </c>
      <c r="DI107" s="24">
        <f t="shared" si="69"/>
        <v>5.2720722586276052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-5.4683368944097308E-14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122.60806128440754</v>
      </c>
      <c r="DU107" s="62">
        <f t="shared" si="98"/>
        <v>73.937252053142004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0</v>
      </c>
      <c r="EP107" s="62">
        <f t="shared" si="100"/>
        <v>0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382.55387448074327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0.49869192637424403</v>
      </c>
      <c r="AA108" s="23">
        <f>EXP(-LN(2)/25)*AA107+(1-EXP(-LN(2)/25))/(LN(2)/25)*Calculateur!V108*Calculateur!X108*VLOOKUP('Données projet'!$B$9,Paramètres!$A$1:$I$89,3,0)*0.475*44/12</f>
        <v>1.3355843602640742</v>
      </c>
      <c r="AB108" s="23">
        <f>EXP(-LN(2)/2)*AB107+(1-EXP(-LN(2)/2))/(LN(2)/2)*V108*Y108*VLOOKUP('Données projet'!$B$9,Paramètres!$A$1:$I$89,3,0)*0.475*44/12</f>
        <v>1.1589559760225685E-10</v>
      </c>
      <c r="AC108" s="24">
        <f t="shared" si="57"/>
        <v>1.8342762867542137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848.99085756649288</v>
      </c>
      <c r="AN108" s="62">
        <f ca="1">AVERAGE(OFFSET($AM$3,0,0,'Données projet'!$E$10+1,1))-AVERAGE(OFFSET($H$3,0,0,'Données projet'!$E$10+1,1))</f>
        <v>269.64423257646359</v>
      </c>
      <c r="AO108" s="62">
        <f t="shared" si="90"/>
        <v>161.0819079811821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8.5265128291212022E-14</v>
      </c>
      <c r="BE108" s="14">
        <f>BD108*VLOOKUP('Données projet'!$B$11,Paramètres!$A$1:$I$89,3,0)*VLOOKUP('Données projet'!$B$11,Paramètres!$A$1:$I$89,5,0)</f>
        <v>3.990408004028723E-14</v>
      </c>
      <c r="BF108" s="14">
        <f t="shared" si="91"/>
        <v>6.6713074187844705E-13</v>
      </c>
      <c r="BG108" s="22">
        <f t="shared" si="61"/>
        <v>1.2314189815084623E-12</v>
      </c>
      <c r="BH108" s="62">
        <f t="shared" si="62"/>
        <v>293.33333333333456</v>
      </c>
      <c r="BI108" s="62">
        <f ca="1">AVERAGE(OFFSET($BH$3,0,0,'Données projet'!$E$11+1,1))-AVERAGE(OFFSET($H$3,0,0,'Données projet'!$E$11+1,1))</f>
        <v>90.797383835887558</v>
      </c>
      <c r="BJ108" s="62">
        <f t="shared" si="92"/>
        <v>104.31413437636684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0.21857037945948496</v>
      </c>
      <c r="BQ108" s="23">
        <f>EXP(-LN(2)/25)*BQ107+(1-EXP(-LN(2)/25))/(LN(2)/25)*Calculateur!BL108*Calculateur!BN108*VLOOKUP('Données projet'!$B$11,Paramètres!$A$1:$I$89,3,0)*0.475*44/12</f>
        <v>0.53041540337076276</v>
      </c>
      <c r="BR108" s="23">
        <f>EXP(-LN(2)/2)*BR107+(1-EXP(-LN(2)/2))/(LN(2)/2)*BL108*BO108*VLOOKUP('Données projet'!$B$11,Paramètres!$A$1:$I$89,3,0)*0.475*44/12</f>
        <v>1.5224561936438776E-11</v>
      </c>
      <c r="BS108" s="24">
        <f t="shared" si="63"/>
        <v>0.74898578284547235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304</v>
      </c>
      <c r="BZ108" s="14">
        <f>BY108*VLOOKUP('Données projet'!$B$12,Paramètres!$A$1:$I$89,3,0)*VLOOKUP('Données projet'!$B$12,Paramètres!$A$1:$I$89,5,0)</f>
        <v>189.696</v>
      </c>
      <c r="CA108" s="14">
        <f t="shared" si="93"/>
        <v>47.472736505152469</v>
      </c>
      <c r="CB108" s="22">
        <f t="shared" si="64"/>
        <v>413.06888274647389</v>
      </c>
      <c r="CC108" s="62">
        <f t="shared" si="65"/>
        <v>706.4022160798072</v>
      </c>
      <c r="CD108" s="62">
        <f ca="1">AVERAGE(OFFSET($CC$3,0,0,'Données projet'!$E$12+1,1))-AVERAGE(OFFSET($H$3,0,0,'Données projet'!$E$12+1,1))</f>
        <v>179.44051550872138</v>
      </c>
      <c r="CE108" s="62">
        <f t="shared" si="94"/>
        <v>272.9500808380069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1.1302981265799701</v>
      </c>
      <c r="CL108" s="23">
        <f>EXP(-LN(2)/25)*CL107+(1-EXP(-LN(2)/25))/(LN(2)/25)*Calculateur!CG108*Calculateur!CI108*VLOOKUP('Données projet'!$B$12,Paramètres!$A$1:$I$89,3,0)*0.475*44/12</f>
        <v>2.5081504149078757</v>
      </c>
      <c r="CM108" s="23">
        <f>EXP(-LN(2)/2)*CM107+(1-EXP(-LN(2)/2))/(LN(2)/2)*CG108*CJ108*VLOOKUP('Données projet'!$B$12,Paramètres!$A$1:$I$89,3,0)*0.475*44/12</f>
        <v>1.0602444953734174E-10</v>
      </c>
      <c r="CN108" s="24">
        <f t="shared" si="66"/>
        <v>3.6384485415938705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277.99999999999994</v>
      </c>
      <c r="CU108" s="18">
        <f>CT108*VLOOKUP('Données projet'!$B$13,Paramètres!$A$1:$I$89,3,0)*VLOOKUP('Données projet'!$B$13,Paramètres!$A$1:$I$89,5,0)</f>
        <v>151.78799999999998</v>
      </c>
      <c r="CV108" s="14">
        <f t="shared" si="95"/>
        <v>38.984634390835623</v>
      </c>
      <c r="CW108" s="22">
        <f t="shared" si="67"/>
        <v>332.26233823070532</v>
      </c>
      <c r="CX108" s="62">
        <f t="shared" si="68"/>
        <v>625.59567156403864</v>
      </c>
      <c r="CY108" s="62">
        <f ca="1">AVERAGE(OFFSET($CX$3,0,0,'Données projet'!$E$13+1,1))-AVERAGE(OFFSET($H$3,0,0,'Données projet'!$E$13+1,1))</f>
        <v>159.92263609041913</v>
      </c>
      <c r="CZ108" s="62">
        <f t="shared" si="96"/>
        <v>271.78119133009307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1.4818386056449313</v>
      </c>
      <c r="DG108" s="23">
        <f>EXP(-LN(2)/25)*DG107+(1-EXP(-LN(2)/25))/(LN(2)/25)*Calculateur!DB108*Calculateur!DD108*VLOOKUP('Données projet'!$B$13,Paramètres!$A$1:$I$89,3,0)*0.475*44/12</f>
        <v>3.6577608415198588</v>
      </c>
      <c r="DH108" s="23">
        <f>EXP(-LN(2)/2)*DH107+(1-EXP(-LN(2)/2))/(LN(2)/2)*DB108*DE108*VLOOKUP('Données projet'!$B$13,Paramètres!$A$1:$I$89,3,0)*0.475*44/12</f>
        <v>1.4114809357215305E-10</v>
      </c>
      <c r="DI108" s="24">
        <f t="shared" si="69"/>
        <v>5.1395994473059385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-5.4683368944097308E-14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122.60806128440754</v>
      </c>
      <c r="DU108" s="62">
        <f t="shared" si="98"/>
        <v>73.937252053142004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0</v>
      </c>
      <c r="EP108" s="62">
        <f t="shared" si="100"/>
        <v>0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382.55387448074327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0.48891288187008569</v>
      </c>
      <c r="AA109" s="23">
        <f>EXP(-LN(2)/25)*AA108+(1-EXP(-LN(2)/25))/(LN(2)/25)*Calculateur!V109*Calculateur!X109*VLOOKUP('Données projet'!$B$9,Paramètres!$A$1:$I$89,3,0)*0.475*44/12</f>
        <v>1.2990627356973241</v>
      </c>
      <c r="AB109" s="23">
        <f>EXP(-LN(2)/2)*AB108+(1-EXP(-LN(2)/2))/(LN(2)/2)*V109*Y109*VLOOKUP('Données projet'!$B$9,Paramètres!$A$1:$I$89,3,0)*0.475*44/12</f>
        <v>8.1950562974223198E-11</v>
      </c>
      <c r="AC109" s="24">
        <f t="shared" si="57"/>
        <v>1.7879756176493604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818.76005837302455</v>
      </c>
      <c r="AN109" s="62">
        <f ca="1">AVERAGE(OFFSET($AM$3,0,0,'Données projet'!$E$10+1,1))-AVERAGE(OFFSET($H$3,0,0,'Données projet'!$E$10+1,1))</f>
        <v>269.64423257646359</v>
      </c>
      <c r="AO109" s="62">
        <f t="shared" si="90"/>
        <v>161.0819079811821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8.5265128291212022E-14</v>
      </c>
      <c r="BE109" s="14">
        <f>BD109*VLOOKUP('Données projet'!$B$11,Paramètres!$A$1:$I$89,3,0)*VLOOKUP('Données projet'!$B$11,Paramètres!$A$1:$I$89,5,0)</f>
        <v>3.990408004028723E-14</v>
      </c>
      <c r="BF109" s="14">
        <f t="shared" si="91"/>
        <v>6.6713074187844705E-13</v>
      </c>
      <c r="BG109" s="22">
        <f t="shared" si="61"/>
        <v>1.2314189815084623E-12</v>
      </c>
      <c r="BH109" s="62">
        <f t="shared" si="62"/>
        <v>293.33333333333456</v>
      </c>
      <c r="BI109" s="62">
        <f ca="1">AVERAGE(OFFSET($BH$3,0,0,'Données projet'!$E$11+1,1))-AVERAGE(OFFSET($H$3,0,0,'Données projet'!$E$11+1,1))</f>
        <v>90.797383835887558</v>
      </c>
      <c r="BJ109" s="62">
        <f t="shared" si="92"/>
        <v>104.31413437636684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0.21428434763305218</v>
      </c>
      <c r="BQ109" s="23">
        <f>EXP(-LN(2)/25)*BQ108+(1-EXP(-LN(2)/25))/(LN(2)/25)*Calculateur!BL109*Calculateur!BN109*VLOOKUP('Données projet'!$B$11,Paramètres!$A$1:$I$89,3,0)*0.475*44/12</f>
        <v>0.51591116627225542</v>
      </c>
      <c r="BR109" s="23">
        <f>EXP(-LN(2)/2)*BR108+(1-EXP(-LN(2)/2))/(LN(2)/2)*BL109*BO109*VLOOKUP('Données projet'!$B$11,Paramètres!$A$1:$I$89,3,0)*0.475*44/12</f>
        <v>1.0765390985850454E-11</v>
      </c>
      <c r="BS109" s="24">
        <f t="shared" si="63"/>
        <v>0.73019551391607296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304</v>
      </c>
      <c r="BZ109" s="14">
        <f>BY109*VLOOKUP('Données projet'!$B$12,Paramètres!$A$1:$I$89,3,0)*VLOOKUP('Données projet'!$B$12,Paramètres!$A$1:$I$89,5,0)</f>
        <v>189.696</v>
      </c>
      <c r="CA109" s="14">
        <f t="shared" si="93"/>
        <v>47.472736505152469</v>
      </c>
      <c r="CB109" s="22">
        <f t="shared" si="64"/>
        <v>413.06888274647389</v>
      </c>
      <c r="CC109" s="62">
        <f t="shared" si="65"/>
        <v>706.4022160798072</v>
      </c>
      <c r="CD109" s="62">
        <f ca="1">AVERAGE(OFFSET($CC$3,0,0,'Données projet'!$E$12+1,1))-AVERAGE(OFFSET($H$3,0,0,'Données projet'!$E$12+1,1))</f>
        <v>179.44051550872138</v>
      </c>
      <c r="CE109" s="62">
        <f t="shared" si="94"/>
        <v>272.9500808380069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1.1081336697315201</v>
      </c>
      <c r="CL109" s="23">
        <f>EXP(-LN(2)/25)*CL108+(1-EXP(-LN(2)/25))/(LN(2)/25)*Calculateur!CG109*Calculateur!CI109*VLOOKUP('Données projet'!$B$12,Paramètres!$A$1:$I$89,3,0)*0.475*44/12</f>
        <v>2.439564909914322</v>
      </c>
      <c r="CM109" s="23">
        <f>EXP(-LN(2)/2)*CM108+(1-EXP(-LN(2)/2))/(LN(2)/2)*CG109*CJ109*VLOOKUP('Données projet'!$B$12,Paramètres!$A$1:$I$89,3,0)*0.475*44/12</f>
        <v>7.4970607239425253E-11</v>
      </c>
      <c r="CN109" s="24">
        <f t="shared" si="66"/>
        <v>3.5476985797208127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277.99999999999994</v>
      </c>
      <c r="CU109" s="18">
        <f>CT109*VLOOKUP('Données projet'!$B$13,Paramètres!$A$1:$I$89,3,0)*VLOOKUP('Données projet'!$B$13,Paramètres!$A$1:$I$89,5,0)</f>
        <v>151.78799999999998</v>
      </c>
      <c r="CV109" s="14">
        <f t="shared" si="95"/>
        <v>38.984634390835623</v>
      </c>
      <c r="CW109" s="22">
        <f t="shared" si="67"/>
        <v>332.26233823070532</v>
      </c>
      <c r="CX109" s="62">
        <f t="shared" si="68"/>
        <v>625.59567156403864</v>
      </c>
      <c r="CY109" s="62">
        <f ca="1">AVERAGE(OFFSET($CX$3,0,0,'Données projet'!$E$13+1,1))-AVERAGE(OFFSET($H$3,0,0,'Données projet'!$E$13+1,1))</f>
        <v>159.92263609041913</v>
      </c>
      <c r="CZ109" s="62">
        <f t="shared" si="96"/>
        <v>271.78119133009307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1.4527806544205377</v>
      </c>
      <c r="DG109" s="23">
        <f>EXP(-LN(2)/25)*DG108+(1-EXP(-LN(2)/25))/(LN(2)/25)*Calculateur!DB109*Calculateur!DD109*VLOOKUP('Données projet'!$B$13,Paramètres!$A$1:$I$89,3,0)*0.475*44/12</f>
        <v>3.5577391789552157</v>
      </c>
      <c r="DH109" s="23">
        <f>EXP(-LN(2)/2)*DH108+(1-EXP(-LN(2)/2))/(LN(2)/2)*DB109*DE109*VLOOKUP('Données projet'!$B$13,Paramètres!$A$1:$I$89,3,0)*0.475*44/12</f>
        <v>9.9806774116422764E-11</v>
      </c>
      <c r="DI109" s="24">
        <f t="shared" si="69"/>
        <v>5.0105198334755601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-5.4683368944097308E-14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122.60806128440754</v>
      </c>
      <c r="DU109" s="62">
        <f t="shared" si="98"/>
        <v>73.937252053142004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0</v>
      </c>
      <c r="EP109" s="62">
        <f t="shared" si="100"/>
        <v>0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382.55387448074327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0.47932559846402573</v>
      </c>
      <c r="AA110" s="23">
        <f>EXP(-LN(2)/25)*AA109+(1-EXP(-LN(2)/25))/(LN(2)/25)*Calculateur!V110*Calculateur!X110*VLOOKUP('Données projet'!$B$9,Paramètres!$A$1:$I$89,3,0)*0.475*44/12</f>
        <v>1.2635397968749407</v>
      </c>
      <c r="AB110" s="23">
        <f>EXP(-LN(2)/2)*AB109+(1-EXP(-LN(2)/2))/(LN(2)/2)*V110*Y110*VLOOKUP('Données projet'!$B$9,Paramètres!$A$1:$I$89,3,0)*0.475*44/12</f>
        <v>5.7947798801128429E-11</v>
      </c>
      <c r="AC110" s="24">
        <f t="shared" si="57"/>
        <v>1.7428653953969142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826.79957739592783</v>
      </c>
      <c r="AN110" s="62">
        <f ca="1">AVERAGE(OFFSET($AM$3,0,0,'Données projet'!$E$10+1,1))-AVERAGE(OFFSET($H$3,0,0,'Données projet'!$E$10+1,1))</f>
        <v>269.64423257646359</v>
      </c>
      <c r="AO110" s="62">
        <f t="shared" si="90"/>
        <v>161.0819079811821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8.5265128291212022E-14</v>
      </c>
      <c r="BE110" s="14">
        <f>BD110*VLOOKUP('Données projet'!$B$11,Paramètres!$A$1:$I$89,3,0)*VLOOKUP('Données projet'!$B$11,Paramètres!$A$1:$I$89,5,0)</f>
        <v>3.990408004028723E-14</v>
      </c>
      <c r="BF110" s="14">
        <f t="shared" si="91"/>
        <v>6.6713074187844705E-13</v>
      </c>
      <c r="BG110" s="22">
        <f t="shared" si="61"/>
        <v>1.2314189815084623E-12</v>
      </c>
      <c r="BH110" s="62">
        <f t="shared" si="62"/>
        <v>293.33333333333456</v>
      </c>
      <c r="BI110" s="62">
        <f ca="1">AVERAGE(OFFSET($BH$3,0,0,'Données projet'!$E$11+1,1))-AVERAGE(OFFSET($H$3,0,0,'Données projet'!$E$11+1,1))</f>
        <v>90.797383835887558</v>
      </c>
      <c r="BJ110" s="62">
        <f t="shared" si="92"/>
        <v>104.31413437636684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0.21008236227651447</v>
      </c>
      <c r="BQ110" s="23">
        <f>EXP(-LN(2)/25)*BQ109+(1-EXP(-LN(2)/25))/(LN(2)/25)*Calculateur!BL110*Calculateur!BN110*VLOOKUP('Données projet'!$B$11,Paramètres!$A$1:$I$89,3,0)*0.475*44/12</f>
        <v>0.50180354829995144</v>
      </c>
      <c r="BR110" s="23">
        <f>EXP(-LN(2)/2)*BR109+(1-EXP(-LN(2)/2))/(LN(2)/2)*BL110*BO110*VLOOKUP('Données projet'!$B$11,Paramètres!$A$1:$I$89,3,0)*0.475*44/12</f>
        <v>7.6122809682193882E-12</v>
      </c>
      <c r="BS110" s="24">
        <f t="shared" si="63"/>
        <v>0.71188591058407813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304</v>
      </c>
      <c r="BZ110" s="14">
        <f>BY110*VLOOKUP('Données projet'!$B$12,Paramètres!$A$1:$I$89,3,0)*VLOOKUP('Données projet'!$B$12,Paramètres!$A$1:$I$89,5,0)</f>
        <v>189.696</v>
      </c>
      <c r="CA110" s="14">
        <f t="shared" si="93"/>
        <v>47.472736505152469</v>
      </c>
      <c r="CB110" s="22">
        <f t="shared" si="64"/>
        <v>413.06888274647389</v>
      </c>
      <c r="CC110" s="62">
        <f t="shared" si="65"/>
        <v>706.4022160798072</v>
      </c>
      <c r="CD110" s="62">
        <f ca="1">AVERAGE(OFFSET($CC$3,0,0,'Données projet'!$E$12+1,1))-AVERAGE(OFFSET($H$3,0,0,'Données projet'!$E$12+1,1))</f>
        <v>179.44051550872138</v>
      </c>
      <c r="CE110" s="62">
        <f t="shared" si="94"/>
        <v>272.9500808380069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1.0864038443628845</v>
      </c>
      <c r="CL110" s="23">
        <f>EXP(-LN(2)/25)*CL109+(1-EXP(-LN(2)/25))/(LN(2)/25)*Calculateur!CG110*Calculateur!CI110*VLOOKUP('Données projet'!$B$12,Paramètres!$A$1:$I$89,3,0)*0.475*44/12</f>
        <v>2.3728548791615718</v>
      </c>
      <c r="CM110" s="23">
        <f>EXP(-LN(2)/2)*CM109+(1-EXP(-LN(2)/2))/(LN(2)/2)*CG110*CJ110*VLOOKUP('Données projet'!$B$12,Paramètres!$A$1:$I$89,3,0)*0.475*44/12</f>
        <v>5.3012224768670868E-11</v>
      </c>
      <c r="CN110" s="24">
        <f t="shared" si="66"/>
        <v>3.4592587235774688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277.99999999999994</v>
      </c>
      <c r="CU110" s="18">
        <f>CT110*VLOOKUP('Données projet'!$B$13,Paramètres!$A$1:$I$89,3,0)*VLOOKUP('Données projet'!$B$13,Paramètres!$A$1:$I$89,5,0)</f>
        <v>151.78799999999998</v>
      </c>
      <c r="CV110" s="14">
        <f t="shared" si="95"/>
        <v>38.984634390835623</v>
      </c>
      <c r="CW110" s="22">
        <f t="shared" si="67"/>
        <v>332.26233823070532</v>
      </c>
      <c r="CX110" s="62">
        <f t="shared" si="68"/>
        <v>625.59567156403864</v>
      </c>
      <c r="CY110" s="62">
        <f ca="1">AVERAGE(OFFSET($CX$3,0,0,'Données projet'!$E$13+1,1))-AVERAGE(OFFSET($H$3,0,0,'Données projet'!$E$13+1,1))</f>
        <v>159.92263609041913</v>
      </c>
      <c r="CZ110" s="62">
        <f t="shared" si="96"/>
        <v>271.78119133009307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1.4242925118960541</v>
      </c>
      <c r="DG110" s="23">
        <f>EXP(-LN(2)/25)*DG109+(1-EXP(-LN(2)/25))/(LN(2)/25)*Calculateur!DB110*Calculateur!DD110*VLOOKUP('Données projet'!$B$13,Paramètres!$A$1:$I$89,3,0)*0.475*44/12</f>
        <v>3.4604526140133132</v>
      </c>
      <c r="DH110" s="23">
        <f>EXP(-LN(2)/2)*DH109+(1-EXP(-LN(2)/2))/(LN(2)/2)*DB110*DE110*VLOOKUP('Données projet'!$B$13,Paramètres!$A$1:$I$89,3,0)*0.475*44/12</f>
        <v>7.0574046786076526E-11</v>
      </c>
      <c r="DI110" s="24">
        <f t="shared" si="69"/>
        <v>4.8847451259799408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-5.4683368944097308E-14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122.60806128440754</v>
      </c>
      <c r="DU110" s="62">
        <f t="shared" si="98"/>
        <v>73.937252053142004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0</v>
      </c>
      <c r="EP110" s="62">
        <f t="shared" si="100"/>
        <v>0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382.55387448074327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0.46992631583789313</v>
      </c>
      <c r="AA111" s="23">
        <f>EXP(-LN(2)/25)*AA110+(1-EXP(-LN(2)/25))/(LN(2)/25)*Calculateur!V111*Calculateur!X111*VLOOKUP('Données projet'!$B$9,Paramètres!$A$1:$I$89,3,0)*0.475*44/12</f>
        <v>1.2289882346827254</v>
      </c>
      <c r="AB111" s="23">
        <f>EXP(-LN(2)/2)*AB110+(1-EXP(-LN(2)/2))/(LN(2)/2)*V111*Y111*VLOOKUP('Données projet'!$B$9,Paramètres!$A$1:$I$89,3,0)*0.475*44/12</f>
        <v>4.0975281487111605E-11</v>
      </c>
      <c r="AC111" s="24">
        <f t="shared" si="57"/>
        <v>1.6989145505615939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834.83654847785351</v>
      </c>
      <c r="AN111" s="62">
        <f ca="1">AVERAGE(OFFSET($AM$3,0,0,'Données projet'!$E$10+1,1))-AVERAGE(OFFSET($H$3,0,0,'Données projet'!$E$10+1,1))</f>
        <v>269.64423257646359</v>
      </c>
      <c r="AO111" s="62">
        <f t="shared" si="90"/>
        <v>161.0819079811821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8.5265128291212022E-14</v>
      </c>
      <c r="BE111" s="14">
        <f>BD111*VLOOKUP('Données projet'!$B$11,Paramètres!$A$1:$I$89,3,0)*VLOOKUP('Données projet'!$B$11,Paramètres!$A$1:$I$89,5,0)</f>
        <v>3.990408004028723E-14</v>
      </c>
      <c r="BF111" s="14">
        <f t="shared" si="91"/>
        <v>6.6713074187844705E-13</v>
      </c>
      <c r="BG111" s="22">
        <f t="shared" si="61"/>
        <v>1.2314189815084623E-12</v>
      </c>
      <c r="BH111" s="62">
        <f t="shared" si="62"/>
        <v>293.33333333333456</v>
      </c>
      <c r="BI111" s="62">
        <f ca="1">AVERAGE(OFFSET($BH$3,0,0,'Données projet'!$E$11+1,1))-AVERAGE(OFFSET($H$3,0,0,'Données projet'!$E$11+1,1))</f>
        <v>90.797383835887558</v>
      </c>
      <c r="BJ111" s="62">
        <f t="shared" si="92"/>
        <v>104.31413437636684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0.20596277528986048</v>
      </c>
      <c r="BQ111" s="23">
        <f>EXP(-LN(2)/25)*BQ110+(1-EXP(-LN(2)/25))/(LN(2)/25)*Calculateur!BL111*Calculateur!BN111*VLOOKUP('Données projet'!$B$11,Paramètres!$A$1:$I$89,3,0)*0.475*44/12</f>
        <v>0.48808170388298755</v>
      </c>
      <c r="BR111" s="23">
        <f>EXP(-LN(2)/2)*BR110+(1-EXP(-LN(2)/2))/(LN(2)/2)*BL111*BO111*VLOOKUP('Données projet'!$B$11,Paramètres!$A$1:$I$89,3,0)*0.475*44/12</f>
        <v>5.3826954929252271E-12</v>
      </c>
      <c r="BS111" s="24">
        <f t="shared" si="63"/>
        <v>0.69404447917823076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304</v>
      </c>
      <c r="BZ111" s="14">
        <f>BY111*VLOOKUP('Données projet'!$B$12,Paramètres!$A$1:$I$89,3,0)*VLOOKUP('Données projet'!$B$12,Paramètres!$A$1:$I$89,5,0)</f>
        <v>189.696</v>
      </c>
      <c r="CA111" s="14">
        <f t="shared" si="93"/>
        <v>47.472736505152469</v>
      </c>
      <c r="CB111" s="22">
        <f t="shared" si="64"/>
        <v>413.06888274647389</v>
      </c>
      <c r="CC111" s="62">
        <f t="shared" si="65"/>
        <v>706.4022160798072</v>
      </c>
      <c r="CD111" s="62">
        <f ca="1">AVERAGE(OFFSET($CC$3,0,0,'Données projet'!$E$12+1,1))-AVERAGE(OFFSET($H$3,0,0,'Données projet'!$E$12+1,1))</f>
        <v>179.44051550872138</v>
      </c>
      <c r="CE111" s="62">
        <f t="shared" si="94"/>
        <v>272.9500808380069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1.0651001276158429</v>
      </c>
      <c r="CL111" s="23">
        <f>EXP(-LN(2)/25)*CL110+(1-EXP(-LN(2)/25))/(LN(2)/25)*Calculateur!CG111*Calculateur!CI111*VLOOKUP('Données projet'!$B$12,Paramètres!$A$1:$I$89,3,0)*0.475*44/12</f>
        <v>2.3079690377078839</v>
      </c>
      <c r="CM111" s="23">
        <f>EXP(-LN(2)/2)*CM110+(1-EXP(-LN(2)/2))/(LN(2)/2)*CG111*CJ111*VLOOKUP('Données projet'!$B$12,Paramètres!$A$1:$I$89,3,0)*0.475*44/12</f>
        <v>3.7485303619712626E-11</v>
      </c>
      <c r="CN111" s="24">
        <f t="shared" si="66"/>
        <v>3.3730691653612119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277.99999999999994</v>
      </c>
      <c r="CU111" s="18">
        <f>CT111*VLOOKUP('Données projet'!$B$13,Paramètres!$A$1:$I$89,3,0)*VLOOKUP('Données projet'!$B$13,Paramètres!$A$1:$I$89,5,0)</f>
        <v>151.78799999999998</v>
      </c>
      <c r="CV111" s="14">
        <f t="shared" si="95"/>
        <v>38.984634390835623</v>
      </c>
      <c r="CW111" s="22">
        <f t="shared" si="67"/>
        <v>332.26233823070532</v>
      </c>
      <c r="CX111" s="62">
        <f t="shared" si="68"/>
        <v>625.59567156403864</v>
      </c>
      <c r="CY111" s="62">
        <f ca="1">AVERAGE(OFFSET($CX$3,0,0,'Données projet'!$E$13+1,1))-AVERAGE(OFFSET($H$3,0,0,'Données projet'!$E$13+1,1))</f>
        <v>159.92263609041913</v>
      </c>
      <c r="CZ111" s="62">
        <f t="shared" si="96"/>
        <v>271.78119133009307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1.3963630044704245</v>
      </c>
      <c r="DG111" s="23">
        <f>EXP(-LN(2)/25)*DG110+(1-EXP(-LN(2)/25))/(LN(2)/25)*Calculateur!DB111*Calculateur!DD111*VLOOKUP('Données projet'!$B$13,Paramètres!$A$1:$I$89,3,0)*0.475*44/12</f>
        <v>3.365826355305825</v>
      </c>
      <c r="DH111" s="23">
        <f>EXP(-LN(2)/2)*DH110+(1-EXP(-LN(2)/2))/(LN(2)/2)*DB111*DE111*VLOOKUP('Données projet'!$B$13,Paramètres!$A$1:$I$89,3,0)*0.475*44/12</f>
        <v>4.9903387058211382E-11</v>
      </c>
      <c r="DI111" s="24">
        <f t="shared" si="69"/>
        <v>4.7621893598261522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-5.4683368944097308E-14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122.60806128440754</v>
      </c>
      <c r="DU111" s="62">
        <f t="shared" si="98"/>
        <v>73.937252053142004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0</v>
      </c>
      <c r="EP111" s="62">
        <f t="shared" si="100"/>
        <v>0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382.55387448074327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0.46071134741106268</v>
      </c>
      <c r="AA112" s="23">
        <f>EXP(-LN(2)/25)*AA111+(1-EXP(-LN(2)/25))/(LN(2)/25)*Calculateur!V112*Calculateur!X112*VLOOKUP('Données projet'!$B$9,Paramètres!$A$1:$I$89,3,0)*0.475*44/12</f>
        <v>1.195381486775644</v>
      </c>
      <c r="AB112" s="23">
        <f>EXP(-LN(2)/2)*AB111+(1-EXP(-LN(2)/2))/(LN(2)/2)*V112*Y112*VLOOKUP('Données projet'!$B$9,Paramètres!$A$1:$I$89,3,0)*0.475*44/12</f>
        <v>2.8973899400564221E-11</v>
      </c>
      <c r="AC112" s="24">
        <f t="shared" si="57"/>
        <v>1.6560928342156807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842.87101477629085</v>
      </c>
      <c r="AN112" s="62">
        <f ca="1">AVERAGE(OFFSET($AM$3,0,0,'Données projet'!$E$10+1,1))-AVERAGE(OFFSET($H$3,0,0,'Données projet'!$E$10+1,1))</f>
        <v>269.64423257646359</v>
      </c>
      <c r="AO112" s="62">
        <f t="shared" si="90"/>
        <v>161.0819079811821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8.5265128291212022E-14</v>
      </c>
      <c r="BE112" s="14">
        <f>BD112*VLOOKUP('Données projet'!$B$11,Paramètres!$A$1:$I$89,3,0)*VLOOKUP('Données projet'!$B$11,Paramètres!$A$1:$I$89,5,0)</f>
        <v>3.990408004028723E-14</v>
      </c>
      <c r="BF112" s="14">
        <f t="shared" si="91"/>
        <v>6.6713074187844705E-13</v>
      </c>
      <c r="BG112" s="22">
        <f t="shared" si="61"/>
        <v>1.2314189815084623E-12</v>
      </c>
      <c r="BH112" s="62">
        <f t="shared" si="62"/>
        <v>293.33333333333456</v>
      </c>
      <c r="BI112" s="62">
        <f ca="1">AVERAGE(OFFSET($BH$3,0,0,'Données projet'!$E$11+1,1))-AVERAGE(OFFSET($H$3,0,0,'Données projet'!$E$11+1,1))</f>
        <v>90.797383835887558</v>
      </c>
      <c r="BJ112" s="62">
        <f t="shared" si="92"/>
        <v>104.31413437636684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0.20192397089131481</v>
      </c>
      <c r="BQ112" s="23">
        <f>EXP(-LN(2)/25)*BQ111+(1-EXP(-LN(2)/25))/(LN(2)/25)*Calculateur!BL112*Calculateur!BN112*VLOOKUP('Données projet'!$B$11,Paramètres!$A$1:$I$89,3,0)*0.475*44/12</f>
        <v>0.47473508402320597</v>
      </c>
      <c r="BR112" s="23">
        <f>EXP(-LN(2)/2)*BR111+(1-EXP(-LN(2)/2))/(LN(2)/2)*BL112*BO112*VLOOKUP('Données projet'!$B$11,Paramètres!$A$1:$I$89,3,0)*0.475*44/12</f>
        <v>3.8061404841096941E-12</v>
      </c>
      <c r="BS112" s="24">
        <f t="shared" si="63"/>
        <v>0.67665905491832701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304</v>
      </c>
      <c r="BZ112" s="14">
        <f>BY112*VLOOKUP('Données projet'!$B$12,Paramètres!$A$1:$I$89,3,0)*VLOOKUP('Données projet'!$B$12,Paramètres!$A$1:$I$89,5,0)</f>
        <v>189.696</v>
      </c>
      <c r="CA112" s="14">
        <f t="shared" si="93"/>
        <v>47.472736505152469</v>
      </c>
      <c r="CB112" s="22">
        <f t="shared" si="64"/>
        <v>413.06888274647389</v>
      </c>
      <c r="CC112" s="62">
        <f t="shared" si="65"/>
        <v>706.4022160798072</v>
      </c>
      <c r="CD112" s="62">
        <f ca="1">AVERAGE(OFFSET($CC$3,0,0,'Données projet'!$E$12+1,1))-AVERAGE(OFFSET($H$3,0,0,'Données projet'!$E$12+1,1))</f>
        <v>179.44051550872138</v>
      </c>
      <c r="CE112" s="62">
        <f t="shared" si="94"/>
        <v>272.9500808380069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1.0442141637602269</v>
      </c>
      <c r="CL112" s="23">
        <f>EXP(-LN(2)/25)*CL111+(1-EXP(-LN(2)/25))/(LN(2)/25)*Calculateur!CG112*Calculateur!CI112*VLOOKUP('Données projet'!$B$12,Paramètres!$A$1:$I$89,3,0)*0.475*44/12</f>
        <v>2.244857503000945</v>
      </c>
      <c r="CM112" s="23">
        <f>EXP(-LN(2)/2)*CM111+(1-EXP(-LN(2)/2))/(LN(2)/2)*CG112*CJ112*VLOOKUP('Données projet'!$B$12,Paramètres!$A$1:$I$89,3,0)*0.475*44/12</f>
        <v>2.6506112384335434E-11</v>
      </c>
      <c r="CN112" s="24">
        <f t="shared" si="66"/>
        <v>3.2890716667876778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277.99999999999994</v>
      </c>
      <c r="CU112" s="18">
        <f>CT112*VLOOKUP('Données projet'!$B$13,Paramètres!$A$1:$I$89,3,0)*VLOOKUP('Données projet'!$B$13,Paramètres!$A$1:$I$89,5,0)</f>
        <v>151.78799999999998</v>
      </c>
      <c r="CV112" s="14">
        <f t="shared" si="95"/>
        <v>38.984634390835623</v>
      </c>
      <c r="CW112" s="22">
        <f t="shared" si="67"/>
        <v>332.26233823070532</v>
      </c>
      <c r="CX112" s="62">
        <f t="shared" si="68"/>
        <v>625.59567156403864</v>
      </c>
      <c r="CY112" s="62">
        <f ca="1">AVERAGE(OFFSET($CX$3,0,0,'Données projet'!$E$13+1,1))-AVERAGE(OFFSET($H$3,0,0,'Données projet'!$E$13+1,1))</f>
        <v>159.92263609041913</v>
      </c>
      <c r="CZ112" s="62">
        <f t="shared" si="96"/>
        <v>271.78119133009307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1.368981177650094</v>
      </c>
      <c r="DG112" s="23">
        <f>EXP(-LN(2)/25)*DG111+(1-EXP(-LN(2)/25))/(LN(2)/25)*Calculateur!DB112*Calculateur!DD112*VLOOKUP('Données projet'!$B$13,Paramètres!$A$1:$I$89,3,0)*0.475*44/12</f>
        <v>3.2737876566188717</v>
      </c>
      <c r="DH112" s="23">
        <f>EXP(-LN(2)/2)*DH111+(1-EXP(-LN(2)/2))/(LN(2)/2)*DB112*DE112*VLOOKUP('Données projet'!$B$13,Paramètres!$A$1:$I$89,3,0)*0.475*44/12</f>
        <v>3.5287023393038263E-11</v>
      </c>
      <c r="DI112" s="24">
        <f t="shared" si="69"/>
        <v>4.6427688343042526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-5.4683368944097308E-14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122.60806128440754</v>
      </c>
      <c r="DU112" s="62">
        <f t="shared" si="98"/>
        <v>73.937252053142004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0</v>
      </c>
      <c r="EP112" s="62">
        <f t="shared" si="100"/>
        <v>0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382.55387448074327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0.45167707889450659</v>
      </c>
      <c r="AA113" s="23">
        <f>EXP(-LN(2)/25)*AA112+(1-EXP(-LN(2)/25))/(LN(2)/25)*Calculateur!V113*Calculateur!X113*VLOOKUP('Données projet'!$B$9,Paramètres!$A$1:$I$89,3,0)*0.475*44/12</f>
        <v>1.1626937171573837</v>
      </c>
      <c r="AB113" s="23">
        <f>EXP(-LN(2)/2)*AB112+(1-EXP(-LN(2)/2))/(LN(2)/2)*V113*Y113*VLOOKUP('Données projet'!$B$9,Paramètres!$A$1:$I$89,3,0)*0.475*44/12</f>
        <v>2.0487640743555806E-11</v>
      </c>
      <c r="AC113" s="24">
        <f t="shared" si="57"/>
        <v>1.6143707960723779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850.90301808359118</v>
      </c>
      <c r="AN113" s="62">
        <f ca="1">AVERAGE(OFFSET($AM$3,0,0,'Données projet'!$E$10+1,1))-AVERAGE(OFFSET($H$3,0,0,'Données projet'!$E$10+1,1))</f>
        <v>269.64423257646359</v>
      </c>
      <c r="AO113" s="62">
        <f t="shared" si="90"/>
        <v>161.0819079811821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8.5265128291212022E-14</v>
      </c>
      <c r="BE113" s="14">
        <f>BD113*VLOOKUP('Données projet'!$B$11,Paramètres!$A$1:$I$89,3,0)*VLOOKUP('Données projet'!$B$11,Paramètres!$A$1:$I$89,5,0)</f>
        <v>3.990408004028723E-14</v>
      </c>
      <c r="BF113" s="14">
        <f t="shared" si="91"/>
        <v>6.6713074187844705E-13</v>
      </c>
      <c r="BG113" s="22">
        <f t="shared" si="61"/>
        <v>1.2314189815084623E-12</v>
      </c>
      <c r="BH113" s="62">
        <f t="shared" si="62"/>
        <v>293.33333333333456</v>
      </c>
      <c r="BI113" s="62">
        <f ca="1">AVERAGE(OFFSET($BH$3,0,0,'Données projet'!$E$11+1,1))-AVERAGE(OFFSET($H$3,0,0,'Données projet'!$E$11+1,1))</f>
        <v>90.797383835887558</v>
      </c>
      <c r="BJ113" s="62">
        <f t="shared" si="92"/>
        <v>104.31413437636684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0.19796436498359718</v>
      </c>
      <c r="BQ113" s="23">
        <f>EXP(-LN(2)/25)*BQ112+(1-EXP(-LN(2)/25))/(LN(2)/25)*Calculateur!BL113*Calculateur!BN113*VLOOKUP('Données projet'!$B$11,Paramètres!$A$1:$I$89,3,0)*0.475*44/12</f>
        <v>0.46175342818535836</v>
      </c>
      <c r="BR113" s="23">
        <f>EXP(-LN(2)/2)*BR112+(1-EXP(-LN(2)/2))/(LN(2)/2)*BL113*BO113*VLOOKUP('Données projet'!$B$11,Paramètres!$A$1:$I$89,3,0)*0.475*44/12</f>
        <v>2.6913477464626136E-12</v>
      </c>
      <c r="BS113" s="24">
        <f t="shared" si="63"/>
        <v>0.65971779317164692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304</v>
      </c>
      <c r="BZ113" s="14">
        <f>BY113*VLOOKUP('Données projet'!$B$12,Paramètres!$A$1:$I$89,3,0)*VLOOKUP('Données projet'!$B$12,Paramètres!$A$1:$I$89,5,0)</f>
        <v>189.696</v>
      </c>
      <c r="CA113" s="14">
        <f t="shared" si="93"/>
        <v>47.472736505152469</v>
      </c>
      <c r="CB113" s="22">
        <f t="shared" si="64"/>
        <v>413.06888274647389</v>
      </c>
      <c r="CC113" s="62">
        <f t="shared" si="65"/>
        <v>706.4022160798072</v>
      </c>
      <c r="CD113" s="62">
        <f ca="1">AVERAGE(OFFSET($CC$3,0,0,'Données projet'!$E$12+1,1))-AVERAGE(OFFSET($H$3,0,0,'Données projet'!$E$12+1,1))</f>
        <v>179.44051550872138</v>
      </c>
      <c r="CE113" s="62">
        <f t="shared" si="94"/>
        <v>272.9500808380069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1.0237377609166394</v>
      </c>
      <c r="CL113" s="23">
        <f>EXP(-LN(2)/25)*CL112+(1-EXP(-LN(2)/25))/(LN(2)/25)*Calculateur!CG113*Calculateur!CI113*VLOOKUP('Données projet'!$B$12,Paramètres!$A$1:$I$89,3,0)*0.475*44/12</f>
        <v>2.1834717565294586</v>
      </c>
      <c r="CM113" s="23">
        <f>EXP(-LN(2)/2)*CM112+(1-EXP(-LN(2)/2))/(LN(2)/2)*CG113*CJ113*VLOOKUP('Données projet'!$B$12,Paramètres!$A$1:$I$89,3,0)*0.475*44/12</f>
        <v>1.8742651809856313E-11</v>
      </c>
      <c r="CN113" s="24">
        <f t="shared" si="66"/>
        <v>3.207209517464841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277.99999999999994</v>
      </c>
      <c r="CU113" s="18">
        <f>CT113*VLOOKUP('Données projet'!$B$13,Paramètres!$A$1:$I$89,3,0)*VLOOKUP('Données projet'!$B$13,Paramètres!$A$1:$I$89,5,0)</f>
        <v>151.78799999999998</v>
      </c>
      <c r="CV113" s="14">
        <f t="shared" si="95"/>
        <v>38.984634390835623</v>
      </c>
      <c r="CW113" s="22">
        <f t="shared" si="67"/>
        <v>332.26233823070532</v>
      </c>
      <c r="CX113" s="62">
        <f t="shared" si="68"/>
        <v>625.59567156403864</v>
      </c>
      <c r="CY113" s="62">
        <f ca="1">AVERAGE(OFFSET($CX$3,0,0,'Données projet'!$E$13+1,1))-AVERAGE(OFFSET($H$3,0,0,'Données projet'!$E$13+1,1))</f>
        <v>159.92263609041913</v>
      </c>
      <c r="CZ113" s="62">
        <f t="shared" si="96"/>
        <v>271.78119133009307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1.3421362917524451</v>
      </c>
      <c r="DG113" s="23">
        <f>EXP(-LN(2)/25)*DG112+(1-EXP(-LN(2)/25))/(LN(2)/25)*Calculateur!DB113*Calculateur!DD113*VLOOKUP('Données projet'!$B$13,Paramètres!$A$1:$I$89,3,0)*0.475*44/12</f>
        <v>3.1842657609876182</v>
      </c>
      <c r="DH113" s="23">
        <f>EXP(-LN(2)/2)*DH112+(1-EXP(-LN(2)/2))/(LN(2)/2)*DB113*DE113*VLOOKUP('Données projet'!$B$13,Paramètres!$A$1:$I$89,3,0)*0.475*44/12</f>
        <v>2.4951693529105691E-11</v>
      </c>
      <c r="DI113" s="24">
        <f t="shared" si="69"/>
        <v>4.5264020527650146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-5.4683368944097308E-14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122.60806128440754</v>
      </c>
      <c r="DU113" s="62">
        <f t="shared" si="98"/>
        <v>73.937252053142004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0</v>
      </c>
      <c r="EP113" s="62">
        <f t="shared" si="100"/>
        <v>0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382.55387448074327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0.44281996687320047</v>
      </c>
      <c r="AA114" s="23">
        <f>EXP(-LN(2)/25)*AA113+(1-EXP(-LN(2)/25))/(LN(2)/25)*Calculateur!V114*Calculateur!X114*VLOOKUP('Données projet'!$B$9,Paramètres!$A$1:$I$89,3,0)*0.475*44/12</f>
        <v>1.1308997963183098</v>
      </c>
      <c r="AB114" s="23">
        <f>EXP(-LN(2)/2)*AB113+(1-EXP(-LN(2)/2))/(LN(2)/2)*V114*Y114*VLOOKUP('Données projet'!$B$9,Paramètres!$A$1:$I$89,3,0)*0.475*44/12</f>
        <v>1.4486949700282112E-11</v>
      </c>
      <c r="AC114" s="24">
        <f t="shared" si="57"/>
        <v>1.5737197632059972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821.82303552923008</v>
      </c>
      <c r="AN114" s="62">
        <f ca="1">AVERAGE(OFFSET($AM$3,0,0,'Données projet'!$E$10+1,1))-AVERAGE(OFFSET($H$3,0,0,'Données projet'!$E$10+1,1))</f>
        <v>269.64423257646359</v>
      </c>
      <c r="AO114" s="62">
        <f t="shared" si="90"/>
        <v>161.0819079811821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8.5265128291212022E-14</v>
      </c>
      <c r="BE114" s="14">
        <f>BD114*VLOOKUP('Données projet'!$B$11,Paramètres!$A$1:$I$89,3,0)*VLOOKUP('Données projet'!$B$11,Paramètres!$A$1:$I$89,5,0)</f>
        <v>3.990408004028723E-14</v>
      </c>
      <c r="BF114" s="14">
        <f t="shared" si="91"/>
        <v>6.6713074187844705E-13</v>
      </c>
      <c r="BG114" s="22">
        <f t="shared" si="61"/>
        <v>1.2314189815084623E-12</v>
      </c>
      <c r="BH114" s="62">
        <f t="shared" si="62"/>
        <v>293.33333333333456</v>
      </c>
      <c r="BI114" s="62">
        <f ca="1">AVERAGE(OFFSET($BH$3,0,0,'Données projet'!$E$11+1,1))-AVERAGE(OFFSET($H$3,0,0,'Données projet'!$E$11+1,1))</f>
        <v>90.797383835887558</v>
      </c>
      <c r="BJ114" s="62">
        <f t="shared" si="92"/>
        <v>104.31413437636684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0.19408240453260878</v>
      </c>
      <c r="BQ114" s="23">
        <f>EXP(-LN(2)/25)*BQ113+(1-EXP(-LN(2)/25))/(LN(2)/25)*Calculateur!BL114*Calculateur!BN114*VLOOKUP('Données projet'!$B$11,Paramètres!$A$1:$I$89,3,0)*0.475*44/12</f>
        <v>0.44912675640907229</v>
      </c>
      <c r="BR114" s="23">
        <f>EXP(-LN(2)/2)*BR113+(1-EXP(-LN(2)/2))/(LN(2)/2)*BL114*BO114*VLOOKUP('Données projet'!$B$11,Paramètres!$A$1:$I$89,3,0)*0.475*44/12</f>
        <v>1.903070242054847E-12</v>
      </c>
      <c r="BS114" s="24">
        <f t="shared" si="63"/>
        <v>0.64320916094358405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304</v>
      </c>
      <c r="BZ114" s="14">
        <f>BY114*VLOOKUP('Données projet'!$B$12,Paramètres!$A$1:$I$89,3,0)*VLOOKUP('Données projet'!$B$12,Paramètres!$A$1:$I$89,5,0)</f>
        <v>189.696</v>
      </c>
      <c r="CA114" s="14">
        <f t="shared" si="93"/>
        <v>47.472736505152469</v>
      </c>
      <c r="CB114" s="22">
        <f t="shared" si="64"/>
        <v>413.06888274647389</v>
      </c>
      <c r="CC114" s="62">
        <f t="shared" si="65"/>
        <v>706.4022160798072</v>
      </c>
      <c r="CD114" s="62">
        <f ca="1">AVERAGE(OFFSET($CC$3,0,0,'Données projet'!$E$12+1,1))-AVERAGE(OFFSET($H$3,0,0,'Données projet'!$E$12+1,1))</f>
        <v>179.44051550872138</v>
      </c>
      <c r="CE114" s="62">
        <f t="shared" si="94"/>
        <v>272.9500808380069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1.0036628878434419</v>
      </c>
      <c r="CL114" s="23">
        <f>EXP(-LN(2)/25)*CL113+(1-EXP(-LN(2)/25))/(LN(2)/25)*Calculateur!CG114*Calculateur!CI114*VLOOKUP('Données projet'!$B$12,Paramètres!$A$1:$I$89,3,0)*0.475*44/12</f>
        <v>2.1237646065233711</v>
      </c>
      <c r="CM114" s="23">
        <f>EXP(-LN(2)/2)*CM113+(1-EXP(-LN(2)/2))/(LN(2)/2)*CG114*CJ114*VLOOKUP('Données projet'!$B$12,Paramètres!$A$1:$I$89,3,0)*0.475*44/12</f>
        <v>1.3253056192167717E-11</v>
      </c>
      <c r="CN114" s="24">
        <f t="shared" si="66"/>
        <v>3.1274274943800662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277.99999999999994</v>
      </c>
      <c r="CU114" s="18">
        <f>CT114*VLOOKUP('Données projet'!$B$13,Paramètres!$A$1:$I$89,3,0)*VLOOKUP('Données projet'!$B$13,Paramètres!$A$1:$I$89,5,0)</f>
        <v>151.78799999999998</v>
      </c>
      <c r="CV114" s="14">
        <f t="shared" si="95"/>
        <v>38.984634390835623</v>
      </c>
      <c r="CW114" s="22">
        <f t="shared" si="67"/>
        <v>332.26233823070532</v>
      </c>
      <c r="CX114" s="62">
        <f t="shared" si="68"/>
        <v>625.59567156403864</v>
      </c>
      <c r="CY114" s="62">
        <f ca="1">AVERAGE(OFFSET($CX$3,0,0,'Données projet'!$E$13+1,1))-AVERAGE(OFFSET($H$3,0,0,'Données projet'!$E$13+1,1))</f>
        <v>159.92263609041913</v>
      </c>
      <c r="CZ114" s="62">
        <f t="shared" si="96"/>
        <v>271.78119133009307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1.3158178176934854</v>
      </c>
      <c r="DG114" s="23">
        <f>EXP(-LN(2)/25)*DG113+(1-EXP(-LN(2)/25))/(LN(2)/25)*Calculateur!DB114*Calculateur!DD114*VLOOKUP('Données projet'!$B$13,Paramètres!$A$1:$I$89,3,0)*0.475*44/12</f>
        <v>3.0971918463001531</v>
      </c>
      <c r="DH114" s="23">
        <f>EXP(-LN(2)/2)*DH113+(1-EXP(-LN(2)/2))/(LN(2)/2)*DB114*DE114*VLOOKUP('Données projet'!$B$13,Paramètres!$A$1:$I$89,3,0)*0.475*44/12</f>
        <v>1.7643511696519131E-11</v>
      </c>
      <c r="DI114" s="24">
        <f t="shared" si="69"/>
        <v>4.4130096640112821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-5.4683368944097308E-14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122.60806128440754</v>
      </c>
      <c r="DU114" s="62">
        <f t="shared" si="98"/>
        <v>73.937252053142004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0</v>
      </c>
      <c r="EP114" s="62">
        <f t="shared" si="100"/>
        <v>0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382.55387448074327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0.43413653741632729</v>
      </c>
      <c r="AA115" s="23">
        <f>EXP(-LN(2)/25)*AA114+(1-EXP(-LN(2)/25))/(LN(2)/25)*Calculateur!V115*Calculateur!X115*VLOOKUP('Données projet'!$B$9,Paramètres!$A$1:$I$89,3,0)*0.475*44/12</f>
        <v>1.09997528191655</v>
      </c>
      <c r="AB115" s="23">
        <f>EXP(-LN(2)/2)*AB114+(1-EXP(-LN(2)/2))/(LN(2)/2)*V115*Y115*VLOOKUP('Données projet'!$B$9,Paramètres!$A$1:$I$89,3,0)*0.475*44/12</f>
        <v>1.0243820371777905E-11</v>
      </c>
      <c r="AC115" s="24">
        <f t="shared" si="57"/>
        <v>1.5341118193431211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829.09611292828231</v>
      </c>
      <c r="AN115" s="62">
        <f ca="1">AVERAGE(OFFSET($AM$3,0,0,'Données projet'!$E$10+1,1))-AVERAGE(OFFSET($H$3,0,0,'Données projet'!$E$10+1,1))</f>
        <v>269.64423257646359</v>
      </c>
      <c r="AO115" s="62">
        <f t="shared" si="90"/>
        <v>161.0819079811821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8.5265128291212022E-14</v>
      </c>
      <c r="BE115" s="14">
        <f>BD115*VLOOKUP('Données projet'!$B$11,Paramètres!$A$1:$I$89,3,0)*VLOOKUP('Données projet'!$B$11,Paramètres!$A$1:$I$89,5,0)</f>
        <v>3.990408004028723E-14</v>
      </c>
      <c r="BF115" s="14">
        <f t="shared" si="91"/>
        <v>6.6713074187844705E-13</v>
      </c>
      <c r="BG115" s="22">
        <f t="shared" si="61"/>
        <v>1.2314189815084623E-12</v>
      </c>
      <c r="BH115" s="62">
        <f t="shared" si="62"/>
        <v>293.33333333333456</v>
      </c>
      <c r="BI115" s="62">
        <f ca="1">AVERAGE(OFFSET($BH$3,0,0,'Données projet'!$E$11+1,1))-AVERAGE(OFFSET($H$3,0,0,'Données projet'!$E$11+1,1))</f>
        <v>90.797383835887558</v>
      </c>
      <c r="BJ115" s="62">
        <f t="shared" si="92"/>
        <v>104.31413437636684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0.19027656695830217</v>
      </c>
      <c r="BQ115" s="23">
        <f>EXP(-LN(2)/25)*BQ114+(1-EXP(-LN(2)/25))/(LN(2)/25)*Calculateur!BL115*Calculateur!BN115*VLOOKUP('Données projet'!$B$11,Paramètres!$A$1:$I$89,3,0)*0.475*44/12</f>
        <v>0.4368453616365166</v>
      </c>
      <c r="BR115" s="23">
        <f>EXP(-LN(2)/2)*BR114+(1-EXP(-LN(2)/2))/(LN(2)/2)*BL115*BO115*VLOOKUP('Données projet'!$B$11,Paramètres!$A$1:$I$89,3,0)*0.475*44/12</f>
        <v>1.3456738732313068E-12</v>
      </c>
      <c r="BS115" s="24">
        <f t="shared" si="63"/>
        <v>0.62712192859616445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304</v>
      </c>
      <c r="BZ115" s="14">
        <f>BY115*VLOOKUP('Données projet'!$B$12,Paramètres!$A$1:$I$89,3,0)*VLOOKUP('Données projet'!$B$12,Paramètres!$A$1:$I$89,5,0)</f>
        <v>189.696</v>
      </c>
      <c r="CA115" s="14">
        <f t="shared" si="93"/>
        <v>47.472736505152469</v>
      </c>
      <c r="CB115" s="22">
        <f t="shared" si="64"/>
        <v>413.06888274647389</v>
      </c>
      <c r="CC115" s="62">
        <f t="shared" si="65"/>
        <v>706.4022160798072</v>
      </c>
      <c r="CD115" s="62">
        <f ca="1">AVERAGE(OFFSET($CC$3,0,0,'Données projet'!$E$12+1,1))-AVERAGE(OFFSET($H$3,0,0,'Données projet'!$E$12+1,1))</f>
        <v>179.44051550872138</v>
      </c>
      <c r="CE115" s="62">
        <f t="shared" si="94"/>
        <v>272.9500808380069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0.98398167078674648</v>
      </c>
      <c r="CL115" s="23">
        <f>EXP(-LN(2)/25)*CL114+(1-EXP(-LN(2)/25))/(LN(2)/25)*Calculateur!CG115*Calculateur!CI115*VLOOKUP('Données projet'!$B$12,Paramètres!$A$1:$I$89,3,0)*0.475*44/12</f>
        <v>2.0656901516740627</v>
      </c>
      <c r="CM115" s="23">
        <f>EXP(-LN(2)/2)*CM114+(1-EXP(-LN(2)/2))/(LN(2)/2)*CG115*CJ115*VLOOKUP('Données projet'!$B$12,Paramètres!$A$1:$I$89,3,0)*0.475*44/12</f>
        <v>9.3713259049281566E-12</v>
      </c>
      <c r="CN115" s="24">
        <f t="shared" si="66"/>
        <v>3.0496718224701804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277.99999999999994</v>
      </c>
      <c r="CU115" s="18">
        <f>CT115*VLOOKUP('Données projet'!$B$13,Paramètres!$A$1:$I$89,3,0)*VLOOKUP('Données projet'!$B$13,Paramètres!$A$1:$I$89,5,0)</f>
        <v>151.78799999999998</v>
      </c>
      <c r="CV115" s="14">
        <f t="shared" si="95"/>
        <v>38.984634390835623</v>
      </c>
      <c r="CW115" s="22">
        <f t="shared" si="67"/>
        <v>332.26233823070532</v>
      </c>
      <c r="CX115" s="62">
        <f t="shared" si="68"/>
        <v>625.59567156403864</v>
      </c>
      <c r="CY115" s="62">
        <f ca="1">AVERAGE(OFFSET($CX$3,0,0,'Données projet'!$E$13+1,1))-AVERAGE(OFFSET($H$3,0,0,'Données projet'!$E$13+1,1))</f>
        <v>159.92263609041913</v>
      </c>
      <c r="CZ115" s="62">
        <f t="shared" si="96"/>
        <v>271.78119133009307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1.2900154328581377</v>
      </c>
      <c r="DG115" s="23">
        <f>EXP(-LN(2)/25)*DG114+(1-EXP(-LN(2)/25))/(LN(2)/25)*Calculateur!DB115*Calculateur!DD115*VLOOKUP('Données projet'!$B$13,Paramètres!$A$1:$I$89,3,0)*0.475*44/12</f>
        <v>3.0124989723888351</v>
      </c>
      <c r="DH115" s="23">
        <f>EXP(-LN(2)/2)*DH114+(1-EXP(-LN(2)/2))/(LN(2)/2)*DB115*DE115*VLOOKUP('Données projet'!$B$13,Paramètres!$A$1:$I$89,3,0)*0.475*44/12</f>
        <v>1.2475846764552846E-11</v>
      </c>
      <c r="DI115" s="24">
        <f t="shared" si="69"/>
        <v>4.3025144052594486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-5.4683368944097308E-14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122.60806128440754</v>
      </c>
      <c r="DU115" s="62">
        <f t="shared" si="98"/>
        <v>73.937252053142004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0</v>
      </c>
      <c r="EP115" s="62">
        <f t="shared" si="100"/>
        <v>0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382.55387448074327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0.42562338471473438</v>
      </c>
      <c r="AA116" s="23">
        <f>EXP(-LN(2)/25)*AA115+(1-EXP(-LN(2)/25))/(LN(2)/25)*Calculateur!V116*Calculateur!X116*VLOOKUP('Données projet'!$B$9,Paramètres!$A$1:$I$89,3,0)*0.475*44/12</f>
        <v>1.0698963999873559</v>
      </c>
      <c r="AB116" s="23">
        <f>EXP(-LN(2)/2)*AB115+(1-EXP(-LN(2)/2))/(LN(2)/2)*V116*Y116*VLOOKUP('Données projet'!$B$9,Paramètres!$A$1:$I$89,3,0)*0.475*44/12</f>
        <v>7.2434748501410569E-12</v>
      </c>
      <c r="AC116" s="24">
        <f t="shared" si="57"/>
        <v>1.4955197847093338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836.36711482633996</v>
      </c>
      <c r="AN116" s="62">
        <f ca="1">AVERAGE(OFFSET($AM$3,0,0,'Données projet'!$E$10+1,1))-AVERAGE(OFFSET($H$3,0,0,'Données projet'!$E$10+1,1))</f>
        <v>269.64423257646359</v>
      </c>
      <c r="AO116" s="62">
        <f t="shared" si="90"/>
        <v>161.0819079811821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8.5265128291212022E-14</v>
      </c>
      <c r="BE116" s="14">
        <f>BD116*VLOOKUP('Données projet'!$B$11,Paramètres!$A$1:$I$89,3,0)*VLOOKUP('Données projet'!$B$11,Paramètres!$A$1:$I$89,5,0)</f>
        <v>3.990408004028723E-14</v>
      </c>
      <c r="BF116" s="14">
        <f t="shared" si="91"/>
        <v>6.6713074187844705E-13</v>
      </c>
      <c r="BG116" s="22">
        <f t="shared" si="61"/>
        <v>1.2314189815084623E-12</v>
      </c>
      <c r="BH116" s="62">
        <f t="shared" si="62"/>
        <v>293.33333333333456</v>
      </c>
      <c r="BI116" s="62">
        <f ca="1">AVERAGE(OFFSET($BH$3,0,0,'Données projet'!$E$11+1,1))-AVERAGE(OFFSET($H$3,0,0,'Données projet'!$E$11+1,1))</f>
        <v>90.797383835887558</v>
      </c>
      <c r="BJ116" s="62">
        <f t="shared" si="92"/>
        <v>104.31413437636684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0.18654535953749601</v>
      </c>
      <c r="BQ116" s="23">
        <f>EXP(-LN(2)/25)*BQ115+(1-EXP(-LN(2)/25))/(LN(2)/25)*Calculateur!BL116*Calculateur!BN116*VLOOKUP('Données projet'!$B$11,Paramètres!$A$1:$I$89,3,0)*0.475*44/12</f>
        <v>0.4248998022498669</v>
      </c>
      <c r="BR116" s="23">
        <f>EXP(-LN(2)/2)*BR115+(1-EXP(-LN(2)/2))/(LN(2)/2)*BL116*BO116*VLOOKUP('Données projet'!$B$11,Paramètres!$A$1:$I$89,3,0)*0.475*44/12</f>
        <v>9.5153512102742352E-13</v>
      </c>
      <c r="BS116" s="24">
        <f t="shared" si="63"/>
        <v>0.61144516178831443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304</v>
      </c>
      <c r="BZ116" s="14">
        <f>BY116*VLOOKUP('Données projet'!$B$12,Paramètres!$A$1:$I$89,3,0)*VLOOKUP('Données projet'!$B$12,Paramètres!$A$1:$I$89,5,0)</f>
        <v>189.696</v>
      </c>
      <c r="CA116" s="14">
        <f t="shared" si="93"/>
        <v>47.472736505152469</v>
      </c>
      <c r="CB116" s="22">
        <f t="shared" si="64"/>
        <v>413.06888274647389</v>
      </c>
      <c r="CC116" s="62">
        <f t="shared" si="65"/>
        <v>706.4022160798072</v>
      </c>
      <c r="CD116" s="62">
        <f ca="1">AVERAGE(OFFSET($CC$3,0,0,'Données projet'!$E$12+1,1))-AVERAGE(OFFSET($H$3,0,0,'Données projet'!$E$12+1,1))</f>
        <v>179.44051550872138</v>
      </c>
      <c r="CE116" s="62">
        <f t="shared" si="94"/>
        <v>272.9500808380069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0.96468639039217574</v>
      </c>
      <c r="CL116" s="23">
        <f>EXP(-LN(2)/25)*CL115+(1-EXP(-LN(2)/25))/(LN(2)/25)*Calculateur!CG116*Calculateur!CI116*VLOOKUP('Données projet'!$B$12,Paramètres!$A$1:$I$89,3,0)*0.475*44/12</f>
        <v>2.0092037458466114</v>
      </c>
      <c r="CM116" s="23">
        <f>EXP(-LN(2)/2)*CM115+(1-EXP(-LN(2)/2))/(LN(2)/2)*CG116*CJ116*VLOOKUP('Données projet'!$B$12,Paramètres!$A$1:$I$89,3,0)*0.475*44/12</f>
        <v>6.6265280960838585E-12</v>
      </c>
      <c r="CN116" s="24">
        <f t="shared" si="66"/>
        <v>2.973890136245414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277.99999999999994</v>
      </c>
      <c r="CU116" s="18">
        <f>CT116*VLOOKUP('Données projet'!$B$13,Paramètres!$A$1:$I$89,3,0)*VLOOKUP('Données projet'!$B$13,Paramètres!$A$1:$I$89,5,0)</f>
        <v>151.78799999999998</v>
      </c>
      <c r="CV116" s="14">
        <f t="shared" si="95"/>
        <v>38.984634390835623</v>
      </c>
      <c r="CW116" s="22">
        <f t="shared" si="67"/>
        <v>332.26233823070532</v>
      </c>
      <c r="CX116" s="62">
        <f t="shared" si="68"/>
        <v>625.59567156403864</v>
      </c>
      <c r="CY116" s="62">
        <f ca="1">AVERAGE(OFFSET($CX$3,0,0,'Données projet'!$E$13+1,1))-AVERAGE(OFFSET($H$3,0,0,'Données projet'!$E$13+1,1))</f>
        <v>159.92263609041913</v>
      </c>
      <c r="CZ116" s="62">
        <f t="shared" si="96"/>
        <v>271.78119133009307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1.2647190170515106</v>
      </c>
      <c r="DG116" s="23">
        <f>EXP(-LN(2)/25)*DG115+(1-EXP(-LN(2)/25))/(LN(2)/25)*Calculateur!DB116*Calculateur!DD116*VLOOKUP('Données projet'!$B$13,Paramètres!$A$1:$I$89,3,0)*0.475*44/12</f>
        <v>2.9301220295684267</v>
      </c>
      <c r="DH116" s="23">
        <f>EXP(-LN(2)/2)*DH115+(1-EXP(-LN(2)/2))/(LN(2)/2)*DB116*DE116*VLOOKUP('Données projet'!$B$13,Paramètres!$A$1:$I$89,3,0)*0.475*44/12</f>
        <v>8.8217558482595657E-12</v>
      </c>
      <c r="DI116" s="24">
        <f t="shared" si="69"/>
        <v>4.1948410466287589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-5.4683368944097308E-14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122.60806128440754</v>
      </c>
      <c r="DU116" s="62">
        <f t="shared" si="98"/>
        <v>73.937252053142004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0</v>
      </c>
      <c r="EP116" s="62">
        <f t="shared" si="100"/>
        <v>0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382.55387448074327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0.41727716974510926</v>
      </c>
      <c r="AA117" s="23">
        <f>EXP(-LN(2)/25)*AA116+(1-EXP(-LN(2)/25))/(LN(2)/25)*Calculateur!V117*Calculateur!X117*VLOOKUP('Données projet'!$B$9,Paramètres!$A$1:$I$89,3,0)*0.475*44/12</f>
        <v>1.0406400266662952</v>
      </c>
      <c r="AB117" s="23">
        <f>EXP(-LN(2)/2)*AB116+(1-EXP(-LN(2)/2))/(LN(2)/2)*V117*Y117*VLOOKUP('Données projet'!$B$9,Paramètres!$A$1:$I$89,3,0)*0.475*44/12</f>
        <v>5.1219101858889531E-12</v>
      </c>
      <c r="AC117" s="24">
        <f t="shared" si="57"/>
        <v>1.4579171964165263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843.63607294105645</v>
      </c>
      <c r="AN117" s="62">
        <f ca="1">AVERAGE(OFFSET($AM$3,0,0,'Données projet'!$E$10+1,1))-AVERAGE(OFFSET($H$3,0,0,'Données projet'!$E$10+1,1))</f>
        <v>269.64423257646359</v>
      </c>
      <c r="AO117" s="62">
        <f t="shared" si="90"/>
        <v>161.0819079811821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8.5265128291212022E-14</v>
      </c>
      <c r="BE117" s="14">
        <f>BD117*VLOOKUP('Données projet'!$B$11,Paramètres!$A$1:$I$89,3,0)*VLOOKUP('Données projet'!$B$11,Paramètres!$A$1:$I$89,5,0)</f>
        <v>3.990408004028723E-14</v>
      </c>
      <c r="BF117" s="14">
        <f t="shared" si="91"/>
        <v>6.6713074187844705E-13</v>
      </c>
      <c r="BG117" s="22">
        <f t="shared" si="61"/>
        <v>1.2314189815084623E-12</v>
      </c>
      <c r="BH117" s="62">
        <f t="shared" si="62"/>
        <v>293.33333333333456</v>
      </c>
      <c r="BI117" s="62">
        <f ca="1">AVERAGE(OFFSET($BH$3,0,0,'Données projet'!$E$11+1,1))-AVERAGE(OFFSET($H$3,0,0,'Données projet'!$E$11+1,1))</f>
        <v>90.797383835887558</v>
      </c>
      <c r="BJ117" s="62">
        <f t="shared" si="92"/>
        <v>104.31413437636684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0.18288731881840006</v>
      </c>
      <c r="BQ117" s="23">
        <f>EXP(-LN(2)/25)*BQ116+(1-EXP(-LN(2)/25))/(LN(2)/25)*Calculateur!BL117*Calculateur!BN117*VLOOKUP('Données projet'!$B$11,Paramètres!$A$1:$I$89,3,0)*0.475*44/12</f>
        <v>0.41328089481283481</v>
      </c>
      <c r="BR117" s="23">
        <f>EXP(-LN(2)/2)*BR116+(1-EXP(-LN(2)/2))/(LN(2)/2)*BL117*BO117*VLOOKUP('Données projet'!$B$11,Paramètres!$A$1:$I$89,3,0)*0.475*44/12</f>
        <v>6.7283693661565339E-13</v>
      </c>
      <c r="BS117" s="24">
        <f t="shared" si="63"/>
        <v>0.59616821363190764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304</v>
      </c>
      <c r="BZ117" s="14">
        <f>BY117*VLOOKUP('Données projet'!$B$12,Paramètres!$A$1:$I$89,3,0)*VLOOKUP('Données projet'!$B$12,Paramètres!$A$1:$I$89,5,0)</f>
        <v>189.696</v>
      </c>
      <c r="CA117" s="14">
        <f t="shared" si="93"/>
        <v>47.472736505152469</v>
      </c>
      <c r="CB117" s="22">
        <f t="shared" si="64"/>
        <v>413.06888274647389</v>
      </c>
      <c r="CC117" s="62">
        <f t="shared" si="65"/>
        <v>706.4022160798072</v>
      </c>
      <c r="CD117" s="62">
        <f ca="1">AVERAGE(OFFSET($CC$3,0,0,'Données projet'!$E$12+1,1))-AVERAGE(OFFSET($H$3,0,0,'Données projet'!$E$12+1,1))</f>
        <v>179.44051550872138</v>
      </c>
      <c r="CE117" s="62">
        <f t="shared" si="94"/>
        <v>272.9500808380069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0.94576947867718353</v>
      </c>
      <c r="CL117" s="23">
        <f>EXP(-LN(2)/25)*CL116+(1-EXP(-LN(2)/25))/(LN(2)/25)*Calculateur!CG117*Calculateur!CI117*VLOOKUP('Données projet'!$B$12,Paramètres!$A$1:$I$89,3,0)*0.475*44/12</f>
        <v>1.9542619637570029</v>
      </c>
      <c r="CM117" s="23">
        <f>EXP(-LN(2)/2)*CM116+(1-EXP(-LN(2)/2))/(LN(2)/2)*CG117*CJ117*VLOOKUP('Données projet'!$B$12,Paramètres!$A$1:$I$89,3,0)*0.475*44/12</f>
        <v>4.6856629524640783E-12</v>
      </c>
      <c r="CN117" s="24">
        <f t="shared" si="66"/>
        <v>2.900031442438872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277.99999999999994</v>
      </c>
      <c r="CU117" s="18">
        <f>CT117*VLOOKUP('Données projet'!$B$13,Paramètres!$A$1:$I$89,3,0)*VLOOKUP('Données projet'!$B$13,Paramètres!$A$1:$I$89,5,0)</f>
        <v>151.78799999999998</v>
      </c>
      <c r="CV117" s="14">
        <f t="shared" si="95"/>
        <v>38.984634390835623</v>
      </c>
      <c r="CW117" s="22">
        <f t="shared" si="67"/>
        <v>332.26233823070532</v>
      </c>
      <c r="CX117" s="62">
        <f t="shared" si="68"/>
        <v>625.59567156403864</v>
      </c>
      <c r="CY117" s="62">
        <f ca="1">AVERAGE(OFFSET($CX$3,0,0,'Données projet'!$E$13+1,1))-AVERAGE(OFFSET($H$3,0,0,'Données projet'!$E$13+1,1))</f>
        <v>159.92263609041913</v>
      </c>
      <c r="CZ117" s="62">
        <f t="shared" si="96"/>
        <v>271.78119133009307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1.2399186485295612</v>
      </c>
      <c r="DG117" s="23">
        <f>EXP(-LN(2)/25)*DG116+(1-EXP(-LN(2)/25))/(LN(2)/25)*Calculateur!DB117*Calculateur!DD117*VLOOKUP('Données projet'!$B$13,Paramètres!$A$1:$I$89,3,0)*0.475*44/12</f>
        <v>2.8499976885814573</v>
      </c>
      <c r="DH117" s="23">
        <f>EXP(-LN(2)/2)*DH116+(1-EXP(-LN(2)/2))/(LN(2)/2)*DB117*DE117*VLOOKUP('Données projet'!$B$13,Paramètres!$A$1:$I$89,3,0)*0.475*44/12</f>
        <v>6.2379233822764228E-12</v>
      </c>
      <c r="DI117" s="24">
        <f t="shared" si="69"/>
        <v>4.0899163371172564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-5.4683368944097308E-14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122.60806128440754</v>
      </c>
      <c r="DU117" s="62">
        <f t="shared" si="98"/>
        <v>73.937252053142004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0</v>
      </c>
      <c r="EP117" s="62">
        <f t="shared" si="100"/>
        <v>0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382.55387448074327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0.40909461896035004</v>
      </c>
      <c r="AA118" s="23">
        <f>EXP(-LN(2)/25)*AA117+(1-EXP(-LN(2)/25))/(LN(2)/25)*Calculateur!V118*Calculateur!X118*VLOOKUP('Données projet'!$B$9,Paramètres!$A$1:$I$89,3,0)*0.475*44/12</f>
        <v>1.0121836704122247</v>
      </c>
      <c r="AB118" s="23">
        <f>EXP(-LN(2)/2)*AB117+(1-EXP(-LN(2)/2))/(LN(2)/2)*V118*Y118*VLOOKUP('Données projet'!$B$9,Paramètres!$A$1:$I$89,3,0)*0.475*44/12</f>
        <v>3.6217374250705293E-12</v>
      </c>
      <c r="AC118" s="24">
        <f t="shared" si="57"/>
        <v>1.4212782893761966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850.90301808359141</v>
      </c>
      <c r="AN118" s="62">
        <f ca="1">AVERAGE(OFFSET($AM$3,0,0,'Données projet'!$E$10+1,1))-AVERAGE(OFFSET($H$3,0,0,'Données projet'!$E$10+1,1))</f>
        <v>269.64423257646359</v>
      </c>
      <c r="AO118" s="62">
        <f t="shared" si="90"/>
        <v>161.0819079811821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285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8.5265128291212022E-14</v>
      </c>
      <c r="BE118" s="14">
        <f>BD118*VLOOKUP('Données projet'!$B$11,Paramètres!$A$1:$I$89,3,0)*VLOOKUP('Données projet'!$B$11,Paramètres!$A$1:$I$89,5,0)</f>
        <v>3.990408004028723E-14</v>
      </c>
      <c r="BF118" s="14">
        <f t="shared" si="91"/>
        <v>6.6713074187844705E-13</v>
      </c>
      <c r="BG118" s="22">
        <f t="shared" si="61"/>
        <v>1.2314189815084623E-12</v>
      </c>
      <c r="BH118" s="62">
        <f t="shared" si="62"/>
        <v>293.33333333333456</v>
      </c>
      <c r="BI118" s="62">
        <f ca="1">AVERAGE(OFFSET($BH$3,0,0,'Données projet'!$E$11+1,1))-AVERAGE(OFFSET($H$3,0,0,'Données projet'!$E$11+1,1))</f>
        <v>90.797383835887558</v>
      </c>
      <c r="BJ118" s="62">
        <f t="shared" si="92"/>
        <v>104.31413437636684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0.17930101004662105</v>
      </c>
      <c r="BQ118" s="23">
        <f>EXP(-LN(2)/25)*BQ117+(1-EXP(-LN(2)/25))/(LN(2)/25)*Calculateur!BL118*Calculateur!BN118*VLOOKUP('Données projet'!$B$11,Paramètres!$A$1:$I$89,3,0)*0.475*44/12</f>
        <v>0.40197970701068014</v>
      </c>
      <c r="BR118" s="23">
        <f>EXP(-LN(2)/2)*BR117+(1-EXP(-LN(2)/2))/(LN(2)/2)*BL118*BO118*VLOOKUP('Données projet'!$B$11,Paramètres!$A$1:$I$89,3,0)*0.475*44/12</f>
        <v>4.7576756051371176E-13</v>
      </c>
      <c r="BS118" s="24">
        <f t="shared" si="63"/>
        <v>0.58128071705777695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304</v>
      </c>
      <c r="BZ118" s="14">
        <f>BY118*VLOOKUP('Données projet'!$B$12,Paramètres!$A$1:$I$89,3,0)*VLOOKUP('Données projet'!$B$12,Paramètres!$A$1:$I$89,5,0)</f>
        <v>189.696</v>
      </c>
      <c r="CA118" s="14">
        <f t="shared" si="93"/>
        <v>47.472736505152469</v>
      </c>
      <c r="CB118" s="22">
        <f t="shared" si="64"/>
        <v>413.06888274647389</v>
      </c>
      <c r="CC118" s="62">
        <f t="shared" si="65"/>
        <v>706.4022160798072</v>
      </c>
      <c r="CD118" s="62">
        <f ca="1">AVERAGE(OFFSET($CC$3,0,0,'Données projet'!$E$12+1,1))-AVERAGE(OFFSET($H$3,0,0,'Données projet'!$E$12+1,1))</f>
        <v>179.44051550872138</v>
      </c>
      <c r="CE118" s="62">
        <f t="shared" si="94"/>
        <v>272.9500808380069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0.92722351606274556</v>
      </c>
      <c r="CL118" s="23">
        <f>EXP(-LN(2)/25)*CL117+(1-EXP(-LN(2)/25))/(LN(2)/25)*Calculateur!CG118*Calculateur!CI118*VLOOKUP('Données projet'!$B$12,Paramètres!$A$1:$I$89,3,0)*0.475*44/12</f>
        <v>1.9008225675878976</v>
      </c>
      <c r="CM118" s="23">
        <f>EXP(-LN(2)/2)*CM117+(1-EXP(-LN(2)/2))/(LN(2)/2)*CG118*CJ118*VLOOKUP('Données projet'!$B$12,Paramètres!$A$1:$I$89,3,0)*0.475*44/12</f>
        <v>3.3132640480419293E-12</v>
      </c>
      <c r="CN118" s="24">
        <f t="shared" si="66"/>
        <v>2.8280460836539567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277.99999999999994</v>
      </c>
      <c r="CU118" s="18">
        <f>CT118*VLOOKUP('Données projet'!$B$13,Paramètres!$A$1:$I$89,3,0)*VLOOKUP('Données projet'!$B$13,Paramètres!$A$1:$I$89,5,0)</f>
        <v>151.78799999999998</v>
      </c>
      <c r="CV118" s="14">
        <f t="shared" si="95"/>
        <v>38.984634390835623</v>
      </c>
      <c r="CW118" s="22">
        <f t="shared" si="67"/>
        <v>332.26233823070532</v>
      </c>
      <c r="CX118" s="62">
        <f t="shared" si="68"/>
        <v>625.59567156403864</v>
      </c>
      <c r="CY118" s="62">
        <f ca="1">AVERAGE(OFFSET($CX$3,0,0,'Données projet'!$E$13+1,1))-AVERAGE(OFFSET($H$3,0,0,'Données projet'!$E$13+1,1))</f>
        <v>159.92263609041913</v>
      </c>
      <c r="CZ118" s="62">
        <f t="shared" si="96"/>
        <v>271.78119133009307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1.2156046001075962</v>
      </c>
      <c r="DG118" s="23">
        <f>EXP(-LN(2)/25)*DG117+(1-EXP(-LN(2)/25))/(LN(2)/25)*Calculateur!DB118*Calculateur!DD118*VLOOKUP('Données projet'!$B$13,Paramètres!$A$1:$I$89,3,0)*0.475*44/12</f>
        <v>2.7720643519123325</v>
      </c>
      <c r="DH118" s="23">
        <f>EXP(-LN(2)/2)*DH117+(1-EXP(-LN(2)/2))/(LN(2)/2)*DB118*DE118*VLOOKUP('Données projet'!$B$13,Paramètres!$A$1:$I$89,3,0)*0.475*44/12</f>
        <v>4.4108779241297829E-12</v>
      </c>
      <c r="DI118" s="24">
        <f t="shared" si="69"/>
        <v>3.9876689520243396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-5.4683368944097308E-14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122.60806128440754</v>
      </c>
      <c r="DU118" s="62">
        <f t="shared" si="98"/>
        <v>73.937252053142004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0</v>
      </c>
      <c r="EP118" s="62">
        <f t="shared" si="100"/>
        <v>0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382.55387448074327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0.4010725230056168</v>
      </c>
      <c r="AA119" s="23">
        <f>EXP(-LN(2)/25)*AA118+(1-EXP(-LN(2)/25))/(LN(2)/25)*Calculateur!V119*Calculateur!X119*VLOOKUP('Données projet'!$B$9,Paramètres!$A$1:$I$89,3,0)*0.475*44/12</f>
        <v>0.98450545471637652</v>
      </c>
      <c r="AB119" s="23">
        <f>EXP(-LN(2)/2)*AB118+(1-EXP(-LN(2)/2))/(LN(2)/2)*V119*Y119*VLOOKUP('Données projet'!$B$9,Paramètres!$A$1:$I$89,3,0)*0.475*44/12</f>
        <v>2.560955092944477E-12</v>
      </c>
      <c r="AC119" s="24">
        <f t="shared" si="57"/>
        <v>1.3855779777245543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269.64423257646359</v>
      </c>
      <c r="AO119" s="62">
        <f t="shared" si="90"/>
        <v>161.0819079811821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8.5265128291212022E-14</v>
      </c>
      <c r="BE119" s="14">
        <f>BD119*VLOOKUP('Données projet'!$B$11,Paramètres!$A$1:$I$89,3,0)*VLOOKUP('Données projet'!$B$11,Paramètres!$A$1:$I$89,5,0)</f>
        <v>3.990408004028723E-14</v>
      </c>
      <c r="BF119" s="14">
        <f t="shared" si="91"/>
        <v>6.6713074187844705E-13</v>
      </c>
      <c r="BG119" s="22">
        <f t="shared" si="61"/>
        <v>1.2314189815084623E-12</v>
      </c>
      <c r="BH119" s="62">
        <f t="shared" si="62"/>
        <v>293.33333333333456</v>
      </c>
      <c r="BI119" s="62">
        <f ca="1">AVERAGE(OFFSET($BH$3,0,0,'Données projet'!$E$11+1,1))-AVERAGE(OFFSET($H$3,0,0,'Données projet'!$E$11+1,1))</f>
        <v>90.797383835887558</v>
      </c>
      <c r="BJ119" s="62">
        <f t="shared" si="92"/>
        <v>104.31413437636684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0.17578502660242426</v>
      </c>
      <c r="BQ119" s="23">
        <f>EXP(-LN(2)/25)*BQ118+(1-EXP(-LN(2)/25))/(LN(2)/25)*Calculateur!BL119*Calculateur!BN119*VLOOKUP('Données projet'!$B$11,Paramètres!$A$1:$I$89,3,0)*0.475*44/12</f>
        <v>0.39098755078327901</v>
      </c>
      <c r="BR119" s="23">
        <f>EXP(-LN(2)/2)*BR118+(1-EXP(-LN(2)/2))/(LN(2)/2)*BL119*BO119*VLOOKUP('Données projet'!$B$11,Paramètres!$A$1:$I$89,3,0)*0.475*44/12</f>
        <v>3.3641846830782669E-13</v>
      </c>
      <c r="BS119" s="24">
        <f t="shared" si="63"/>
        <v>0.5667725773860397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304</v>
      </c>
      <c r="BZ119" s="14">
        <f>BY119*VLOOKUP('Données projet'!$B$12,Paramètres!$A$1:$I$89,3,0)*VLOOKUP('Données projet'!$B$12,Paramètres!$A$1:$I$89,5,0)</f>
        <v>189.696</v>
      </c>
      <c r="CA119" s="14">
        <f t="shared" si="93"/>
        <v>47.472736505152469</v>
      </c>
      <c r="CB119" s="22">
        <f t="shared" si="64"/>
        <v>413.06888274647389</v>
      </c>
      <c r="CC119" s="62">
        <f t="shared" si="65"/>
        <v>706.4022160798072</v>
      </c>
      <c r="CD119" s="62">
        <f ca="1">AVERAGE(OFFSET($CC$3,0,0,'Données projet'!$E$12+1,1))-AVERAGE(OFFSET($H$3,0,0,'Données projet'!$E$12+1,1))</f>
        <v>179.44051550872138</v>
      </c>
      <c r="CE119" s="62">
        <f t="shared" si="94"/>
        <v>272.9500808380069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0.90904122846325641</v>
      </c>
      <c r="CL119" s="23">
        <f>EXP(-LN(2)/25)*CL118+(1-EXP(-LN(2)/25))/(LN(2)/25)*Calculateur!CG119*Calculateur!CI119*VLOOKUP('Données projet'!$B$12,Paramètres!$A$1:$I$89,3,0)*0.475*44/12</f>
        <v>1.8488444745172921</v>
      </c>
      <c r="CM119" s="23">
        <f>EXP(-LN(2)/2)*CM118+(1-EXP(-LN(2)/2))/(LN(2)/2)*CG119*CJ119*VLOOKUP('Données projet'!$B$12,Paramètres!$A$1:$I$89,3,0)*0.475*44/12</f>
        <v>2.3428314762320391E-12</v>
      </c>
      <c r="CN119" s="24">
        <f t="shared" si="66"/>
        <v>2.7578857029828914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277.99999999999994</v>
      </c>
      <c r="CU119" s="18">
        <f>CT119*VLOOKUP('Données projet'!$B$13,Paramètres!$A$1:$I$89,3,0)*VLOOKUP('Données projet'!$B$13,Paramètres!$A$1:$I$89,5,0)</f>
        <v>151.78799999999998</v>
      </c>
      <c r="CV119" s="14">
        <f t="shared" si="95"/>
        <v>38.984634390835623</v>
      </c>
      <c r="CW119" s="22">
        <f t="shared" si="67"/>
        <v>332.26233823070532</v>
      </c>
      <c r="CX119" s="62">
        <f t="shared" si="68"/>
        <v>625.59567156403864</v>
      </c>
      <c r="CY119" s="62">
        <f ca="1">AVERAGE(OFFSET($CX$3,0,0,'Données projet'!$E$13+1,1))-AVERAGE(OFFSET($H$3,0,0,'Données projet'!$E$13+1,1))</f>
        <v>159.92263609041913</v>
      </c>
      <c r="CZ119" s="62">
        <f t="shared" si="96"/>
        <v>271.78119133009307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1.1917673353450806</v>
      </c>
      <c r="DG119" s="23">
        <f>EXP(-LN(2)/25)*DG118+(1-EXP(-LN(2)/25))/(LN(2)/25)*Calculateur!DB119*Calculateur!DD119*VLOOKUP('Données projet'!$B$13,Paramètres!$A$1:$I$89,3,0)*0.475*44/12</f>
        <v>2.6962621064327612</v>
      </c>
      <c r="DH119" s="23">
        <f>EXP(-LN(2)/2)*DH118+(1-EXP(-LN(2)/2))/(LN(2)/2)*DB119*DE119*VLOOKUP('Données projet'!$B$13,Paramètres!$A$1:$I$89,3,0)*0.475*44/12</f>
        <v>3.1189616911382114E-12</v>
      </c>
      <c r="DI119" s="24">
        <f t="shared" si="69"/>
        <v>3.8880294417809607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-5.4683368944097308E-14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122.60806128440754</v>
      </c>
      <c r="DU119" s="62">
        <f t="shared" si="98"/>
        <v>73.937252053142004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0</v>
      </c>
      <c r="EP119" s="62">
        <f t="shared" si="100"/>
        <v>0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382.55387448074327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0.39320773545956045</v>
      </c>
      <c r="AA120" s="23">
        <f>EXP(-LN(2)/25)*AA119+(1-EXP(-LN(2)/25))/(LN(2)/25)*Calculateur!V120*Calculateur!X120*VLOOKUP('Données projet'!$B$9,Paramètres!$A$1:$I$89,3,0)*0.475*44/12</f>
        <v>0.95758410128426541</v>
      </c>
      <c r="AB120" s="23">
        <f>EXP(-LN(2)/2)*AB119+(1-EXP(-LN(2)/2))/(LN(2)/2)*V120*Y120*VLOOKUP('Données projet'!$B$9,Paramètres!$A$1:$I$89,3,0)*0.475*44/12</f>
        <v>1.8108687125352648E-12</v>
      </c>
      <c r="AC120" s="24">
        <f t="shared" si="57"/>
        <v>1.3507918367456366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269.64423257646359</v>
      </c>
      <c r="AO120" s="62">
        <f t="shared" si="90"/>
        <v>161.0819079811821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8.5265128291212022E-14</v>
      </c>
      <c r="BE120" s="14">
        <f>BD120*VLOOKUP('Données projet'!$B$11,Paramètres!$A$1:$I$89,3,0)*VLOOKUP('Données projet'!$B$11,Paramètres!$A$1:$I$89,5,0)</f>
        <v>3.990408004028723E-14</v>
      </c>
      <c r="BF120" s="14">
        <f t="shared" si="91"/>
        <v>6.6713074187844705E-13</v>
      </c>
      <c r="BG120" s="22">
        <f t="shared" si="61"/>
        <v>1.2314189815084623E-12</v>
      </c>
      <c r="BH120" s="62">
        <f t="shared" si="62"/>
        <v>293.33333333333456</v>
      </c>
      <c r="BI120" s="62">
        <f ca="1">AVERAGE(OFFSET($BH$3,0,0,'Données projet'!$E$11+1,1))-AVERAGE(OFFSET($H$3,0,0,'Données projet'!$E$11+1,1))</f>
        <v>90.797383835887558</v>
      </c>
      <c r="BJ120" s="62">
        <f t="shared" si="92"/>
        <v>104.31413437636684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0.17233798944903003</v>
      </c>
      <c r="BQ120" s="23">
        <f>EXP(-LN(2)/25)*BQ119+(1-EXP(-LN(2)/25))/(LN(2)/25)*Calculateur!BL120*Calculateur!BN120*VLOOKUP('Données projet'!$B$11,Paramètres!$A$1:$I$89,3,0)*0.475*44/12</f>
        <v>0.38029597564596856</v>
      </c>
      <c r="BR120" s="23">
        <f>EXP(-LN(2)/2)*BR119+(1-EXP(-LN(2)/2))/(LN(2)/2)*BL120*BO120*VLOOKUP('Données projet'!$B$11,Paramètres!$A$1:$I$89,3,0)*0.475*44/12</f>
        <v>2.3788378025685588E-13</v>
      </c>
      <c r="BS120" s="24">
        <f t="shared" si="63"/>
        <v>0.55263396509523655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304</v>
      </c>
      <c r="BZ120" s="14">
        <f>BY120*VLOOKUP('Données projet'!$B$12,Paramètres!$A$1:$I$89,3,0)*VLOOKUP('Données projet'!$B$12,Paramètres!$A$1:$I$89,5,0)</f>
        <v>189.696</v>
      </c>
      <c r="CA120" s="14">
        <f t="shared" si="93"/>
        <v>47.472736505152469</v>
      </c>
      <c r="CB120" s="22">
        <f t="shared" si="64"/>
        <v>413.06888274647389</v>
      </c>
      <c r="CC120" s="62">
        <f t="shared" si="65"/>
        <v>706.4022160798072</v>
      </c>
      <c r="CD120" s="62">
        <f ca="1">AVERAGE(OFFSET($CC$3,0,0,'Données projet'!$E$12+1,1))-AVERAGE(OFFSET($H$3,0,0,'Données projet'!$E$12+1,1))</f>
        <v>179.44051550872138</v>
      </c>
      <c r="CE120" s="62">
        <f t="shared" si="94"/>
        <v>272.9500808380069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0.89121548443349285</v>
      </c>
      <c r="CL120" s="23">
        <f>EXP(-LN(2)/25)*CL119+(1-EXP(-LN(2)/25))/(LN(2)/25)*Calculateur!CG120*Calculateur!CI120*VLOOKUP('Données projet'!$B$12,Paramètres!$A$1:$I$89,3,0)*0.475*44/12</f>
        <v>1.7982877251351115</v>
      </c>
      <c r="CM120" s="23">
        <f>EXP(-LN(2)/2)*CM119+(1-EXP(-LN(2)/2))/(LN(2)/2)*CG120*CJ120*VLOOKUP('Données projet'!$B$12,Paramètres!$A$1:$I$89,3,0)*0.475*44/12</f>
        <v>1.6566320240209646E-12</v>
      </c>
      <c r="CN120" s="24">
        <f t="shared" si="66"/>
        <v>2.6895032095702609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277.99999999999994</v>
      </c>
      <c r="CU120" s="18">
        <f>CT120*VLOOKUP('Données projet'!$B$13,Paramètres!$A$1:$I$89,3,0)*VLOOKUP('Données projet'!$B$13,Paramètres!$A$1:$I$89,5,0)</f>
        <v>151.78799999999998</v>
      </c>
      <c r="CV120" s="14">
        <f t="shared" si="95"/>
        <v>38.984634390835623</v>
      </c>
      <c r="CW120" s="22">
        <f t="shared" si="67"/>
        <v>332.26233823070532</v>
      </c>
      <c r="CX120" s="62">
        <f t="shared" si="68"/>
        <v>625.59567156403864</v>
      </c>
      <c r="CY120" s="62">
        <f ca="1">AVERAGE(OFFSET($CX$3,0,0,'Données projet'!$E$13+1,1))-AVERAGE(OFFSET($H$3,0,0,'Données projet'!$E$13+1,1))</f>
        <v>159.92263609041913</v>
      </c>
      <c r="CZ120" s="62">
        <f t="shared" si="96"/>
        <v>271.78119133009307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1.1683975048052622</v>
      </c>
      <c r="DG120" s="23">
        <f>EXP(-LN(2)/25)*DG119+(1-EXP(-LN(2)/25))/(LN(2)/25)*Calculateur!DB120*Calculateur!DD120*VLOOKUP('Données projet'!$B$13,Paramètres!$A$1:$I$89,3,0)*0.475*44/12</f>
        <v>2.6225326773420954</v>
      </c>
      <c r="DH120" s="23">
        <f>EXP(-LN(2)/2)*DH119+(1-EXP(-LN(2)/2))/(LN(2)/2)*DB120*DE120*VLOOKUP('Données projet'!$B$13,Paramètres!$A$1:$I$89,3,0)*0.475*44/12</f>
        <v>2.2054389620648914E-12</v>
      </c>
      <c r="DI120" s="24">
        <f t="shared" si="69"/>
        <v>3.7909301821495629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-5.4683368944097308E-14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122.60806128440754</v>
      </c>
      <c r="DU120" s="62">
        <f t="shared" si="98"/>
        <v>73.937252053142004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0</v>
      </c>
      <c r="EP120" s="62">
        <f t="shared" si="100"/>
        <v>0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382.55387448074327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0.38549717160023556</v>
      </c>
      <c r="AA121" s="23">
        <f>EXP(-LN(2)/25)*AA120+(1-EXP(-LN(2)/25))/(LN(2)/25)*Calculateur!V121*Calculateur!X121*VLOOKUP('Données projet'!$B$9,Paramètres!$A$1:$I$89,3,0)*0.475*44/12</f>
        <v>0.93139891367748784</v>
      </c>
      <c r="AB121" s="23">
        <f>EXP(-LN(2)/2)*AB120+(1-EXP(-LN(2)/2))/(LN(2)/2)*V121*Y121*VLOOKUP('Données projet'!$B$9,Paramètres!$A$1:$I$89,3,0)*0.475*44/12</f>
        <v>1.2804775464722387E-12</v>
      </c>
      <c r="AC121" s="24">
        <f t="shared" si="57"/>
        <v>1.3168960852790039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269.64423257646359</v>
      </c>
      <c r="AO121" s="62">
        <f t="shared" si="90"/>
        <v>161.0819079811821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8.5265128291212022E-14</v>
      </c>
      <c r="BE121" s="14">
        <f>BD121*VLOOKUP('Données projet'!$B$11,Paramètres!$A$1:$I$89,3,0)*VLOOKUP('Données projet'!$B$11,Paramètres!$A$1:$I$89,5,0)</f>
        <v>3.990408004028723E-14</v>
      </c>
      <c r="BF121" s="14">
        <f t="shared" si="91"/>
        <v>6.6713074187844705E-13</v>
      </c>
      <c r="BG121" s="22">
        <f t="shared" si="61"/>
        <v>1.2314189815084623E-12</v>
      </c>
      <c r="BH121" s="62">
        <f t="shared" si="62"/>
        <v>293.33333333333456</v>
      </c>
      <c r="BI121" s="62">
        <f ca="1">AVERAGE(OFFSET($BH$3,0,0,'Données projet'!$E$11+1,1))-AVERAGE(OFFSET($H$3,0,0,'Données projet'!$E$11+1,1))</f>
        <v>90.797383835887558</v>
      </c>
      <c r="BJ121" s="62">
        <f t="shared" si="92"/>
        <v>104.31413437636684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0.16895854659172879</v>
      </c>
      <c r="BQ121" s="23">
        <f>EXP(-LN(2)/25)*BQ120+(1-EXP(-LN(2)/25))/(LN(2)/25)*Calculateur!BL121*Calculateur!BN121*VLOOKUP('Données projet'!$B$11,Paramètres!$A$1:$I$89,3,0)*0.475*44/12</f>
        <v>0.36989676219303336</v>
      </c>
      <c r="BR121" s="23">
        <f>EXP(-LN(2)/2)*BR120+(1-EXP(-LN(2)/2))/(LN(2)/2)*BL121*BO121*VLOOKUP('Données projet'!$B$11,Paramètres!$A$1:$I$89,3,0)*0.475*44/12</f>
        <v>1.6820923415391335E-13</v>
      </c>
      <c r="BS121" s="24">
        <f t="shared" si="63"/>
        <v>0.53885530878493038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304</v>
      </c>
      <c r="BZ121" s="14">
        <f>BY121*VLOOKUP('Données projet'!$B$12,Paramètres!$A$1:$I$89,3,0)*VLOOKUP('Données projet'!$B$12,Paramètres!$A$1:$I$89,5,0)</f>
        <v>189.696</v>
      </c>
      <c r="CA121" s="14">
        <f t="shared" si="93"/>
        <v>47.472736505152469</v>
      </c>
      <c r="CB121" s="22">
        <f t="shared" si="64"/>
        <v>413.06888274647389</v>
      </c>
      <c r="CC121" s="62">
        <f t="shared" si="65"/>
        <v>706.4022160798072</v>
      </c>
      <c r="CD121" s="62">
        <f ca="1">AVERAGE(OFFSET($CC$3,0,0,'Données projet'!$E$12+1,1))-AVERAGE(OFFSET($H$3,0,0,'Données projet'!$E$12+1,1))</f>
        <v>179.44051550872138</v>
      </c>
      <c r="CE121" s="62">
        <f t="shared" si="94"/>
        <v>272.9500808380069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0.8737392923715227</v>
      </c>
      <c r="CL121" s="23">
        <f>EXP(-LN(2)/25)*CL120+(1-EXP(-LN(2)/25))/(LN(2)/25)*Calculateur!CG121*Calculateur!CI121*VLOOKUP('Données projet'!$B$12,Paramètres!$A$1:$I$89,3,0)*0.475*44/12</f>
        <v>1.7491134527234504</v>
      </c>
      <c r="CM121" s="23">
        <f>EXP(-LN(2)/2)*CM120+(1-EXP(-LN(2)/2))/(LN(2)/2)*CG121*CJ121*VLOOKUP('Données projet'!$B$12,Paramètres!$A$1:$I$89,3,0)*0.475*44/12</f>
        <v>1.1714157381160196E-12</v>
      </c>
      <c r="CN121" s="24">
        <f t="shared" si="66"/>
        <v>2.6228527450961447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277.99999999999994</v>
      </c>
      <c r="CU121" s="18">
        <f>CT121*VLOOKUP('Données projet'!$B$13,Paramètres!$A$1:$I$89,3,0)*VLOOKUP('Données projet'!$B$13,Paramètres!$A$1:$I$89,5,0)</f>
        <v>151.78799999999998</v>
      </c>
      <c r="CV121" s="14">
        <f t="shared" si="95"/>
        <v>38.984634390835623</v>
      </c>
      <c r="CW121" s="22">
        <f t="shared" si="67"/>
        <v>332.26233823070532</v>
      </c>
      <c r="CX121" s="62">
        <f t="shared" si="68"/>
        <v>625.59567156403864</v>
      </c>
      <c r="CY121" s="62">
        <f ca="1">AVERAGE(OFFSET($CX$3,0,0,'Données projet'!$E$13+1,1))-AVERAGE(OFFSET($H$3,0,0,'Données projet'!$E$13+1,1))</f>
        <v>159.92263609041913</v>
      </c>
      <c r="CZ121" s="62">
        <f t="shared" si="96"/>
        <v>271.78119133009307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1.1454859423881403</v>
      </c>
      <c r="DG121" s="23">
        <f>EXP(-LN(2)/25)*DG120+(1-EXP(-LN(2)/25))/(LN(2)/25)*Calculateur!DB121*Calculateur!DD121*VLOOKUP('Données projet'!$B$13,Paramètres!$A$1:$I$89,3,0)*0.475*44/12</f>
        <v>2.550819383367176</v>
      </c>
      <c r="DH121" s="23">
        <f>EXP(-LN(2)/2)*DH120+(1-EXP(-LN(2)/2))/(LN(2)/2)*DB121*DE121*VLOOKUP('Données projet'!$B$13,Paramètres!$A$1:$I$89,3,0)*0.475*44/12</f>
        <v>1.5594808455691057E-12</v>
      </c>
      <c r="DI121" s="24">
        <f t="shared" si="69"/>
        <v>3.6963053257568759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-5.4683368944097308E-14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122.60806128440754</v>
      </c>
      <c r="DU121" s="62">
        <f t="shared" si="98"/>
        <v>73.937252053142004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0</v>
      </c>
      <c r="EP121" s="62">
        <f t="shared" si="100"/>
        <v>0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382.55387448074327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0.37793780719521247</v>
      </c>
      <c r="AA122" s="23">
        <f>EXP(-LN(2)/25)*AA121+(1-EXP(-LN(2)/25))/(LN(2)/25)*Calculateur!V122*Calculateur!X122*VLOOKUP('Données projet'!$B$9,Paramètres!$A$1:$I$89,3,0)*0.475*44/12</f>
        <v>0.90592976140283676</v>
      </c>
      <c r="AB122" s="23">
        <f>EXP(-LN(2)/2)*AB121+(1-EXP(-LN(2)/2))/(LN(2)/2)*V122*Y122*VLOOKUP('Données projet'!$B$9,Paramètres!$A$1:$I$89,3,0)*0.475*44/12</f>
        <v>9.0543435626763262E-13</v>
      </c>
      <c r="AC122" s="24">
        <f t="shared" si="57"/>
        <v>1.2838675685989547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269.64423257646359</v>
      </c>
      <c r="AO122" s="62">
        <f t="shared" si="90"/>
        <v>161.0819079811821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8.5265128291212022E-14</v>
      </c>
      <c r="BE122" s="14">
        <f>BD122*VLOOKUP('Données projet'!$B$11,Paramètres!$A$1:$I$89,3,0)*VLOOKUP('Données projet'!$B$11,Paramètres!$A$1:$I$89,5,0)</f>
        <v>3.990408004028723E-14</v>
      </c>
      <c r="BF122" s="14">
        <f t="shared" si="91"/>
        <v>6.6713074187844705E-13</v>
      </c>
      <c r="BG122" s="22">
        <f t="shared" si="61"/>
        <v>1.2314189815084623E-12</v>
      </c>
      <c r="BH122" s="62">
        <f t="shared" si="62"/>
        <v>293.33333333333456</v>
      </c>
      <c r="BI122" s="62">
        <f ca="1">AVERAGE(OFFSET($BH$3,0,0,'Données projet'!$E$11+1,1))-AVERAGE(OFFSET($H$3,0,0,'Données projet'!$E$11+1,1))</f>
        <v>90.797383835887558</v>
      </c>
      <c r="BJ122" s="62">
        <f t="shared" si="92"/>
        <v>104.31413437636684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0.16564537254760262</v>
      </c>
      <c r="BQ122" s="23">
        <f>EXP(-LN(2)/25)*BQ121+(1-EXP(-LN(2)/25))/(LN(2)/25)*Calculateur!BL122*Calculateur!BN122*VLOOKUP('Données projet'!$B$11,Paramètres!$A$1:$I$89,3,0)*0.475*44/12</f>
        <v>0.35978191577883956</v>
      </c>
      <c r="BR122" s="23">
        <f>EXP(-LN(2)/2)*BR121+(1-EXP(-LN(2)/2))/(LN(2)/2)*BL122*BO122*VLOOKUP('Données projet'!$B$11,Paramètres!$A$1:$I$89,3,0)*0.475*44/12</f>
        <v>1.1894189012842794E-13</v>
      </c>
      <c r="BS122" s="24">
        <f t="shared" si="63"/>
        <v>0.52542728832656105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304</v>
      </c>
      <c r="BZ122" s="14">
        <f>BY122*VLOOKUP('Données projet'!$B$12,Paramètres!$A$1:$I$89,3,0)*VLOOKUP('Données projet'!$B$12,Paramètres!$A$1:$I$89,5,0)</f>
        <v>189.696</v>
      </c>
      <c r="CA122" s="14">
        <f t="shared" si="93"/>
        <v>47.472736505152469</v>
      </c>
      <c r="CB122" s="22">
        <f t="shared" si="64"/>
        <v>413.06888274647389</v>
      </c>
      <c r="CC122" s="62">
        <f t="shared" si="65"/>
        <v>706.4022160798072</v>
      </c>
      <c r="CD122" s="62">
        <f ca="1">AVERAGE(OFFSET($CC$3,0,0,'Données projet'!$E$12+1,1))-AVERAGE(OFFSET($H$3,0,0,'Données projet'!$E$12+1,1))</f>
        <v>179.44051550872138</v>
      </c>
      <c r="CE122" s="62">
        <f t="shared" si="94"/>
        <v>272.9500808380069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0.85660579777646317</v>
      </c>
      <c r="CL122" s="23">
        <f>EXP(-LN(2)/25)*CL121+(1-EXP(-LN(2)/25))/(LN(2)/25)*Calculateur!CG122*Calculateur!CI122*VLOOKUP('Données projet'!$B$12,Paramètres!$A$1:$I$89,3,0)*0.475*44/12</f>
        <v>1.7012838533768488</v>
      </c>
      <c r="CM122" s="23">
        <f>EXP(-LN(2)/2)*CM121+(1-EXP(-LN(2)/2))/(LN(2)/2)*CG122*CJ122*VLOOKUP('Données projet'!$B$12,Paramètres!$A$1:$I$89,3,0)*0.475*44/12</f>
        <v>8.2831601201048232E-13</v>
      </c>
      <c r="CN122" s="24">
        <f t="shared" si="66"/>
        <v>2.5578896511541402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277.99999999999994</v>
      </c>
      <c r="CU122" s="18">
        <f>CT122*VLOOKUP('Données projet'!$B$13,Paramètres!$A$1:$I$89,3,0)*VLOOKUP('Données projet'!$B$13,Paramètres!$A$1:$I$89,5,0)</f>
        <v>151.78799999999998</v>
      </c>
      <c r="CV122" s="14">
        <f t="shared" si="95"/>
        <v>38.984634390835623</v>
      </c>
      <c r="CW122" s="22">
        <f t="shared" si="67"/>
        <v>332.26233823070532</v>
      </c>
      <c r="CX122" s="62">
        <f t="shared" si="68"/>
        <v>625.59567156403864</v>
      </c>
      <c r="CY122" s="62">
        <f ca="1">AVERAGE(OFFSET($CX$3,0,0,'Données projet'!$E$13+1,1))-AVERAGE(OFFSET($H$3,0,0,'Données projet'!$E$13+1,1))</f>
        <v>159.92263609041913</v>
      </c>
      <c r="CZ122" s="62">
        <f t="shared" si="96"/>
        <v>271.78119133009307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1.1230236617353451</v>
      </c>
      <c r="DG122" s="23">
        <f>EXP(-LN(2)/25)*DG121+(1-EXP(-LN(2)/25))/(LN(2)/25)*Calculateur!DB122*Calculateur!DD122*VLOOKUP('Données projet'!$B$13,Paramètres!$A$1:$I$89,3,0)*0.475*44/12</f>
        <v>2.4810670931872392</v>
      </c>
      <c r="DH122" s="23">
        <f>EXP(-LN(2)/2)*DH121+(1-EXP(-LN(2)/2))/(LN(2)/2)*DB122*DE122*VLOOKUP('Données projet'!$B$13,Paramètres!$A$1:$I$89,3,0)*0.475*44/12</f>
        <v>1.1027194810324457E-12</v>
      </c>
      <c r="DI122" s="24">
        <f t="shared" si="69"/>
        <v>3.6040907549236869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-5.4683368944097308E-14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122.60806128440754</v>
      </c>
      <c r="DU122" s="62">
        <f t="shared" si="98"/>
        <v>73.937252053142004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0</v>
      </c>
      <c r="EP122" s="62">
        <f t="shared" si="100"/>
        <v>0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382.55387448074327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0.37052667731541483</v>
      </c>
      <c r="AA123" s="23">
        <f>EXP(-LN(2)/25)*AA122+(1-EXP(-LN(2)/25))/(LN(2)/25)*Calculateur!V123*Calculateur!X123*VLOOKUP('Données projet'!$B$9,Paramètres!$A$1:$I$89,3,0)*0.475*44/12</f>
        <v>0.88115706443650055</v>
      </c>
      <c r="AB123" s="23">
        <f>EXP(-LN(2)/2)*AB122+(1-EXP(-LN(2)/2))/(LN(2)/2)*V123*Y123*VLOOKUP('Données projet'!$B$9,Paramètres!$A$1:$I$89,3,0)*0.475*44/12</f>
        <v>6.4023877323611944E-13</v>
      </c>
      <c r="AC123" s="24">
        <f t="shared" si="57"/>
        <v>1.2516837417525555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269.64423257646359</v>
      </c>
      <c r="AO123" s="62">
        <f t="shared" si="90"/>
        <v>161.0819079811821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8.5265128291212022E-14</v>
      </c>
      <c r="BE123" s="14">
        <f>BD123*VLOOKUP('Données projet'!$B$11,Paramètres!$A$1:$I$89,3,0)*VLOOKUP('Données projet'!$B$11,Paramètres!$A$1:$I$89,5,0)</f>
        <v>3.990408004028723E-14</v>
      </c>
      <c r="BF123" s="14">
        <f t="shared" si="91"/>
        <v>6.6713074187844705E-13</v>
      </c>
      <c r="BG123" s="22">
        <f t="shared" si="61"/>
        <v>1.2314189815084623E-12</v>
      </c>
      <c r="BH123" s="62">
        <f t="shared" si="62"/>
        <v>293.33333333333456</v>
      </c>
      <c r="BI123" s="62">
        <f ca="1">AVERAGE(OFFSET($BH$3,0,0,'Données projet'!$E$11+1,1))-AVERAGE(OFFSET($H$3,0,0,'Données projet'!$E$11+1,1))</f>
        <v>90.797383835887558</v>
      </c>
      <c r="BJ123" s="62">
        <f t="shared" si="92"/>
        <v>104.31413437636684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0.16239716782564514</v>
      </c>
      <c r="BQ123" s="23">
        <f>EXP(-LN(2)/25)*BQ122+(1-EXP(-LN(2)/25))/(LN(2)/25)*Calculateur!BL123*Calculateur!BN123*VLOOKUP('Données projet'!$B$11,Paramètres!$A$1:$I$89,3,0)*0.475*44/12</f>
        <v>0.3499436603717585</v>
      </c>
      <c r="BR123" s="23">
        <f>EXP(-LN(2)/2)*BR122+(1-EXP(-LN(2)/2))/(LN(2)/2)*BL123*BO123*VLOOKUP('Données projet'!$B$11,Paramètres!$A$1:$I$89,3,0)*0.475*44/12</f>
        <v>8.4104617076956674E-14</v>
      </c>
      <c r="BS123" s="24">
        <f t="shared" si="63"/>
        <v>0.51234082819748783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304</v>
      </c>
      <c r="BZ123" s="14">
        <f>BY123*VLOOKUP('Données projet'!$B$12,Paramètres!$A$1:$I$89,3,0)*VLOOKUP('Données projet'!$B$12,Paramètres!$A$1:$I$89,5,0)</f>
        <v>189.696</v>
      </c>
      <c r="CA123" s="14">
        <f t="shared" si="93"/>
        <v>47.472736505152469</v>
      </c>
      <c r="CB123" s="22">
        <f t="shared" si="64"/>
        <v>413.06888274647389</v>
      </c>
      <c r="CC123" s="62">
        <f t="shared" si="65"/>
        <v>706.4022160798072</v>
      </c>
      <c r="CD123" s="62">
        <f ca="1">AVERAGE(OFFSET($CC$3,0,0,'Données projet'!$E$12+1,1))-AVERAGE(OFFSET($H$3,0,0,'Données projet'!$E$12+1,1))</f>
        <v>179.44051550872138</v>
      </c>
      <c r="CE123" s="62">
        <f t="shared" si="94"/>
        <v>272.9500808380069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0.839808280560013</v>
      </c>
      <c r="CL123" s="23">
        <f>EXP(-LN(2)/25)*CL122+(1-EXP(-LN(2)/25))/(LN(2)/25)*Calculateur!CG123*Calculateur!CI123*VLOOKUP('Données projet'!$B$12,Paramètres!$A$1:$I$89,3,0)*0.475*44/12</f>
        <v>1.6547621569396294</v>
      </c>
      <c r="CM123" s="23">
        <f>EXP(-LN(2)/2)*CM122+(1-EXP(-LN(2)/2))/(LN(2)/2)*CG123*CJ123*VLOOKUP('Données projet'!$B$12,Paramètres!$A$1:$I$89,3,0)*0.475*44/12</f>
        <v>5.8570786905800979E-13</v>
      </c>
      <c r="CN123" s="24">
        <f t="shared" si="66"/>
        <v>2.494570437500228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277.99999999999994</v>
      </c>
      <c r="CU123" s="18">
        <f>CT123*VLOOKUP('Données projet'!$B$13,Paramètres!$A$1:$I$89,3,0)*VLOOKUP('Données projet'!$B$13,Paramètres!$A$1:$I$89,5,0)</f>
        <v>151.78799999999998</v>
      </c>
      <c r="CV123" s="14">
        <f t="shared" si="95"/>
        <v>38.984634390835623</v>
      </c>
      <c r="CW123" s="22">
        <f t="shared" si="67"/>
        <v>332.26233823070532</v>
      </c>
      <c r="CX123" s="62">
        <f t="shared" si="68"/>
        <v>625.59567156403864</v>
      </c>
      <c r="CY123" s="62">
        <f ca="1">AVERAGE(OFFSET($CX$3,0,0,'Données projet'!$E$13+1,1))-AVERAGE(OFFSET($H$3,0,0,'Données projet'!$E$13+1,1))</f>
        <v>159.92263609041913</v>
      </c>
      <c r="CZ123" s="62">
        <f t="shared" si="96"/>
        <v>271.78119133009307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1.1010018527055128</v>
      </c>
      <c r="DG123" s="23">
        <f>EXP(-LN(2)/25)*DG122+(1-EXP(-LN(2)/25))/(LN(2)/25)*Calculateur!DB123*Calculateur!DD123*VLOOKUP('Données projet'!$B$13,Paramètres!$A$1:$I$89,3,0)*0.475*44/12</f>
        <v>2.4132221830503862</v>
      </c>
      <c r="DH123" s="23">
        <f>EXP(-LN(2)/2)*DH122+(1-EXP(-LN(2)/2))/(LN(2)/2)*DB123*DE123*VLOOKUP('Données projet'!$B$13,Paramètres!$A$1:$I$89,3,0)*0.475*44/12</f>
        <v>7.7974042278455285E-13</v>
      </c>
      <c r="DI123" s="24">
        <f t="shared" si="69"/>
        <v>3.514224035756679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-5.4683368944097308E-14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122.60806128440754</v>
      </c>
      <c r="DU123" s="62">
        <f t="shared" si="98"/>
        <v>73.937252053142004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0</v>
      </c>
      <c r="EP123" s="62">
        <f t="shared" si="100"/>
        <v>0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382.55387448074327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0.36326087517221717</v>
      </c>
      <c r="AA124" s="23">
        <f>EXP(-LN(2)/25)*AA123+(1-EXP(-LN(2)/25))/(LN(2)/25)*Calculateur!V124*Calculateur!X124*VLOOKUP('Données projet'!$B$9,Paramètres!$A$1:$I$89,3,0)*0.475*44/12</f>
        <v>0.85706177817144835</v>
      </c>
      <c r="AB124" s="23">
        <f>EXP(-LN(2)/2)*AB123+(1-EXP(-LN(2)/2))/(LN(2)/2)*V124*Y124*VLOOKUP('Données projet'!$B$9,Paramètres!$A$1:$I$89,3,0)*0.475*44/12</f>
        <v>4.5271717813381636E-13</v>
      </c>
      <c r="AC124" s="24">
        <f t="shared" si="57"/>
        <v>1.2203226533441183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269.64423257646359</v>
      </c>
      <c r="AO124" s="62">
        <f t="shared" si="90"/>
        <v>161.0819079811821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8.5265128291212022E-14</v>
      </c>
      <c r="BE124" s="14">
        <f>BD124*VLOOKUP('Données projet'!$B$11,Paramètres!$A$1:$I$89,3,0)*VLOOKUP('Données projet'!$B$11,Paramètres!$A$1:$I$89,5,0)</f>
        <v>3.990408004028723E-14</v>
      </c>
      <c r="BF124" s="14">
        <f t="shared" si="91"/>
        <v>6.6713074187844705E-13</v>
      </c>
      <c r="BG124" s="22">
        <f t="shared" si="61"/>
        <v>1.2314189815084623E-12</v>
      </c>
      <c r="BH124" s="62">
        <f t="shared" si="62"/>
        <v>293.33333333333456</v>
      </c>
      <c r="BI124" s="62">
        <f ca="1">AVERAGE(OFFSET($BH$3,0,0,'Données projet'!$E$11+1,1))-AVERAGE(OFFSET($H$3,0,0,'Données projet'!$E$11+1,1))</f>
        <v>90.797383835887558</v>
      </c>
      <c r="BJ124" s="62">
        <f t="shared" si="92"/>
        <v>104.31413437636684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0.15921265841707599</v>
      </c>
      <c r="BQ124" s="23">
        <f>EXP(-LN(2)/25)*BQ123+(1-EXP(-LN(2)/25))/(LN(2)/25)*Calculateur!BL124*Calculateur!BN124*VLOOKUP('Données projet'!$B$11,Paramètres!$A$1:$I$89,3,0)*0.475*44/12</f>
        <v>0.34037443257615546</v>
      </c>
      <c r="BR124" s="23">
        <f>EXP(-LN(2)/2)*BR123+(1-EXP(-LN(2)/2))/(LN(2)/2)*BL124*BO124*VLOOKUP('Données projet'!$B$11,Paramètres!$A$1:$I$89,3,0)*0.475*44/12</f>
        <v>5.947094506421397E-14</v>
      </c>
      <c r="BS124" s="24">
        <f t="shared" si="63"/>
        <v>0.49958709099329091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304</v>
      </c>
      <c r="BZ124" s="14">
        <f>BY124*VLOOKUP('Données projet'!$B$12,Paramètres!$A$1:$I$89,3,0)*VLOOKUP('Données projet'!$B$12,Paramètres!$A$1:$I$89,5,0)</f>
        <v>189.696</v>
      </c>
      <c r="CA124" s="14">
        <f t="shared" si="93"/>
        <v>47.472736505152469</v>
      </c>
      <c r="CB124" s="22">
        <f t="shared" si="64"/>
        <v>413.06888274647389</v>
      </c>
      <c r="CC124" s="62">
        <f t="shared" si="65"/>
        <v>706.4022160798072</v>
      </c>
      <c r="CD124" s="62">
        <f ca="1">AVERAGE(OFFSET($CC$3,0,0,'Données projet'!$E$12+1,1))-AVERAGE(OFFSET($H$3,0,0,'Données projet'!$E$12+1,1))</f>
        <v>179.44051550872138</v>
      </c>
      <c r="CE124" s="62">
        <f t="shared" si="94"/>
        <v>272.9500808380069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0.82334015241070357</v>
      </c>
      <c r="CL124" s="23">
        <f>EXP(-LN(2)/25)*CL123+(1-EXP(-LN(2)/25))/(LN(2)/25)*Calculateur!CG124*Calculateur!CI124*VLOOKUP('Données projet'!$B$12,Paramètres!$A$1:$I$89,3,0)*0.475*44/12</f>
        <v>1.6095125987379553</v>
      </c>
      <c r="CM124" s="23">
        <f>EXP(-LN(2)/2)*CM123+(1-EXP(-LN(2)/2))/(LN(2)/2)*CG124*CJ124*VLOOKUP('Données projet'!$B$12,Paramètres!$A$1:$I$89,3,0)*0.475*44/12</f>
        <v>4.1415800600524116E-13</v>
      </c>
      <c r="CN124" s="24">
        <f t="shared" si="66"/>
        <v>2.4328527511490732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277.99999999999994</v>
      </c>
      <c r="CU124" s="18">
        <f>CT124*VLOOKUP('Données projet'!$B$13,Paramètres!$A$1:$I$89,3,0)*VLOOKUP('Données projet'!$B$13,Paramètres!$A$1:$I$89,5,0)</f>
        <v>151.78799999999998</v>
      </c>
      <c r="CV124" s="14">
        <f t="shared" si="95"/>
        <v>38.984634390835623</v>
      </c>
      <c r="CW124" s="22">
        <f t="shared" si="67"/>
        <v>332.26233823070532</v>
      </c>
      <c r="CX124" s="62">
        <f t="shared" si="68"/>
        <v>625.59567156403864</v>
      </c>
      <c r="CY124" s="62">
        <f ca="1">AVERAGE(OFFSET($CX$3,0,0,'Données projet'!$E$13+1,1))-AVERAGE(OFFSET($H$3,0,0,'Données projet'!$E$13+1,1))</f>
        <v>159.92263609041913</v>
      </c>
      <c r="CZ124" s="62">
        <f t="shared" si="96"/>
        <v>271.78119133009307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1.0794118779187782</v>
      </c>
      <c r="DG124" s="23">
        <f>EXP(-LN(2)/25)*DG123+(1-EXP(-LN(2)/25))/(LN(2)/25)*Calculateur!DB124*Calculateur!DD124*VLOOKUP('Données projet'!$B$13,Paramètres!$A$1:$I$89,3,0)*0.475*44/12</f>
        <v>2.3472324955490342</v>
      </c>
      <c r="DH124" s="23">
        <f>EXP(-LN(2)/2)*DH123+(1-EXP(-LN(2)/2))/(LN(2)/2)*DB124*DE124*VLOOKUP('Données projet'!$B$13,Paramètres!$A$1:$I$89,3,0)*0.475*44/12</f>
        <v>5.5135974051622286E-13</v>
      </c>
      <c r="DI124" s="24">
        <f t="shared" si="69"/>
        <v>3.4266443734683643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-5.4683368944097308E-14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122.60806128440754</v>
      </c>
      <c r="DU124" s="62">
        <f t="shared" si="98"/>
        <v>73.937252053142004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0</v>
      </c>
      <c r="EP124" s="62">
        <f t="shared" si="100"/>
        <v>0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382.55387448074327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0.3561375509773459</v>
      </c>
      <c r="AA125" s="23">
        <f>EXP(-LN(2)/25)*AA124+(1-EXP(-LN(2)/25))/(LN(2)/25)*Calculateur!V125*Calculateur!X125*VLOOKUP('Données projet'!$B$9,Paramètres!$A$1:$I$89,3,0)*0.475*44/12</f>
        <v>0.83362537877643006</v>
      </c>
      <c r="AB125" s="23">
        <f>EXP(-LN(2)/2)*AB124+(1-EXP(-LN(2)/2))/(LN(2)/2)*V125*Y125*VLOOKUP('Données projet'!$B$9,Paramètres!$A$1:$I$89,3,0)*0.475*44/12</f>
        <v>3.2011938661805977E-13</v>
      </c>
      <c r="AC125" s="24">
        <f t="shared" si="57"/>
        <v>1.1897629297540961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269.64423257646359</v>
      </c>
      <c r="AO125" s="62">
        <f t="shared" si="90"/>
        <v>161.0819079811821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8.5265128291212022E-14</v>
      </c>
      <c r="BE125" s="14">
        <f>BD125*VLOOKUP('Données projet'!$B$11,Paramètres!$A$1:$I$89,3,0)*VLOOKUP('Données projet'!$B$11,Paramètres!$A$1:$I$89,5,0)</f>
        <v>3.990408004028723E-14</v>
      </c>
      <c r="BF125" s="14">
        <f t="shared" si="91"/>
        <v>6.6713074187844705E-13</v>
      </c>
      <c r="BG125" s="22">
        <f t="shared" si="61"/>
        <v>1.2314189815084623E-12</v>
      </c>
      <c r="BH125" s="62">
        <f t="shared" si="62"/>
        <v>293.33333333333456</v>
      </c>
      <c r="BI125" s="62">
        <f ca="1">AVERAGE(OFFSET($BH$3,0,0,'Données projet'!$E$11+1,1))-AVERAGE(OFFSET($H$3,0,0,'Données projet'!$E$11+1,1))</f>
        <v>90.797383835887558</v>
      </c>
      <c r="BJ125" s="62">
        <f t="shared" si="92"/>
        <v>104.31413437636684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0.15609059529564995</v>
      </c>
      <c r="BQ125" s="23">
        <f>EXP(-LN(2)/25)*BQ124+(1-EXP(-LN(2)/25))/(LN(2)/25)*Calculateur!BL125*Calculateur!BN125*VLOOKUP('Données projet'!$B$11,Paramètres!$A$1:$I$89,3,0)*0.475*44/12</f>
        <v>0.331066875817847</v>
      </c>
      <c r="BR125" s="23">
        <f>EXP(-LN(2)/2)*BR124+(1-EXP(-LN(2)/2))/(LN(2)/2)*BL125*BO125*VLOOKUP('Données projet'!$B$11,Paramètres!$A$1:$I$89,3,0)*0.475*44/12</f>
        <v>4.2052308538478337E-14</v>
      </c>
      <c r="BS125" s="24">
        <f t="shared" si="63"/>
        <v>0.48715747111353902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304</v>
      </c>
      <c r="BZ125" s="14">
        <f>BY125*VLOOKUP('Données projet'!$B$12,Paramètres!$A$1:$I$89,3,0)*VLOOKUP('Données projet'!$B$12,Paramètres!$A$1:$I$89,5,0)</f>
        <v>189.696</v>
      </c>
      <c r="CA125" s="14">
        <f t="shared" si="93"/>
        <v>47.472736505152469</v>
      </c>
      <c r="CB125" s="22">
        <f t="shared" si="64"/>
        <v>413.06888274647389</v>
      </c>
      <c r="CC125" s="62">
        <f t="shared" si="65"/>
        <v>706.4022160798072</v>
      </c>
      <c r="CD125" s="62">
        <f ca="1">AVERAGE(OFFSET($CC$3,0,0,'Données projet'!$E$12+1,1))-AVERAGE(OFFSET($H$3,0,0,'Données projet'!$E$12+1,1))</f>
        <v>179.44051550872138</v>
      </c>
      <c r="CE125" s="62">
        <f t="shared" si="94"/>
        <v>272.9500808380069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0.80719495420983567</v>
      </c>
      <c r="CL125" s="23">
        <f>EXP(-LN(2)/25)*CL124+(1-EXP(-LN(2)/25))/(LN(2)/25)*Calculateur!CG125*Calculateur!CI125*VLOOKUP('Données projet'!$B$12,Paramètres!$A$1:$I$89,3,0)*0.475*44/12</f>
        <v>1.5655003920848769</v>
      </c>
      <c r="CM125" s="23">
        <f>EXP(-LN(2)/2)*CM124+(1-EXP(-LN(2)/2))/(LN(2)/2)*CG125*CJ125*VLOOKUP('Données projet'!$B$12,Paramètres!$A$1:$I$89,3,0)*0.475*44/12</f>
        <v>2.9285393452900489E-13</v>
      </c>
      <c r="CN125" s="24">
        <f t="shared" si="66"/>
        <v>2.3726953462950053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277.99999999999994</v>
      </c>
      <c r="CU125" s="18">
        <f>CT125*VLOOKUP('Données projet'!$B$13,Paramètres!$A$1:$I$89,3,0)*VLOOKUP('Données projet'!$B$13,Paramètres!$A$1:$I$89,5,0)</f>
        <v>151.78799999999998</v>
      </c>
      <c r="CV125" s="14">
        <f t="shared" si="95"/>
        <v>38.984634390835623</v>
      </c>
      <c r="CW125" s="22">
        <f t="shared" si="67"/>
        <v>332.26233823070532</v>
      </c>
      <c r="CX125" s="62">
        <f t="shared" si="68"/>
        <v>625.59567156403864</v>
      </c>
      <c r="CY125" s="62">
        <f ca="1">AVERAGE(OFFSET($CX$3,0,0,'Données projet'!$E$13+1,1))-AVERAGE(OFFSET($H$3,0,0,'Données projet'!$E$13+1,1))</f>
        <v>159.92263609041913</v>
      </c>
      <c r="CZ125" s="62">
        <f t="shared" si="96"/>
        <v>271.78119133009307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1.0582452693690272</v>
      </c>
      <c r="DG125" s="23">
        <f>EXP(-LN(2)/25)*DG124+(1-EXP(-LN(2)/25))/(LN(2)/25)*Calculateur!DB125*Calculateur!DD125*VLOOKUP('Données projet'!$B$13,Paramètres!$A$1:$I$89,3,0)*0.475*44/12</f>
        <v>2.2830472995226536</v>
      </c>
      <c r="DH125" s="23">
        <f>EXP(-LN(2)/2)*DH124+(1-EXP(-LN(2)/2))/(LN(2)/2)*DB125*DE125*VLOOKUP('Données projet'!$B$13,Paramètres!$A$1:$I$89,3,0)*0.475*44/12</f>
        <v>3.8987021139227642E-13</v>
      </c>
      <c r="DI125" s="24">
        <f t="shared" si="69"/>
        <v>3.3412925688920705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-5.4683368944097308E-14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122.60806128440754</v>
      </c>
      <c r="DU125" s="62">
        <f t="shared" si="98"/>
        <v>73.937252053142004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0</v>
      </c>
      <c r="EP125" s="62">
        <f t="shared" si="100"/>
        <v>0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382.55387448074327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0.3491539108251373</v>
      </c>
      <c r="AA126" s="23">
        <f>EXP(-LN(2)/25)*AA125+(1-EXP(-LN(2)/25))/(LN(2)/25)*Calculateur!V126*Calculateur!X126*VLOOKUP('Données projet'!$B$9,Paramètres!$A$1:$I$89,3,0)*0.475*44/12</f>
        <v>0.81082984895533516</v>
      </c>
      <c r="AB126" s="23">
        <f>EXP(-LN(2)/2)*AB125+(1-EXP(-LN(2)/2))/(LN(2)/2)*V126*Y126*VLOOKUP('Données projet'!$B$9,Paramètres!$A$1:$I$89,3,0)*0.475*44/12</f>
        <v>2.2635858906690821E-13</v>
      </c>
      <c r="AC126" s="24">
        <f t="shared" si="57"/>
        <v>1.1599837597806988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269.64423257646359</v>
      </c>
      <c r="AO126" s="62">
        <f t="shared" si="90"/>
        <v>161.0819079811821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8.5265128291212022E-14</v>
      </c>
      <c r="BE126" s="14">
        <f>BD126*VLOOKUP('Données projet'!$B$11,Paramètres!$A$1:$I$89,3,0)*VLOOKUP('Données projet'!$B$11,Paramètres!$A$1:$I$89,5,0)</f>
        <v>3.990408004028723E-14</v>
      </c>
      <c r="BF126" s="14">
        <f t="shared" si="91"/>
        <v>6.6713074187844705E-13</v>
      </c>
      <c r="BG126" s="22">
        <f t="shared" si="61"/>
        <v>1.2314189815084623E-12</v>
      </c>
      <c r="BH126" s="62">
        <f t="shared" si="62"/>
        <v>293.33333333333456</v>
      </c>
      <c r="BI126" s="62">
        <f ca="1">AVERAGE(OFFSET($BH$3,0,0,'Données projet'!$E$11+1,1))-AVERAGE(OFFSET($H$3,0,0,'Données projet'!$E$11+1,1))</f>
        <v>90.797383835887558</v>
      </c>
      <c r="BJ126" s="62">
        <f t="shared" si="92"/>
        <v>104.31413437636684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0.15302975392776458</v>
      </c>
      <c r="BQ126" s="23">
        <f>EXP(-LN(2)/25)*BQ125+(1-EXP(-LN(2)/25))/(LN(2)/25)*Calculateur!BL126*Calculateur!BN126*VLOOKUP('Données projet'!$B$11,Paramètres!$A$1:$I$89,3,0)*0.475*44/12</f>
        <v>0.32201383468855765</v>
      </c>
      <c r="BR126" s="23">
        <f>EXP(-LN(2)/2)*BR125+(1-EXP(-LN(2)/2))/(LN(2)/2)*BL126*BO126*VLOOKUP('Données projet'!$B$11,Paramètres!$A$1:$I$89,3,0)*0.475*44/12</f>
        <v>2.9735472532106985E-14</v>
      </c>
      <c r="BS126" s="24">
        <f t="shared" si="63"/>
        <v>0.47504358861635199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304</v>
      </c>
      <c r="BZ126" s="14">
        <f>BY126*VLOOKUP('Données projet'!$B$12,Paramètres!$A$1:$I$89,3,0)*VLOOKUP('Données projet'!$B$12,Paramètres!$A$1:$I$89,5,0)</f>
        <v>189.696</v>
      </c>
      <c r="CA126" s="14">
        <f t="shared" si="93"/>
        <v>47.472736505152469</v>
      </c>
      <c r="CB126" s="22">
        <f t="shared" si="64"/>
        <v>413.06888274647389</v>
      </c>
      <c r="CC126" s="62">
        <f t="shared" si="65"/>
        <v>706.4022160798072</v>
      </c>
      <c r="CD126" s="62">
        <f ca="1">AVERAGE(OFFSET($CC$3,0,0,'Données projet'!$E$12+1,1))-AVERAGE(OFFSET($H$3,0,0,'Données projet'!$E$12+1,1))</f>
        <v>179.44051550872138</v>
      </c>
      <c r="CE126" s="62">
        <f t="shared" si="94"/>
        <v>272.9500808380069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0.79136635349808826</v>
      </c>
      <c r="CL126" s="23">
        <f>EXP(-LN(2)/25)*CL125+(1-EXP(-LN(2)/25))/(LN(2)/25)*Calculateur!CG126*Calculateur!CI126*VLOOKUP('Données projet'!$B$12,Paramètres!$A$1:$I$89,3,0)*0.475*44/12</f>
        <v>1.5226917015372283</v>
      </c>
      <c r="CM126" s="23">
        <f>EXP(-LN(2)/2)*CM125+(1-EXP(-LN(2)/2))/(LN(2)/2)*CG126*CJ126*VLOOKUP('Données projet'!$B$12,Paramètres!$A$1:$I$89,3,0)*0.475*44/12</f>
        <v>2.0707900300262058E-13</v>
      </c>
      <c r="CN126" s="24">
        <f t="shared" si="66"/>
        <v>2.3140580550355234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277.99999999999994</v>
      </c>
      <c r="CU126" s="18">
        <f>CT126*VLOOKUP('Données projet'!$B$13,Paramètres!$A$1:$I$89,3,0)*VLOOKUP('Données projet'!$B$13,Paramètres!$A$1:$I$89,5,0)</f>
        <v>151.78799999999998</v>
      </c>
      <c r="CV126" s="14">
        <f t="shared" si="95"/>
        <v>38.984634390835623</v>
      </c>
      <c r="CW126" s="22">
        <f t="shared" si="67"/>
        <v>332.26233823070532</v>
      </c>
      <c r="CX126" s="62">
        <f t="shared" si="68"/>
        <v>625.59567156403864</v>
      </c>
      <c r="CY126" s="62">
        <f ca="1">AVERAGE(OFFSET($CX$3,0,0,'Données projet'!$E$13+1,1))-AVERAGE(OFFSET($H$3,0,0,'Données projet'!$E$13+1,1))</f>
        <v>159.92263609041913</v>
      </c>
      <c r="CZ126" s="62">
        <f t="shared" si="96"/>
        <v>271.78119133009307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1.0374937251025804</v>
      </c>
      <c r="DG126" s="23">
        <f>EXP(-LN(2)/25)*DG125+(1-EXP(-LN(2)/25))/(LN(2)/25)*Calculateur!DB126*Calculateur!DD126*VLOOKUP('Données projet'!$B$13,Paramètres!$A$1:$I$89,3,0)*0.475*44/12</f>
        <v>2.2206172510569671</v>
      </c>
      <c r="DH126" s="23">
        <f>EXP(-LN(2)/2)*DH125+(1-EXP(-LN(2)/2))/(LN(2)/2)*DB126*DE126*VLOOKUP('Données projet'!$B$13,Paramètres!$A$1:$I$89,3,0)*0.475*44/12</f>
        <v>2.7567987025811143E-13</v>
      </c>
      <c r="DI126" s="24">
        <f t="shared" si="69"/>
        <v>3.258110976159823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-5.4683368944097308E-14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122.60806128440754</v>
      </c>
      <c r="DU126" s="62">
        <f t="shared" si="98"/>
        <v>73.937252053142004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0</v>
      </c>
      <c r="EP126" s="62">
        <f t="shared" si="100"/>
        <v>0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382.55387448074327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0.34230721559671362</v>
      </c>
      <c r="AA127" s="23">
        <f>EXP(-LN(2)/25)*AA126+(1-EXP(-LN(2)/25))/(LN(2)/25)*Calculateur!V127*Calculateur!X127*VLOOKUP('Données projet'!$B$9,Paramètres!$A$1:$I$89,3,0)*0.475*44/12</f>
        <v>0.78865766409596294</v>
      </c>
      <c r="AB127" s="23">
        <f>EXP(-LN(2)/2)*AB126+(1-EXP(-LN(2)/2))/(LN(2)/2)*V127*Y127*VLOOKUP('Données projet'!$B$9,Paramètres!$A$1:$I$89,3,0)*0.475*44/12</f>
        <v>1.6005969330902991E-13</v>
      </c>
      <c r="AC127" s="24">
        <f t="shared" si="57"/>
        <v>1.1309648796928367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269.64423257646359</v>
      </c>
      <c r="AO127" s="62">
        <f t="shared" si="90"/>
        <v>161.0819079811821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8.5265128291212022E-14</v>
      </c>
      <c r="BE127" s="14">
        <f>BD127*VLOOKUP('Données projet'!$B$11,Paramètres!$A$1:$I$89,3,0)*VLOOKUP('Données projet'!$B$11,Paramètres!$A$1:$I$89,5,0)</f>
        <v>3.990408004028723E-14</v>
      </c>
      <c r="BF127" s="14">
        <f t="shared" si="91"/>
        <v>6.6713074187844705E-13</v>
      </c>
      <c r="BG127" s="22">
        <f t="shared" si="61"/>
        <v>1.2314189815084623E-12</v>
      </c>
      <c r="BH127" s="62">
        <f t="shared" si="62"/>
        <v>293.33333333333456</v>
      </c>
      <c r="BI127" s="62">
        <f ca="1">AVERAGE(OFFSET($BH$3,0,0,'Données projet'!$E$11+1,1))-AVERAGE(OFFSET($H$3,0,0,'Données projet'!$E$11+1,1))</f>
        <v>90.797383835887558</v>
      </c>
      <c r="BJ127" s="62">
        <f t="shared" si="92"/>
        <v>104.31413437636684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0.15002893379217455</v>
      </c>
      <c r="BQ127" s="23">
        <f>EXP(-LN(2)/25)*BQ126+(1-EXP(-LN(2)/25))/(LN(2)/25)*Calculateur!BL127*Calculateur!BN127*VLOOKUP('Données projet'!$B$11,Paramètres!$A$1:$I$89,3,0)*0.475*44/12</f>
        <v>0.31320834944502746</v>
      </c>
      <c r="BR127" s="23">
        <f>EXP(-LN(2)/2)*BR126+(1-EXP(-LN(2)/2))/(LN(2)/2)*BL127*BO127*VLOOKUP('Données projet'!$B$11,Paramètres!$A$1:$I$89,3,0)*0.475*44/12</f>
        <v>2.1026154269239168E-14</v>
      </c>
      <c r="BS127" s="24">
        <f t="shared" si="63"/>
        <v>0.46323728323722307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304</v>
      </c>
      <c r="BZ127" s="14">
        <f>BY127*VLOOKUP('Données projet'!$B$12,Paramètres!$A$1:$I$89,3,0)*VLOOKUP('Données projet'!$B$12,Paramètres!$A$1:$I$89,5,0)</f>
        <v>189.696</v>
      </c>
      <c r="CA127" s="14">
        <f t="shared" si="93"/>
        <v>47.472736505152469</v>
      </c>
      <c r="CB127" s="22">
        <f t="shared" si="64"/>
        <v>413.06888274647389</v>
      </c>
      <c r="CC127" s="62">
        <f t="shared" si="65"/>
        <v>706.4022160798072</v>
      </c>
      <c r="CD127" s="62">
        <f ca="1">AVERAGE(OFFSET($CC$3,0,0,'Données projet'!$E$12+1,1))-AVERAGE(OFFSET($H$3,0,0,'Données projet'!$E$12+1,1))</f>
        <v>179.44051550872138</v>
      </c>
      <c r="CE127" s="62">
        <f t="shared" si="94"/>
        <v>272.9500808380069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0.77584814199180507</v>
      </c>
      <c r="CL127" s="23">
        <f>EXP(-LN(2)/25)*CL126+(1-EXP(-LN(2)/25))/(LN(2)/25)*Calculateur!CG127*Calculateur!CI127*VLOOKUP('Données projet'!$B$12,Paramètres!$A$1:$I$89,3,0)*0.475*44/12</f>
        <v>1.4810536168838164</v>
      </c>
      <c r="CM127" s="23">
        <f>EXP(-LN(2)/2)*CM126+(1-EXP(-LN(2)/2))/(LN(2)/2)*CG127*CJ127*VLOOKUP('Données projet'!$B$12,Paramètres!$A$1:$I$89,3,0)*0.475*44/12</f>
        <v>1.4642696726450245E-13</v>
      </c>
      <c r="CN127" s="24">
        <f t="shared" si="66"/>
        <v>2.256901758875768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277.99999999999994</v>
      </c>
      <c r="CU127" s="18">
        <f>CT127*VLOOKUP('Données projet'!$B$13,Paramètres!$A$1:$I$89,3,0)*VLOOKUP('Données projet'!$B$13,Paramètres!$A$1:$I$89,5,0)</f>
        <v>151.78799999999998</v>
      </c>
      <c r="CV127" s="14">
        <f t="shared" si="95"/>
        <v>38.984634390835623</v>
      </c>
      <c r="CW127" s="22">
        <f t="shared" si="67"/>
        <v>332.26233823070532</v>
      </c>
      <c r="CX127" s="62">
        <f t="shared" si="68"/>
        <v>625.59567156403864</v>
      </c>
      <c r="CY127" s="62">
        <f ca="1">AVERAGE(OFFSET($CX$3,0,0,'Données projet'!$E$13+1,1))-AVERAGE(OFFSET($H$3,0,0,'Données projet'!$E$13+1,1))</f>
        <v>159.92263609041913</v>
      </c>
      <c r="CZ127" s="62">
        <f t="shared" si="96"/>
        <v>271.78119133009307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1.0171491059620064</v>
      </c>
      <c r="DG127" s="23">
        <f>EXP(-LN(2)/25)*DG126+(1-EXP(-LN(2)/25))/(LN(2)/25)*Calculateur!DB127*Calculateur!DD127*VLOOKUP('Données projet'!$B$13,Paramètres!$A$1:$I$89,3,0)*0.475*44/12</f>
        <v>2.1598943555496284</v>
      </c>
      <c r="DH127" s="23">
        <f>EXP(-LN(2)/2)*DH126+(1-EXP(-LN(2)/2))/(LN(2)/2)*DB127*DE127*VLOOKUP('Données projet'!$B$13,Paramètres!$A$1:$I$89,3,0)*0.475*44/12</f>
        <v>1.9493510569613821E-13</v>
      </c>
      <c r="DI127" s="24">
        <f t="shared" si="69"/>
        <v>3.1770434615118295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-5.4683368944097308E-14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122.60806128440754</v>
      </c>
      <c r="DU127" s="62">
        <f t="shared" si="98"/>
        <v>73.937252053142004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0</v>
      </c>
      <c r="EP127" s="62">
        <f t="shared" si="100"/>
        <v>0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382.55387448074327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0.33559477988564762</v>
      </c>
      <c r="AA128" s="23">
        <f>EXP(-LN(2)/25)*AA127+(1-EXP(-LN(2)/25))/(LN(2)/25)*Calculateur!V128*Calculateur!X128*VLOOKUP('Données projet'!$B$9,Paramètres!$A$1:$I$89,3,0)*0.475*44/12</f>
        <v>0.76709177879755475</v>
      </c>
      <c r="AB128" s="23">
        <f>EXP(-LN(2)/2)*AB127+(1-EXP(-LN(2)/2))/(LN(2)/2)*V128*Y128*VLOOKUP('Données projet'!$B$9,Paramètres!$A$1:$I$89,3,0)*0.475*44/12</f>
        <v>1.1317929453345413E-13</v>
      </c>
      <c r="AC128" s="24">
        <f t="shared" si="57"/>
        <v>1.1026865586833157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269.64423257646359</v>
      </c>
      <c r="AO128" s="62">
        <f t="shared" si="90"/>
        <v>161.0819079811821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8.5265128291212022E-14</v>
      </c>
      <c r="BE128" s="14">
        <f>BD128*VLOOKUP('Données projet'!$B$11,Paramètres!$A$1:$I$89,3,0)*VLOOKUP('Données projet'!$B$11,Paramètres!$A$1:$I$89,5,0)</f>
        <v>3.990408004028723E-14</v>
      </c>
      <c r="BF128" s="14">
        <f t="shared" si="91"/>
        <v>6.6713074187844705E-13</v>
      </c>
      <c r="BG128" s="22">
        <f t="shared" si="61"/>
        <v>1.2314189815084623E-12</v>
      </c>
      <c r="BH128" s="62">
        <f t="shared" si="62"/>
        <v>293.33333333333456</v>
      </c>
      <c r="BI128" s="62">
        <f ca="1">AVERAGE(OFFSET($BH$3,0,0,'Données projet'!$E$11+1,1))-AVERAGE(OFFSET($H$3,0,0,'Données projet'!$E$11+1,1))</f>
        <v>90.797383835887558</v>
      </c>
      <c r="BJ128" s="62">
        <f t="shared" si="92"/>
        <v>104.31413437636684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0.14708695790912391</v>
      </c>
      <c r="BQ128" s="23">
        <f>EXP(-LN(2)/25)*BQ127+(1-EXP(-LN(2)/25))/(LN(2)/25)*Calculateur!BL128*Calculateur!BN128*VLOOKUP('Données projet'!$B$11,Paramètres!$A$1:$I$89,3,0)*0.475*44/12</f>
        <v>0.30464365065854193</v>
      </c>
      <c r="BR128" s="23">
        <f>EXP(-LN(2)/2)*BR127+(1-EXP(-LN(2)/2))/(LN(2)/2)*BL128*BO128*VLOOKUP('Données projet'!$B$11,Paramètres!$A$1:$I$89,3,0)*0.475*44/12</f>
        <v>1.4867736266053493E-14</v>
      </c>
      <c r="BS128" s="24">
        <f t="shared" si="63"/>
        <v>0.45173060856768071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304</v>
      </c>
      <c r="BZ128" s="14">
        <f>BY128*VLOOKUP('Données projet'!$B$12,Paramètres!$A$1:$I$89,3,0)*VLOOKUP('Données projet'!$B$12,Paramètres!$A$1:$I$89,5,0)</f>
        <v>189.696</v>
      </c>
      <c r="CA128" s="14">
        <f t="shared" si="93"/>
        <v>47.472736505152469</v>
      </c>
      <c r="CB128" s="22">
        <f t="shared" si="64"/>
        <v>413.06888274647389</v>
      </c>
      <c r="CC128" s="62">
        <f t="shared" si="65"/>
        <v>706.4022160798072</v>
      </c>
      <c r="CD128" s="62">
        <f ca="1">AVERAGE(OFFSET($CC$3,0,0,'Données projet'!$E$12+1,1))-AVERAGE(OFFSET($H$3,0,0,'Données projet'!$E$12+1,1))</f>
        <v>179.44051550872138</v>
      </c>
      <c r="CE128" s="62">
        <f t="shared" si="94"/>
        <v>272.9500808380069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0.76063423314798573</v>
      </c>
      <c r="CL128" s="23">
        <f>EXP(-LN(2)/25)*CL127+(1-EXP(-LN(2)/25))/(LN(2)/25)*Calculateur!CG128*Calculateur!CI128*VLOOKUP('Données projet'!$B$12,Paramètres!$A$1:$I$89,3,0)*0.475*44/12</f>
        <v>1.4405541278449037</v>
      </c>
      <c r="CM128" s="23">
        <f>EXP(-LN(2)/2)*CM127+(1-EXP(-LN(2)/2))/(LN(2)/2)*CG128*CJ128*VLOOKUP('Données projet'!$B$12,Paramètres!$A$1:$I$89,3,0)*0.475*44/12</f>
        <v>1.0353950150131029E-13</v>
      </c>
      <c r="CN128" s="24">
        <f t="shared" si="66"/>
        <v>2.201188360992993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277.99999999999994</v>
      </c>
      <c r="CU128" s="18">
        <f>CT128*VLOOKUP('Données projet'!$B$13,Paramètres!$A$1:$I$89,3,0)*VLOOKUP('Données projet'!$B$13,Paramètres!$A$1:$I$89,5,0)</f>
        <v>151.78799999999998</v>
      </c>
      <c r="CV128" s="14">
        <f t="shared" si="95"/>
        <v>38.984634390835623</v>
      </c>
      <c r="CW128" s="22">
        <f t="shared" si="67"/>
        <v>332.26233823070532</v>
      </c>
      <c r="CX128" s="62">
        <f t="shared" si="68"/>
        <v>625.59567156403864</v>
      </c>
      <c r="CY128" s="62">
        <f ca="1">AVERAGE(OFFSET($CX$3,0,0,'Données projet'!$E$13+1,1))-AVERAGE(OFFSET($H$3,0,0,'Données projet'!$E$13+1,1))</f>
        <v>159.92263609041913</v>
      </c>
      <c r="CZ128" s="62">
        <f t="shared" si="96"/>
        <v>271.78119133009307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0.99720343239378673</v>
      </c>
      <c r="DG128" s="23">
        <f>EXP(-LN(2)/25)*DG127+(1-EXP(-LN(2)/25))/(LN(2)/25)*Calculateur!DB128*Calculateur!DD128*VLOOKUP('Données projet'!$B$13,Paramètres!$A$1:$I$89,3,0)*0.475*44/12</f>
        <v>2.1008319308132162</v>
      </c>
      <c r="DH128" s="23">
        <f>EXP(-LN(2)/2)*DH127+(1-EXP(-LN(2)/2))/(LN(2)/2)*DB128*DE128*VLOOKUP('Données projet'!$B$13,Paramètres!$A$1:$I$89,3,0)*0.475*44/12</f>
        <v>1.3783993512905571E-13</v>
      </c>
      <c r="DI128" s="24">
        <f t="shared" si="69"/>
        <v>3.0980353632071407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-5.4683368944097308E-14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122.60806128440754</v>
      </c>
      <c r="DU128" s="62">
        <f t="shared" si="98"/>
        <v>73.937252053142004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0</v>
      </c>
      <c r="EP128" s="62">
        <f t="shared" si="100"/>
        <v>0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382.55387448074327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0.32901397094469409</v>
      </c>
      <c r="AA129" s="23">
        <f>EXP(-LN(2)/25)*AA128+(1-EXP(-LN(2)/25))/(LN(2)/25)*Calculateur!V129*Calculateur!X129*VLOOKUP('Données projet'!$B$9,Paramètres!$A$1:$I$89,3,0)*0.475*44/12</f>
        <v>0.74611561376673219</v>
      </c>
      <c r="AB129" s="23">
        <f>EXP(-LN(2)/2)*AB128+(1-EXP(-LN(2)/2))/(LN(2)/2)*V129*Y129*VLOOKUP('Données projet'!$B$9,Paramètres!$A$1:$I$89,3,0)*0.475*44/12</f>
        <v>8.0029846654514968E-14</v>
      </c>
      <c r="AC129" s="24">
        <f t="shared" si="57"/>
        <v>1.0751295847115063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269.64423257646359</v>
      </c>
      <c r="AO129" s="62">
        <f t="shared" si="90"/>
        <v>161.0819079811821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8.5265128291212022E-14</v>
      </c>
      <c r="BE129" s="14">
        <f>BD129*VLOOKUP('Données projet'!$B$11,Paramètres!$A$1:$I$89,3,0)*VLOOKUP('Données projet'!$B$11,Paramètres!$A$1:$I$89,5,0)</f>
        <v>3.990408004028723E-14</v>
      </c>
      <c r="BF129" s="14">
        <f t="shared" si="91"/>
        <v>6.6713074187844705E-13</v>
      </c>
      <c r="BG129" s="22">
        <f t="shared" si="61"/>
        <v>1.2314189815084623E-12</v>
      </c>
      <c r="BH129" s="62">
        <f t="shared" si="62"/>
        <v>293.33333333333456</v>
      </c>
      <c r="BI129" s="62">
        <f ca="1">AVERAGE(OFFSET($BH$3,0,0,'Données projet'!$E$11+1,1))-AVERAGE(OFFSET($H$3,0,0,'Données projet'!$E$11+1,1))</f>
        <v>90.797383835887558</v>
      </c>
      <c r="BJ129" s="62">
        <f t="shared" si="92"/>
        <v>104.31413437636684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0.14420267237871176</v>
      </c>
      <c r="BQ129" s="23">
        <f>EXP(-LN(2)/25)*BQ128+(1-EXP(-LN(2)/25))/(LN(2)/25)*Calculateur!BL129*Calculateur!BN129*VLOOKUP('Données projet'!$B$11,Paramètres!$A$1:$I$89,3,0)*0.475*44/12</f>
        <v>0.2963131540107708</v>
      </c>
      <c r="BR129" s="23">
        <f>EXP(-LN(2)/2)*BR128+(1-EXP(-LN(2)/2))/(LN(2)/2)*BL129*BO129*VLOOKUP('Données projet'!$B$11,Paramètres!$A$1:$I$89,3,0)*0.475*44/12</f>
        <v>1.0513077134619584E-14</v>
      </c>
      <c r="BS129" s="24">
        <f t="shared" si="63"/>
        <v>0.44051582638949305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304</v>
      </c>
      <c r="BZ129" s="14">
        <f>BY129*VLOOKUP('Données projet'!$B$12,Paramètres!$A$1:$I$89,3,0)*VLOOKUP('Données projet'!$B$12,Paramètres!$A$1:$I$89,5,0)</f>
        <v>189.696</v>
      </c>
      <c r="CA129" s="14">
        <f t="shared" si="93"/>
        <v>47.472736505152469</v>
      </c>
      <c r="CB129" s="22">
        <f t="shared" si="64"/>
        <v>413.06888274647389</v>
      </c>
      <c r="CC129" s="62">
        <f t="shared" si="65"/>
        <v>706.4022160798072</v>
      </c>
      <c r="CD129" s="62">
        <f ca="1">AVERAGE(OFFSET($CC$3,0,0,'Données projet'!$E$12+1,1))-AVERAGE(OFFSET($H$3,0,0,'Données projet'!$E$12+1,1))</f>
        <v>179.44051550872138</v>
      </c>
      <c r="CE129" s="62">
        <f t="shared" si="94"/>
        <v>272.9500808380069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0.74571865977702556</v>
      </c>
      <c r="CL129" s="23">
        <f>EXP(-LN(2)/25)*CL128+(1-EXP(-LN(2)/25))/(LN(2)/25)*Calculateur!CG129*Calculateur!CI129*VLOOKUP('Données projet'!$B$12,Paramètres!$A$1:$I$89,3,0)*0.475*44/12</f>
        <v>1.4011620994635356</v>
      </c>
      <c r="CM129" s="23">
        <f>EXP(-LN(2)/2)*CM128+(1-EXP(-LN(2)/2))/(LN(2)/2)*CG129*CJ129*VLOOKUP('Données projet'!$B$12,Paramètres!$A$1:$I$89,3,0)*0.475*44/12</f>
        <v>7.3213483632251223E-14</v>
      </c>
      <c r="CN129" s="24">
        <f t="shared" si="66"/>
        <v>2.1468807592406347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277.99999999999994</v>
      </c>
      <c r="CU129" s="18">
        <f>CT129*VLOOKUP('Données projet'!$B$13,Paramètres!$A$1:$I$89,3,0)*VLOOKUP('Données projet'!$B$13,Paramètres!$A$1:$I$89,5,0)</f>
        <v>151.78799999999998</v>
      </c>
      <c r="CV129" s="14">
        <f t="shared" si="95"/>
        <v>38.984634390835623</v>
      </c>
      <c r="CW129" s="22">
        <f t="shared" si="67"/>
        <v>332.26233823070532</v>
      </c>
      <c r="CX129" s="62">
        <f t="shared" si="68"/>
        <v>625.59567156403864</v>
      </c>
      <c r="CY129" s="62">
        <f ca="1">AVERAGE(OFFSET($CX$3,0,0,'Données projet'!$E$13+1,1))-AVERAGE(OFFSET($H$3,0,0,'Données projet'!$E$13+1,1))</f>
        <v>159.92263609041913</v>
      </c>
      <c r="CZ129" s="62">
        <f t="shared" si="96"/>
        <v>271.78119133009307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0.97764888131858019</v>
      </c>
      <c r="DG129" s="23">
        <f>EXP(-LN(2)/25)*DG128+(1-EXP(-LN(2)/25))/(LN(2)/25)*Calculateur!DB129*Calculateur!DD129*VLOOKUP('Données projet'!$B$13,Paramètres!$A$1:$I$89,3,0)*0.475*44/12</f>
        <v>2.043384571187179</v>
      </c>
      <c r="DH129" s="23">
        <f>EXP(-LN(2)/2)*DH128+(1-EXP(-LN(2)/2))/(LN(2)/2)*DB129*DE129*VLOOKUP('Données projet'!$B$13,Paramètres!$A$1:$I$89,3,0)*0.475*44/12</f>
        <v>9.7467552848069106E-14</v>
      </c>
      <c r="DI129" s="24">
        <f t="shared" si="69"/>
        <v>3.0210334525058564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-5.4683368944097308E-14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122.60806128440754</v>
      </c>
      <c r="DU129" s="62">
        <f t="shared" si="98"/>
        <v>73.937252053142004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0</v>
      </c>
      <c r="EP129" s="62">
        <f t="shared" si="100"/>
        <v>0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382.55387448074327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0.32256220765317556</v>
      </c>
      <c r="AA130" s="23">
        <f>EXP(-LN(2)/25)*AA129+(1-EXP(-LN(2)/25))/(LN(2)/25)*Calculateur!V130*Calculateur!X130*VLOOKUP('Données projet'!$B$9,Paramètres!$A$1:$I$89,3,0)*0.475*44/12</f>
        <v>0.72571304307176598</v>
      </c>
      <c r="AB130" s="23">
        <f>EXP(-LN(2)/2)*AB129+(1-EXP(-LN(2)/2))/(LN(2)/2)*V130*Y130*VLOOKUP('Données projet'!$B$9,Paramètres!$A$1:$I$89,3,0)*0.475*44/12</f>
        <v>5.658964726672707E-14</v>
      </c>
      <c r="AC130" s="24">
        <f t="shared" si="57"/>
        <v>1.0482752507249982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269.64423257646359</v>
      </c>
      <c r="AO130" s="62">
        <f t="shared" si="90"/>
        <v>161.0819079811821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8.5265128291212022E-14</v>
      </c>
      <c r="BE130" s="14">
        <f>BD130*VLOOKUP('Données projet'!$B$11,Paramètres!$A$1:$I$89,3,0)*VLOOKUP('Données projet'!$B$11,Paramètres!$A$1:$I$89,5,0)</f>
        <v>3.990408004028723E-14</v>
      </c>
      <c r="BF130" s="14">
        <f t="shared" si="91"/>
        <v>6.6713074187844705E-13</v>
      </c>
      <c r="BG130" s="22">
        <f t="shared" si="61"/>
        <v>1.2314189815084623E-12</v>
      </c>
      <c r="BH130" s="62">
        <f t="shared" si="62"/>
        <v>293.33333333333456</v>
      </c>
      <c r="BI130" s="62">
        <f ca="1">AVERAGE(OFFSET($BH$3,0,0,'Données projet'!$E$11+1,1))-AVERAGE(OFFSET($H$3,0,0,'Données projet'!$E$11+1,1))</f>
        <v>90.797383835887558</v>
      </c>
      <c r="BJ130" s="62">
        <f t="shared" si="92"/>
        <v>104.31413437636684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0.14137494592831054</v>
      </c>
      <c r="BQ130" s="23">
        <f>EXP(-LN(2)/25)*BQ129+(1-EXP(-LN(2)/25))/(LN(2)/25)*Calculateur!BL130*Calculateur!BN130*VLOOKUP('Données projet'!$B$11,Paramètres!$A$1:$I$89,3,0)*0.475*44/12</f>
        <v>0.28821045523191474</v>
      </c>
      <c r="BR130" s="23">
        <f>EXP(-LN(2)/2)*BR129+(1-EXP(-LN(2)/2))/(LN(2)/2)*BL130*BO130*VLOOKUP('Données projet'!$B$11,Paramètres!$A$1:$I$89,3,0)*0.475*44/12</f>
        <v>7.4338681330267463E-15</v>
      </c>
      <c r="BS130" s="24">
        <f t="shared" si="63"/>
        <v>0.42958540116023269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304</v>
      </c>
      <c r="BZ130" s="14">
        <f>BY130*VLOOKUP('Données projet'!$B$12,Paramètres!$A$1:$I$89,3,0)*VLOOKUP('Données projet'!$B$12,Paramètres!$A$1:$I$89,5,0)</f>
        <v>189.696</v>
      </c>
      <c r="CA130" s="14">
        <f t="shared" si="93"/>
        <v>47.472736505152469</v>
      </c>
      <c r="CB130" s="22">
        <f t="shared" si="64"/>
        <v>413.06888274647389</v>
      </c>
      <c r="CC130" s="62">
        <f t="shared" si="65"/>
        <v>706.4022160798072</v>
      </c>
      <c r="CD130" s="62">
        <f ca="1">AVERAGE(OFFSET($CC$3,0,0,'Données projet'!$E$12+1,1))-AVERAGE(OFFSET($H$3,0,0,'Données projet'!$E$12+1,1))</f>
        <v>179.44051550872138</v>
      </c>
      <c r="CE130" s="62">
        <f t="shared" si="94"/>
        <v>272.9500808380069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0.73109557170226847</v>
      </c>
      <c r="CL130" s="23">
        <f>EXP(-LN(2)/25)*CL129+(1-EXP(-LN(2)/25))/(LN(2)/25)*Calculateur!CG130*Calculateur!CI130*VLOOKUP('Données projet'!$B$12,Paramètres!$A$1:$I$89,3,0)*0.475*44/12</f>
        <v>1.3628472481697929</v>
      </c>
      <c r="CM130" s="23">
        <f>EXP(-LN(2)/2)*CM129+(1-EXP(-LN(2)/2))/(LN(2)/2)*CG130*CJ130*VLOOKUP('Données projet'!$B$12,Paramètres!$A$1:$I$89,3,0)*0.475*44/12</f>
        <v>5.1769750750655145E-14</v>
      </c>
      <c r="CN130" s="24">
        <f t="shared" si="66"/>
        <v>2.0939428198721131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277.99999999999994</v>
      </c>
      <c r="CU130" s="18">
        <f>CT130*VLOOKUP('Données projet'!$B$13,Paramètres!$A$1:$I$89,3,0)*VLOOKUP('Données projet'!$B$13,Paramètres!$A$1:$I$89,5,0)</f>
        <v>151.78799999999998</v>
      </c>
      <c r="CV130" s="14">
        <f t="shared" si="95"/>
        <v>38.984634390835623</v>
      </c>
      <c r="CW130" s="22">
        <f t="shared" si="67"/>
        <v>332.26233823070532</v>
      </c>
      <c r="CX130" s="62">
        <f t="shared" si="68"/>
        <v>625.59567156403864</v>
      </c>
      <c r="CY130" s="62">
        <f ca="1">AVERAGE(OFFSET($CX$3,0,0,'Données projet'!$E$13+1,1))-AVERAGE(OFFSET($H$3,0,0,'Données projet'!$E$13+1,1))</f>
        <v>159.92263609041913</v>
      </c>
      <c r="CZ130" s="62">
        <f t="shared" si="96"/>
        <v>271.78119133009307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0.95847778306286002</v>
      </c>
      <c r="DG130" s="23">
        <f>EXP(-LN(2)/25)*DG129+(1-EXP(-LN(2)/25))/(LN(2)/25)*Calculateur!DB130*Calculateur!DD130*VLOOKUP('Données projet'!$B$13,Paramètres!$A$1:$I$89,3,0)*0.475*44/12</f>
        <v>1.9875081126311411</v>
      </c>
      <c r="DH130" s="23">
        <f>EXP(-LN(2)/2)*DH129+(1-EXP(-LN(2)/2))/(LN(2)/2)*DB130*DE130*VLOOKUP('Données projet'!$B$13,Paramètres!$A$1:$I$89,3,0)*0.475*44/12</f>
        <v>6.8919967564527857E-14</v>
      </c>
      <c r="DI130" s="24">
        <f t="shared" si="69"/>
        <v>2.9459858956940699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-5.4683368944097308E-14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122.60806128440754</v>
      </c>
      <c r="DU130" s="62">
        <f t="shared" si="98"/>
        <v>73.937252053142004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0</v>
      </c>
      <c r="EP130" s="62">
        <f t="shared" si="100"/>
        <v>0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382.55387448074327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0.31623695950461667</v>
      </c>
      <c r="AA131" s="23">
        <f>EXP(-LN(2)/25)*AA130+(1-EXP(-LN(2)/25))/(LN(2)/25)*Calculateur!V131*Calculateur!X131*VLOOKUP('Données projet'!$B$9,Paramètres!$A$1:$I$89,3,0)*0.475*44/12</f>
        <v>0.70586838174537825</v>
      </c>
      <c r="AB131" s="23">
        <f>EXP(-LN(2)/2)*AB130+(1-EXP(-LN(2)/2))/(LN(2)/2)*V131*Y131*VLOOKUP('Données projet'!$B$9,Paramètres!$A$1:$I$89,3,0)*0.475*44/12</f>
        <v>4.001492332725749E-14</v>
      </c>
      <c r="AC131" s="24">
        <f t="shared" si="57"/>
        <v>1.0221053412500349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269.64423257646359</v>
      </c>
      <c r="AO131" s="62">
        <f t="shared" si="90"/>
        <v>161.0819079811821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8.5265128291212022E-14</v>
      </c>
      <c r="BE131" s="14">
        <f>BD131*VLOOKUP('Données projet'!$B$11,Paramètres!$A$1:$I$89,3,0)*VLOOKUP('Données projet'!$B$11,Paramètres!$A$1:$I$89,5,0)</f>
        <v>3.990408004028723E-14</v>
      </c>
      <c r="BF131" s="14">
        <f t="shared" si="91"/>
        <v>6.6713074187844705E-13</v>
      </c>
      <c r="BG131" s="22">
        <f t="shared" si="61"/>
        <v>1.2314189815084623E-12</v>
      </c>
      <c r="BH131" s="62">
        <f t="shared" si="62"/>
        <v>293.33333333333456</v>
      </c>
      <c r="BI131" s="62">
        <f ca="1">AVERAGE(OFFSET($BH$3,0,0,'Données projet'!$E$11+1,1))-AVERAGE(OFFSET($H$3,0,0,'Données projet'!$E$11+1,1))</f>
        <v>90.797383835887558</v>
      </c>
      <c r="BJ131" s="62">
        <f t="shared" si="92"/>
        <v>104.31413437636684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0.13860266946885885</v>
      </c>
      <c r="BQ131" s="23">
        <f>EXP(-LN(2)/25)*BQ130+(1-EXP(-LN(2)/25))/(LN(2)/25)*Calculateur!BL131*Calculateur!BN131*VLOOKUP('Données projet'!$B$11,Paramètres!$A$1:$I$89,3,0)*0.475*44/12</f>
        <v>0.28032932517726888</v>
      </c>
      <c r="BR131" s="23">
        <f>EXP(-LN(2)/2)*BR130+(1-EXP(-LN(2)/2))/(LN(2)/2)*BL131*BO131*VLOOKUP('Données projet'!$B$11,Paramètres!$A$1:$I$89,3,0)*0.475*44/12</f>
        <v>5.2565385673097921E-15</v>
      </c>
      <c r="BS131" s="24">
        <f t="shared" si="63"/>
        <v>0.41893199464613301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304</v>
      </c>
      <c r="BZ131" s="14">
        <f>BY131*VLOOKUP('Données projet'!$B$12,Paramètres!$A$1:$I$89,3,0)*VLOOKUP('Données projet'!$B$12,Paramètres!$A$1:$I$89,5,0)</f>
        <v>189.696</v>
      </c>
      <c r="CA131" s="14">
        <f t="shared" si="93"/>
        <v>47.472736505152469</v>
      </c>
      <c r="CB131" s="22">
        <f t="shared" si="64"/>
        <v>413.06888274647389</v>
      </c>
      <c r="CC131" s="62">
        <f t="shared" si="65"/>
        <v>706.4022160798072</v>
      </c>
      <c r="CD131" s="62">
        <f ca="1">AVERAGE(OFFSET($CC$3,0,0,'Données projet'!$E$12+1,1))-AVERAGE(OFFSET($H$3,0,0,'Données projet'!$E$12+1,1))</f>
        <v>179.44051550872138</v>
      </c>
      <c r="CE131" s="62">
        <f t="shared" si="94"/>
        <v>272.9500808380069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0.71675923346545434</v>
      </c>
      <c r="CL131" s="23">
        <f>EXP(-LN(2)/25)*CL130+(1-EXP(-LN(2)/25))/(LN(2)/25)*Calculateur!CG131*Calculateur!CI131*VLOOKUP('Données projet'!$B$12,Paramètres!$A$1:$I$89,3,0)*0.475*44/12</f>
        <v>1.3255801184995679</v>
      </c>
      <c r="CM131" s="23">
        <f>EXP(-LN(2)/2)*CM130+(1-EXP(-LN(2)/2))/(LN(2)/2)*CG131*CJ131*VLOOKUP('Données projet'!$B$12,Paramètres!$A$1:$I$89,3,0)*0.475*44/12</f>
        <v>3.6606741816125612E-14</v>
      </c>
      <c r="CN131" s="24">
        <f t="shared" si="66"/>
        <v>2.0423393519650586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277.99999999999994</v>
      </c>
      <c r="CU131" s="18">
        <f>CT131*VLOOKUP('Données projet'!$B$13,Paramètres!$A$1:$I$89,3,0)*VLOOKUP('Données projet'!$B$13,Paramètres!$A$1:$I$89,5,0)</f>
        <v>151.78799999999998</v>
      </c>
      <c r="CV131" s="14">
        <f t="shared" si="95"/>
        <v>38.984634390835623</v>
      </c>
      <c r="CW131" s="22">
        <f t="shared" si="67"/>
        <v>332.26233823070532</v>
      </c>
      <c r="CX131" s="62">
        <f t="shared" si="68"/>
        <v>625.59567156403864</v>
      </c>
      <c r="CY131" s="62">
        <f ca="1">AVERAGE(OFFSET($CX$3,0,0,'Données projet'!$E$13+1,1))-AVERAGE(OFFSET($H$3,0,0,'Données projet'!$E$13+1,1))</f>
        <v>159.92263609041913</v>
      </c>
      <c r="CZ131" s="62">
        <f t="shared" si="96"/>
        <v>271.78119133009307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0.9396826183507192</v>
      </c>
      <c r="DG131" s="23">
        <f>EXP(-LN(2)/25)*DG130+(1-EXP(-LN(2)/25))/(LN(2)/25)*Calculateur!DB131*Calculateur!DD131*VLOOKUP('Données projet'!$B$13,Paramètres!$A$1:$I$89,3,0)*0.475*44/12</f>
        <v>1.9331595987727335</v>
      </c>
      <c r="DH131" s="23">
        <f>EXP(-LN(2)/2)*DH130+(1-EXP(-LN(2)/2))/(LN(2)/2)*DB131*DE131*VLOOKUP('Données projet'!$B$13,Paramètres!$A$1:$I$89,3,0)*0.475*44/12</f>
        <v>4.8733776424034553E-14</v>
      </c>
      <c r="DI131" s="24">
        <f t="shared" si="69"/>
        <v>2.8728422171235017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-5.4683368944097308E-14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122.60806128440754</v>
      </c>
      <c r="DU131" s="62">
        <f t="shared" si="98"/>
        <v>73.937252053142004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0</v>
      </c>
      <c r="EP131" s="62">
        <f t="shared" si="100"/>
        <v>0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382.55387448074327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0.31003574561423058</v>
      </c>
      <c r="AA132" s="23">
        <f>EXP(-LN(2)/25)*AA131+(1-EXP(-LN(2)/25))/(LN(2)/25)*Calculateur!V132*Calculateur!X132*VLOOKUP('Données projet'!$B$9,Paramètres!$A$1:$I$89,3,0)*0.475*44/12</f>
        <v>0.68656637372654594</v>
      </c>
      <c r="AB132" s="23">
        <f>EXP(-LN(2)/2)*AB131+(1-EXP(-LN(2)/2))/(LN(2)/2)*V132*Y132*VLOOKUP('Données projet'!$B$9,Paramètres!$A$1:$I$89,3,0)*0.475*44/12</f>
        <v>2.8294823633363541E-14</v>
      </c>
      <c r="AC132" s="24">
        <f t="shared" ref="AC132:AC153" si="111">SUM(Z132:AB132)</f>
        <v>0.99660211934080489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269.64423257646359</v>
      </c>
      <c r="AO132" s="62">
        <f t="shared" si="90"/>
        <v>161.0819079811821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8.5265128291212022E-14</v>
      </c>
      <c r="BE132" s="14">
        <f>BD132*VLOOKUP('Données projet'!$B$11,Paramètres!$A$1:$I$89,3,0)*VLOOKUP('Données projet'!$B$11,Paramètres!$A$1:$I$89,5,0)</f>
        <v>3.990408004028723E-14</v>
      </c>
      <c r="BF132" s="14">
        <f t="shared" si="91"/>
        <v>6.6713074187844705E-13</v>
      </c>
      <c r="BG132" s="22">
        <f t="shared" ref="BG132:BG153" si="115">(BE132+BF132)*0.475*44/12</f>
        <v>1.2314189815084623E-12</v>
      </c>
      <c r="BH132" s="62">
        <f t="shared" ref="BH132:BH195" si="116">BG132+(AY132+AZ132)*44/12</f>
        <v>293.33333333333456</v>
      </c>
      <c r="BI132" s="62">
        <f ca="1">AVERAGE(OFFSET($BH$3,0,0,'Données projet'!$E$11+1,1))-AVERAGE(OFFSET($H$3,0,0,'Données projet'!$E$11+1,1))</f>
        <v>90.797383835887558</v>
      </c>
      <c r="BJ132" s="62">
        <f t="shared" si="92"/>
        <v>104.31413437636684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0.13588475565985533</v>
      </c>
      <c r="BQ132" s="23">
        <f>EXP(-LN(2)/25)*BQ131+(1-EXP(-LN(2)/25))/(LN(2)/25)*Calculateur!BL132*Calculateur!BN132*VLOOKUP('Données projet'!$B$11,Paramètres!$A$1:$I$89,3,0)*0.475*44/12</f>
        <v>0.27266370503841797</v>
      </c>
      <c r="BR132" s="23">
        <f>EXP(-LN(2)/2)*BR131+(1-EXP(-LN(2)/2))/(LN(2)/2)*BL132*BO132*VLOOKUP('Données projet'!$B$11,Paramètres!$A$1:$I$89,3,0)*0.475*44/12</f>
        <v>3.7169340665133731E-15</v>
      </c>
      <c r="BS132" s="24">
        <f t="shared" ref="BS132:BS153" si="117">SUM(BP132:BR132)</f>
        <v>0.40854846069827705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304</v>
      </c>
      <c r="BZ132" s="14">
        <f>BY132*VLOOKUP('Données projet'!$B$12,Paramètres!$A$1:$I$89,3,0)*VLOOKUP('Données projet'!$B$12,Paramètres!$A$1:$I$89,5,0)</f>
        <v>189.696</v>
      </c>
      <c r="CA132" s="14">
        <f t="shared" si="93"/>
        <v>47.472736505152469</v>
      </c>
      <c r="CB132" s="22">
        <f t="shared" ref="CB132:CB153" si="118">(BZ132+CA132)*0.475*44/12</f>
        <v>413.06888274647389</v>
      </c>
      <c r="CC132" s="62">
        <f t="shared" ref="CC132:CC195" si="119">CB132+(BT132+BU132)*44/12</f>
        <v>706.4022160798072</v>
      </c>
      <c r="CD132" s="62">
        <f ca="1">AVERAGE(OFFSET($CC$3,0,0,'Données projet'!$E$12+1,1))-AVERAGE(OFFSET($H$3,0,0,'Données projet'!$E$12+1,1))</f>
        <v>179.44051550872138</v>
      </c>
      <c r="CE132" s="62">
        <f t="shared" si="94"/>
        <v>272.9500808380069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0.70270402207716121</v>
      </c>
      <c r="CL132" s="23">
        <f>EXP(-LN(2)/25)*CL131+(1-EXP(-LN(2)/25))/(LN(2)/25)*Calculateur!CG132*Calculateur!CI132*VLOOKUP('Données projet'!$B$12,Paramètres!$A$1:$I$89,3,0)*0.475*44/12</f>
        <v>1.2893320604499685</v>
      </c>
      <c r="CM132" s="23">
        <f>EXP(-LN(2)/2)*CM131+(1-EXP(-LN(2)/2))/(LN(2)/2)*CG132*CJ132*VLOOKUP('Données projet'!$B$12,Paramètres!$A$1:$I$89,3,0)*0.475*44/12</f>
        <v>2.5884875375327572E-14</v>
      </c>
      <c r="CN132" s="24">
        <f t="shared" ref="CN132:CN153" si="120">SUM(CK132:CM132)</f>
        <v>1.9920360825271557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277.99999999999994</v>
      </c>
      <c r="CU132" s="18">
        <f>CT132*VLOOKUP('Données projet'!$B$13,Paramètres!$A$1:$I$89,3,0)*VLOOKUP('Données projet'!$B$13,Paramètres!$A$1:$I$89,5,0)</f>
        <v>151.78799999999998</v>
      </c>
      <c r="CV132" s="14">
        <f t="shared" si="95"/>
        <v>38.984634390835623</v>
      </c>
      <c r="CW132" s="22">
        <f t="shared" ref="CW132:CW153" si="121">(CU132+CV132)*0.475*44/12</f>
        <v>332.26233823070532</v>
      </c>
      <c r="CX132" s="62">
        <f t="shared" ref="CX132:CX195" si="122">CW132+(CO132+CP132)*44/12</f>
        <v>625.59567156403864</v>
      </c>
      <c r="CY132" s="62">
        <f ca="1">AVERAGE(OFFSET($CX$3,0,0,'Données projet'!$E$13+1,1))-AVERAGE(OFFSET($H$3,0,0,'Données projet'!$E$13+1,1))</f>
        <v>159.92263609041913</v>
      </c>
      <c r="CZ132" s="62">
        <f t="shared" si="96"/>
        <v>271.78119133009307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0.92125601535466495</v>
      </c>
      <c r="DG132" s="23">
        <f>EXP(-LN(2)/25)*DG131+(1-EXP(-LN(2)/25))/(LN(2)/25)*Calculateur!DB132*Calculateur!DD132*VLOOKUP('Données projet'!$B$13,Paramètres!$A$1:$I$89,3,0)*0.475*44/12</f>
        <v>1.880297247883848</v>
      </c>
      <c r="DH132" s="23">
        <f>EXP(-LN(2)/2)*DH131+(1-EXP(-LN(2)/2))/(LN(2)/2)*DB132*DE132*VLOOKUP('Données projet'!$B$13,Paramètres!$A$1:$I$89,3,0)*0.475*44/12</f>
        <v>3.4459983782263929E-14</v>
      </c>
      <c r="DI132" s="24">
        <f t="shared" ref="DI132:DI153" si="123">SUM(DF132:DH132)</f>
        <v>2.8015532632385476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-5.4683368944097308E-14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122.60806128440754</v>
      </c>
      <c r="DU132" s="62">
        <f t="shared" si="98"/>
        <v>73.937252053142004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0</v>
      </c>
      <c r="EP132" s="62">
        <f t="shared" si="100"/>
        <v>0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382.55387448074327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0.30395613374586794</v>
      </c>
      <c r="AA133" s="23">
        <f>EXP(-LN(2)/25)*AA132+(1-EXP(-LN(2)/25))/(LN(2)/25)*Calculateur!V133*Calculateur!X133*VLOOKUP('Données projet'!$B$9,Paramètres!$A$1:$I$89,3,0)*0.475*44/12</f>
        <v>0.66779218013203712</v>
      </c>
      <c r="AB133" s="23">
        <f>EXP(-LN(2)/2)*AB132+(1-EXP(-LN(2)/2))/(LN(2)/2)*V133*Y133*VLOOKUP('Données projet'!$B$9,Paramètres!$A$1:$I$89,3,0)*0.475*44/12</f>
        <v>2.0007461663628748E-14</v>
      </c>
      <c r="AC133" s="24">
        <f t="shared" si="111"/>
        <v>0.97174831387792504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269.64423257646359</v>
      </c>
      <c r="AO133" s="62">
        <f t="shared" ref="AO133:AO196" si="144">$AO$3</f>
        <v>161.0819079811821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8.5265128291212022E-14</v>
      </c>
      <c r="BE133" s="14">
        <f>BD133*VLOOKUP('Données projet'!$B$11,Paramètres!$A$1:$I$89,3,0)*VLOOKUP('Données projet'!$B$11,Paramètres!$A$1:$I$89,5,0)</f>
        <v>3.990408004028723E-14</v>
      </c>
      <c r="BF133" s="14">
        <f t="shared" ref="BF133:BF153" si="145">EXP(-1.0587+0.8836*LN(BE133)+0.284)</f>
        <v>6.6713074187844705E-13</v>
      </c>
      <c r="BG133" s="22">
        <f t="shared" si="115"/>
        <v>1.2314189815084623E-12</v>
      </c>
      <c r="BH133" s="62">
        <f t="shared" si="116"/>
        <v>293.33333333333456</v>
      </c>
      <c r="BI133" s="62">
        <f ca="1">AVERAGE(OFFSET($BH$3,0,0,'Données projet'!$E$11+1,1))-AVERAGE(OFFSET($H$3,0,0,'Données projet'!$E$11+1,1))</f>
        <v>90.797383835887558</v>
      </c>
      <c r="BJ133" s="62">
        <f t="shared" ref="BJ133:BJ196" si="146">$BJ$3</f>
        <v>104.31413437636684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0.13322013848288267</v>
      </c>
      <c r="BQ133" s="23">
        <f>EXP(-LN(2)/25)*BQ132+(1-EXP(-LN(2)/25))/(LN(2)/25)*Calculateur!BL133*Calculateur!BN133*VLOOKUP('Données projet'!$B$11,Paramètres!$A$1:$I$89,3,0)*0.475*44/12</f>
        <v>0.26520770168538138</v>
      </c>
      <c r="BR133" s="23">
        <f>EXP(-LN(2)/2)*BR132+(1-EXP(-LN(2)/2))/(LN(2)/2)*BL133*BO133*VLOOKUP('Données projet'!$B$11,Paramètres!$A$1:$I$89,3,0)*0.475*44/12</f>
        <v>2.6282692836548961E-15</v>
      </c>
      <c r="BS133" s="24">
        <f t="shared" si="117"/>
        <v>0.39842784016826666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304</v>
      </c>
      <c r="BZ133" s="14">
        <f>BY133*VLOOKUP('Données projet'!$B$12,Paramètres!$A$1:$I$89,3,0)*VLOOKUP('Données projet'!$B$12,Paramètres!$A$1:$I$89,5,0)</f>
        <v>189.696</v>
      </c>
      <c r="CA133" s="14">
        <f t="shared" ref="CA133:CA153" si="147">EXP(-1.0587+0.8836*LN(BZ133)+0.284)</f>
        <v>47.472736505152469</v>
      </c>
      <c r="CB133" s="22">
        <f t="shared" si="118"/>
        <v>413.06888274647389</v>
      </c>
      <c r="CC133" s="62">
        <f t="shared" si="119"/>
        <v>706.4022160798072</v>
      </c>
      <c r="CD133" s="62">
        <f ca="1">AVERAGE(OFFSET($CC$3,0,0,'Données projet'!$E$12+1,1))-AVERAGE(OFFSET($H$3,0,0,'Données projet'!$E$12+1,1))</f>
        <v>179.44051550872138</v>
      </c>
      <c r="CE133" s="62">
        <f t="shared" ref="CE133:CE196" si="148">$CE$3</f>
        <v>272.9500808380069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0.68892442481136007</v>
      </c>
      <c r="CL133" s="23">
        <f>EXP(-LN(2)/25)*CL132+(1-EXP(-LN(2)/25))/(LN(2)/25)*Calculateur!CG133*Calculateur!CI133*VLOOKUP('Données projet'!$B$12,Paramètres!$A$1:$I$89,3,0)*0.475*44/12</f>
        <v>1.2540752074539379</v>
      </c>
      <c r="CM133" s="23">
        <f>EXP(-LN(2)/2)*CM132+(1-EXP(-LN(2)/2))/(LN(2)/2)*CG133*CJ133*VLOOKUP('Données projet'!$B$12,Paramètres!$A$1:$I$89,3,0)*0.475*44/12</f>
        <v>1.8303370908062806E-14</v>
      </c>
      <c r="CN133" s="24">
        <f t="shared" si="120"/>
        <v>1.942999632265316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277.99999999999994</v>
      </c>
      <c r="CU133" s="18">
        <f>CT133*VLOOKUP('Données projet'!$B$13,Paramètres!$A$1:$I$89,3,0)*VLOOKUP('Données projet'!$B$13,Paramètres!$A$1:$I$89,5,0)</f>
        <v>151.78799999999998</v>
      </c>
      <c r="CV133" s="14">
        <f t="shared" ref="CV133:CV153" si="149">EXP(-1.0587+0.8836*LN(CU133)+0.284)</f>
        <v>38.984634390835623</v>
      </c>
      <c r="CW133" s="22">
        <f t="shared" si="121"/>
        <v>332.26233823070532</v>
      </c>
      <c r="CX133" s="62">
        <f t="shared" si="122"/>
        <v>625.59567156403864</v>
      </c>
      <c r="CY133" s="62">
        <f ca="1">AVERAGE(OFFSET($CX$3,0,0,'Données projet'!$E$13+1,1))-AVERAGE(OFFSET($H$3,0,0,'Données projet'!$E$13+1,1))</f>
        <v>159.92263609041913</v>
      </c>
      <c r="CZ133" s="62">
        <f t="shared" ref="CZ133:CZ196" si="150">$CZ$3</f>
        <v>271.78119133009307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0.90319074680424527</v>
      </c>
      <c r="DG133" s="23">
        <f>EXP(-LN(2)/25)*DG132+(1-EXP(-LN(2)/25))/(LN(2)/25)*Calculateur!DB133*Calculateur!DD133*VLOOKUP('Données projet'!$B$13,Paramètres!$A$1:$I$89,3,0)*0.475*44/12</f>
        <v>1.8288804207599294</v>
      </c>
      <c r="DH133" s="23">
        <f>EXP(-LN(2)/2)*DH132+(1-EXP(-LN(2)/2))/(LN(2)/2)*DB133*DE133*VLOOKUP('Données projet'!$B$13,Paramètres!$A$1:$I$89,3,0)*0.475*44/12</f>
        <v>2.4366888212017276E-14</v>
      </c>
      <c r="DI133" s="24">
        <f t="shared" si="123"/>
        <v>2.7320711675641989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-5.4683368944097308E-14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122.60806128440754</v>
      </c>
      <c r="DU133" s="62">
        <f t="shared" ref="DU133:DU196" si="152">$DU$3</f>
        <v>73.937252053142004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0</v>
      </c>
      <c r="EP133" s="62">
        <f t="shared" ref="EP133:EP196" si="154">$EP$3</f>
        <v>0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382.55387448074327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0.29799573935804685</v>
      </c>
      <c r="AA134" s="23">
        <f>EXP(-LN(2)/25)*AA133+(1-EXP(-LN(2)/25))/(LN(2)/25)*Calculateur!V134*Calculateur!X134*VLOOKUP('Données projet'!$B$9,Paramètres!$A$1:$I$89,3,0)*0.475*44/12</f>
        <v>0.64953136784866206</v>
      </c>
      <c r="AB134" s="23">
        <f>EXP(-LN(2)/2)*AB133+(1-EXP(-LN(2)/2))/(LN(2)/2)*V134*Y134*VLOOKUP('Données projet'!$B$9,Paramètres!$A$1:$I$89,3,0)*0.475*44/12</f>
        <v>1.4147411816681772E-14</v>
      </c>
      <c r="AC134" s="24">
        <f t="shared" si="111"/>
        <v>0.94752710720672295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269.64423257646359</v>
      </c>
      <c r="AO134" s="62">
        <f t="shared" si="144"/>
        <v>161.0819079811821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8.5265128291212022E-14</v>
      </c>
      <c r="BE134" s="14">
        <f>BD134*VLOOKUP('Données projet'!$B$11,Paramètres!$A$1:$I$89,3,0)*VLOOKUP('Données projet'!$B$11,Paramètres!$A$1:$I$89,5,0)</f>
        <v>3.990408004028723E-14</v>
      </c>
      <c r="BF134" s="14">
        <f t="shared" si="145"/>
        <v>6.6713074187844705E-13</v>
      </c>
      <c r="BG134" s="22">
        <f t="shared" si="115"/>
        <v>1.2314189815084623E-12</v>
      </c>
      <c r="BH134" s="62">
        <f t="shared" si="116"/>
        <v>293.33333333333456</v>
      </c>
      <c r="BI134" s="62">
        <f ca="1">AVERAGE(OFFSET($BH$3,0,0,'Données projet'!$E$11+1,1))-AVERAGE(OFFSET($H$3,0,0,'Données projet'!$E$11+1,1))</f>
        <v>90.797383835887558</v>
      </c>
      <c r="BJ134" s="62">
        <f t="shared" si="146"/>
        <v>104.31413437636684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0.13060777282349442</v>
      </c>
      <c r="BQ134" s="23">
        <f>EXP(-LN(2)/25)*BQ133+(1-EXP(-LN(2)/25))/(LN(2)/25)*Calculateur!BL134*Calculateur!BN134*VLOOKUP('Données projet'!$B$11,Paramètres!$A$1:$I$89,3,0)*0.475*44/12</f>
        <v>0.25795558313612771</v>
      </c>
      <c r="BR134" s="23">
        <f>EXP(-LN(2)/2)*BR133+(1-EXP(-LN(2)/2))/(LN(2)/2)*BL134*BO134*VLOOKUP('Données projet'!$B$11,Paramètres!$A$1:$I$89,3,0)*0.475*44/12</f>
        <v>1.8584670332566866E-15</v>
      </c>
      <c r="BS134" s="24">
        <f t="shared" si="117"/>
        <v>0.38856335595962394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304</v>
      </c>
      <c r="BZ134" s="14">
        <f>BY134*VLOOKUP('Données projet'!$B$12,Paramètres!$A$1:$I$89,3,0)*VLOOKUP('Données projet'!$B$12,Paramètres!$A$1:$I$89,5,0)</f>
        <v>189.696</v>
      </c>
      <c r="CA134" s="14">
        <f t="shared" si="147"/>
        <v>47.472736505152469</v>
      </c>
      <c r="CB134" s="22">
        <f t="shared" si="118"/>
        <v>413.06888274647389</v>
      </c>
      <c r="CC134" s="62">
        <f t="shared" si="119"/>
        <v>706.4022160798072</v>
      </c>
      <c r="CD134" s="62">
        <f ca="1">AVERAGE(OFFSET($CC$3,0,0,'Données projet'!$E$12+1,1))-AVERAGE(OFFSET($H$3,0,0,'Données projet'!$E$12+1,1))</f>
        <v>179.44051550872138</v>
      </c>
      <c r="CE134" s="62">
        <f t="shared" si="148"/>
        <v>272.9500808380069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0.67541503704321693</v>
      </c>
      <c r="CL134" s="23">
        <f>EXP(-LN(2)/25)*CL133+(1-EXP(-LN(2)/25))/(LN(2)/25)*Calculateur!CG134*Calculateur!CI134*VLOOKUP('Données projet'!$B$12,Paramètres!$A$1:$I$89,3,0)*0.475*44/12</f>
        <v>1.219782454957161</v>
      </c>
      <c r="CM134" s="23">
        <f>EXP(-LN(2)/2)*CM133+(1-EXP(-LN(2)/2))/(LN(2)/2)*CG134*CJ134*VLOOKUP('Données projet'!$B$12,Paramètres!$A$1:$I$89,3,0)*0.475*44/12</f>
        <v>1.2942437687663786E-14</v>
      </c>
      <c r="CN134" s="24">
        <f t="shared" si="120"/>
        <v>1.8951974920003907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277.99999999999994</v>
      </c>
      <c r="CU134" s="18">
        <f>CT134*VLOOKUP('Données projet'!$B$13,Paramètres!$A$1:$I$89,3,0)*VLOOKUP('Données projet'!$B$13,Paramètres!$A$1:$I$89,5,0)</f>
        <v>151.78799999999998</v>
      </c>
      <c r="CV134" s="14">
        <f t="shared" si="149"/>
        <v>38.984634390835623</v>
      </c>
      <c r="CW134" s="22">
        <f t="shared" si="121"/>
        <v>332.26233823070532</v>
      </c>
      <c r="CX134" s="62">
        <f t="shared" si="122"/>
        <v>625.59567156403864</v>
      </c>
      <c r="CY134" s="62">
        <f ca="1">AVERAGE(OFFSET($CX$3,0,0,'Données projet'!$E$13+1,1))-AVERAGE(OFFSET($H$3,0,0,'Données projet'!$E$13+1,1))</f>
        <v>159.92263609041913</v>
      </c>
      <c r="CZ134" s="62">
        <f t="shared" si="150"/>
        <v>271.78119133009307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0.88547972715137346</v>
      </c>
      <c r="DG134" s="23">
        <f>EXP(-LN(2)/25)*DG133+(1-EXP(-LN(2)/25))/(LN(2)/25)*Calculateur!DB134*Calculateur!DD134*VLOOKUP('Données projet'!$B$13,Paramètres!$A$1:$I$89,3,0)*0.475*44/12</f>
        <v>1.7788695894776079</v>
      </c>
      <c r="DH134" s="23">
        <f>EXP(-LN(2)/2)*DH133+(1-EXP(-LN(2)/2))/(LN(2)/2)*DB134*DE134*VLOOKUP('Données projet'!$B$13,Paramètres!$A$1:$I$89,3,0)*0.475*44/12</f>
        <v>1.7229991891131964E-14</v>
      </c>
      <c r="DI134" s="24">
        <f t="shared" si="123"/>
        <v>2.6643493166289987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-5.4683368944097308E-14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122.60806128440754</v>
      </c>
      <c r="DU134" s="62">
        <f t="shared" si="152"/>
        <v>73.937252053142004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0</v>
      </c>
      <c r="EP134" s="62">
        <f t="shared" si="154"/>
        <v>0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382.55387448074327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0.29215222466868929</v>
      </c>
      <c r="AA135" s="23">
        <f>EXP(-LN(2)/25)*AA134+(1-EXP(-LN(2)/25))/(LN(2)/25)*Calculateur!V135*Calculateur!X135*VLOOKUP('Données projet'!$B$9,Paramètres!$A$1:$I$89,3,0)*0.475*44/12</f>
        <v>0.63176989843747033</v>
      </c>
      <c r="AB135" s="23">
        <f>EXP(-LN(2)/2)*AB134+(1-EXP(-LN(2)/2))/(LN(2)/2)*V135*Y135*VLOOKUP('Données projet'!$B$9,Paramètres!$A$1:$I$89,3,0)*0.475*44/12</f>
        <v>1.0003730831814376E-14</v>
      </c>
      <c r="AC135" s="24">
        <f t="shared" si="111"/>
        <v>0.92392212310616961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269.64423257646359</v>
      </c>
      <c r="AO135" s="62">
        <f t="shared" si="144"/>
        <v>161.0819079811821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8.5265128291212022E-14</v>
      </c>
      <c r="BE135" s="14">
        <f>BD135*VLOOKUP('Données projet'!$B$11,Paramètres!$A$1:$I$89,3,0)*VLOOKUP('Données projet'!$B$11,Paramètres!$A$1:$I$89,5,0)</f>
        <v>3.990408004028723E-14</v>
      </c>
      <c r="BF135" s="14">
        <f t="shared" si="145"/>
        <v>6.6713074187844705E-13</v>
      </c>
      <c r="BG135" s="22">
        <f t="shared" si="115"/>
        <v>1.2314189815084623E-12</v>
      </c>
      <c r="BH135" s="62">
        <f t="shared" si="116"/>
        <v>293.33333333333456</v>
      </c>
      <c r="BI135" s="62">
        <f ca="1">AVERAGE(OFFSET($BH$3,0,0,'Données projet'!$E$11+1,1))-AVERAGE(OFFSET($H$3,0,0,'Données projet'!$E$11+1,1))</f>
        <v>90.797383835887558</v>
      </c>
      <c r="BJ135" s="62">
        <f t="shared" si="146"/>
        <v>104.31413437636684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0.12804663406130107</v>
      </c>
      <c r="BQ135" s="23">
        <f>EXP(-LN(2)/25)*BQ134+(1-EXP(-LN(2)/25))/(LN(2)/25)*Calculateur!BL135*Calculateur!BN135*VLOOKUP('Données projet'!$B$11,Paramètres!$A$1:$I$89,3,0)*0.475*44/12</f>
        <v>0.25090177414997572</v>
      </c>
      <c r="BR135" s="23">
        <f>EXP(-LN(2)/2)*BR134+(1-EXP(-LN(2)/2))/(LN(2)/2)*BL135*BO135*VLOOKUP('Données projet'!$B$11,Paramètres!$A$1:$I$89,3,0)*0.475*44/12</f>
        <v>1.314134641827448E-15</v>
      </c>
      <c r="BS135" s="24">
        <f t="shared" si="117"/>
        <v>0.37894840821127812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304</v>
      </c>
      <c r="BZ135" s="14">
        <f>BY135*VLOOKUP('Données projet'!$B$12,Paramètres!$A$1:$I$89,3,0)*VLOOKUP('Données projet'!$B$12,Paramètres!$A$1:$I$89,5,0)</f>
        <v>189.696</v>
      </c>
      <c r="CA135" s="14">
        <f t="shared" si="147"/>
        <v>47.472736505152469</v>
      </c>
      <c r="CB135" s="22">
        <f t="shared" si="118"/>
        <v>413.06888274647389</v>
      </c>
      <c r="CC135" s="62">
        <f t="shared" si="119"/>
        <v>706.4022160798072</v>
      </c>
      <c r="CD135" s="62">
        <f ca="1">AVERAGE(OFFSET($CC$3,0,0,'Données projet'!$E$12+1,1))-AVERAGE(OFFSET($H$3,0,0,'Données projet'!$E$12+1,1))</f>
        <v>179.44051550872138</v>
      </c>
      <c r="CE135" s="62">
        <f t="shared" si="148"/>
        <v>272.9500808380069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0.66217056012929409</v>
      </c>
      <c r="CL135" s="23">
        <f>EXP(-LN(2)/25)*CL134+(1-EXP(-LN(2)/25))/(LN(2)/25)*Calculateur!CG135*Calculateur!CI135*VLOOKUP('Données projet'!$B$12,Paramètres!$A$1:$I$89,3,0)*0.475*44/12</f>
        <v>1.1864274395807859</v>
      </c>
      <c r="CM135" s="23">
        <f>EXP(-LN(2)/2)*CM134+(1-EXP(-LN(2)/2))/(LN(2)/2)*CG135*CJ135*VLOOKUP('Données projet'!$B$12,Paramètres!$A$1:$I$89,3,0)*0.475*44/12</f>
        <v>9.1516854540314029E-15</v>
      </c>
      <c r="CN135" s="24">
        <f t="shared" si="120"/>
        <v>1.848597999710089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277.99999999999994</v>
      </c>
      <c r="CU135" s="18">
        <f>CT135*VLOOKUP('Données projet'!$B$13,Paramètres!$A$1:$I$89,3,0)*VLOOKUP('Données projet'!$B$13,Paramètres!$A$1:$I$89,5,0)</f>
        <v>151.78799999999998</v>
      </c>
      <c r="CV135" s="14">
        <f t="shared" si="149"/>
        <v>38.984634390835623</v>
      </c>
      <c r="CW135" s="22">
        <f t="shared" si="121"/>
        <v>332.26233823070532</v>
      </c>
      <c r="CX135" s="62">
        <f t="shared" si="122"/>
        <v>625.59567156403864</v>
      </c>
      <c r="CY135" s="62">
        <f ca="1">AVERAGE(OFFSET($CX$3,0,0,'Données projet'!$E$13+1,1))-AVERAGE(OFFSET($H$3,0,0,'Données projet'!$E$13+1,1))</f>
        <v>159.92263609041913</v>
      </c>
      <c r="CZ135" s="62">
        <f t="shared" si="150"/>
        <v>271.78119133009307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0.86811600979123915</v>
      </c>
      <c r="DG135" s="23">
        <f>EXP(-LN(2)/25)*DG134+(1-EXP(-LN(2)/25))/(LN(2)/25)*Calculateur!DB135*Calculateur!DD135*VLOOKUP('Données projet'!$B$13,Paramètres!$A$1:$I$89,3,0)*0.475*44/12</f>
        <v>1.7302263070066566</v>
      </c>
      <c r="DH135" s="23">
        <f>EXP(-LN(2)/2)*DH134+(1-EXP(-LN(2)/2))/(LN(2)/2)*DB135*DE135*VLOOKUP('Données projet'!$B$13,Paramètres!$A$1:$I$89,3,0)*0.475*44/12</f>
        <v>1.2183444106008638E-14</v>
      </c>
      <c r="DI135" s="24">
        <f t="shared" si="123"/>
        <v>2.5983423167979076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-5.4683368944097308E-14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122.60806128440754</v>
      </c>
      <c r="DU135" s="62">
        <f t="shared" si="152"/>
        <v>73.937252053142004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0</v>
      </c>
      <c r="EP135" s="62">
        <f t="shared" si="154"/>
        <v>0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382.55387448074327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0.28642329773819802</v>
      </c>
      <c r="AA136" s="23">
        <f>EXP(-LN(2)/25)*AA135+(1-EXP(-LN(2)/25))/(LN(2)/25)*Calculateur!V136*Calculateur!X136*VLOOKUP('Données projet'!$B$9,Paramètres!$A$1:$I$89,3,0)*0.475*44/12</f>
        <v>0.61449411734136272</v>
      </c>
      <c r="AB136" s="23">
        <f>EXP(-LN(2)/2)*AB135+(1-EXP(-LN(2)/2))/(LN(2)/2)*V136*Y136*VLOOKUP('Données projet'!$B$9,Paramètres!$A$1:$I$89,3,0)*0.475*44/12</f>
        <v>7.0737059083408869E-15</v>
      </c>
      <c r="AC136" s="24">
        <f t="shared" si="111"/>
        <v>0.9009174150795678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269.64423257646359</v>
      </c>
      <c r="AO136" s="62">
        <f t="shared" si="144"/>
        <v>161.0819079811821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8.5265128291212022E-14</v>
      </c>
      <c r="BE136" s="14">
        <f>BD136*VLOOKUP('Données projet'!$B$11,Paramètres!$A$1:$I$89,3,0)*VLOOKUP('Données projet'!$B$11,Paramètres!$A$1:$I$89,5,0)</f>
        <v>3.990408004028723E-14</v>
      </c>
      <c r="BF136" s="14">
        <f t="shared" si="145"/>
        <v>6.6713074187844705E-13</v>
      </c>
      <c r="BG136" s="22">
        <f t="shared" si="115"/>
        <v>1.2314189815084623E-12</v>
      </c>
      <c r="BH136" s="62">
        <f t="shared" si="116"/>
        <v>293.33333333333456</v>
      </c>
      <c r="BI136" s="62">
        <f ca="1">AVERAGE(OFFSET($BH$3,0,0,'Données projet'!$E$11+1,1))-AVERAGE(OFFSET($H$3,0,0,'Données projet'!$E$11+1,1))</f>
        <v>90.797383835887558</v>
      </c>
      <c r="BJ136" s="62">
        <f t="shared" si="146"/>
        <v>104.31413437636684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0.12553571766809393</v>
      </c>
      <c r="BQ136" s="23">
        <f>EXP(-LN(2)/25)*BQ135+(1-EXP(-LN(2)/25))/(LN(2)/25)*Calculateur!BL136*Calculateur!BN136*VLOOKUP('Données projet'!$B$11,Paramètres!$A$1:$I$89,3,0)*0.475*44/12</f>
        <v>0.24404085194149377</v>
      </c>
      <c r="BR136" s="23">
        <f>EXP(-LN(2)/2)*BR135+(1-EXP(-LN(2)/2))/(LN(2)/2)*BL136*BO136*VLOOKUP('Données projet'!$B$11,Paramètres!$A$1:$I$89,3,0)*0.475*44/12</f>
        <v>9.2923351662834328E-16</v>
      </c>
      <c r="BS136" s="24">
        <f t="shared" si="117"/>
        <v>0.36957656960958868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304</v>
      </c>
      <c r="BZ136" s="14">
        <f>BY136*VLOOKUP('Données projet'!$B$12,Paramètres!$A$1:$I$89,3,0)*VLOOKUP('Données projet'!$B$12,Paramètres!$A$1:$I$89,5,0)</f>
        <v>189.696</v>
      </c>
      <c r="CA136" s="14">
        <f t="shared" si="147"/>
        <v>47.472736505152469</v>
      </c>
      <c r="CB136" s="22">
        <f t="shared" si="118"/>
        <v>413.06888274647389</v>
      </c>
      <c r="CC136" s="62">
        <f t="shared" si="119"/>
        <v>706.4022160798072</v>
      </c>
      <c r="CD136" s="62">
        <f ca="1">AVERAGE(OFFSET($CC$3,0,0,'Données projet'!$E$12+1,1))-AVERAGE(OFFSET($H$3,0,0,'Données projet'!$E$12+1,1))</f>
        <v>179.44051550872138</v>
      </c>
      <c r="CE136" s="62">
        <f t="shared" si="148"/>
        <v>272.9500808380069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0.64918579932932008</v>
      </c>
      <c r="CL136" s="23">
        <f>EXP(-LN(2)/25)*CL135+(1-EXP(-LN(2)/25))/(LN(2)/25)*Calculateur!CG136*Calculateur!CI136*VLOOKUP('Données projet'!$B$12,Paramètres!$A$1:$I$89,3,0)*0.475*44/12</f>
        <v>1.1539845188539419</v>
      </c>
      <c r="CM136" s="23">
        <f>EXP(-LN(2)/2)*CM135+(1-EXP(-LN(2)/2))/(LN(2)/2)*CG136*CJ136*VLOOKUP('Données projet'!$B$12,Paramètres!$A$1:$I$89,3,0)*0.475*44/12</f>
        <v>6.4712188438318931E-15</v>
      </c>
      <c r="CN136" s="24">
        <f t="shared" si="120"/>
        <v>1.8031703181832686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277.99999999999994</v>
      </c>
      <c r="CU136" s="18">
        <f>CT136*VLOOKUP('Données projet'!$B$13,Paramètres!$A$1:$I$89,3,0)*VLOOKUP('Données projet'!$B$13,Paramètres!$A$1:$I$89,5,0)</f>
        <v>151.78799999999998</v>
      </c>
      <c r="CV136" s="14">
        <f t="shared" si="149"/>
        <v>38.984634390835623</v>
      </c>
      <c r="CW136" s="22">
        <f t="shared" si="121"/>
        <v>332.26233823070532</v>
      </c>
      <c r="CX136" s="62">
        <f t="shared" si="122"/>
        <v>625.59567156403864</v>
      </c>
      <c r="CY136" s="62">
        <f ca="1">AVERAGE(OFFSET($CX$3,0,0,'Données projet'!$E$13+1,1))-AVERAGE(OFFSET($H$3,0,0,'Données projet'!$E$13+1,1))</f>
        <v>159.92263609041913</v>
      </c>
      <c r="CZ136" s="62">
        <f t="shared" si="150"/>
        <v>271.78119133009307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0.85109278433771529</v>
      </c>
      <c r="DG136" s="23">
        <f>EXP(-LN(2)/25)*DG135+(1-EXP(-LN(2)/25))/(LN(2)/25)*Calculateur!DB136*Calculateur!DD136*VLOOKUP('Données projet'!$B$13,Paramètres!$A$1:$I$89,3,0)*0.475*44/12</f>
        <v>1.6829131776529125</v>
      </c>
      <c r="DH136" s="23">
        <f>EXP(-LN(2)/2)*DH135+(1-EXP(-LN(2)/2))/(LN(2)/2)*DB136*DE136*VLOOKUP('Données projet'!$B$13,Paramètres!$A$1:$I$89,3,0)*0.475*44/12</f>
        <v>8.6149959455659822E-15</v>
      </c>
      <c r="DI136" s="24">
        <f t="shared" si="123"/>
        <v>2.5340059619906361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-5.4683368944097308E-14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122.60806128440754</v>
      </c>
      <c r="DU136" s="62">
        <f t="shared" si="152"/>
        <v>73.937252053142004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0</v>
      </c>
      <c r="EP136" s="62">
        <f t="shared" si="154"/>
        <v>0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382.55387448074327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0.28080671157051329</v>
      </c>
      <c r="AA137" s="23">
        <f>EXP(-LN(2)/25)*AA136+(1-EXP(-LN(2)/25))/(LN(2)/25)*Calculateur!V137*Calculateur!X137*VLOOKUP('Données projet'!$B$9,Paramètres!$A$1:$I$89,3,0)*0.475*44/12</f>
        <v>0.59769074338782202</v>
      </c>
      <c r="AB137" s="23">
        <f>EXP(-LN(2)/2)*AB136+(1-EXP(-LN(2)/2))/(LN(2)/2)*V137*Y137*VLOOKUP('Données projet'!$B$9,Paramètres!$A$1:$I$89,3,0)*0.475*44/12</f>
        <v>5.0018654159071887E-15</v>
      </c>
      <c r="AC137" s="24">
        <f t="shared" si="111"/>
        <v>0.87849745495834031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269.64423257646359</v>
      </c>
      <c r="AO137" s="62">
        <f t="shared" si="144"/>
        <v>161.0819079811821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8.5265128291212022E-14</v>
      </c>
      <c r="BE137" s="14">
        <f>BD137*VLOOKUP('Données projet'!$B$11,Paramètres!$A$1:$I$89,3,0)*VLOOKUP('Données projet'!$B$11,Paramètres!$A$1:$I$89,5,0)</f>
        <v>3.990408004028723E-14</v>
      </c>
      <c r="BF137" s="14">
        <f t="shared" si="145"/>
        <v>6.6713074187844705E-13</v>
      </c>
      <c r="BG137" s="22">
        <f t="shared" si="115"/>
        <v>1.2314189815084623E-12</v>
      </c>
      <c r="BH137" s="62">
        <f t="shared" si="116"/>
        <v>293.33333333333456</v>
      </c>
      <c r="BI137" s="62">
        <f ca="1">AVERAGE(OFFSET($BH$3,0,0,'Données projet'!$E$11+1,1))-AVERAGE(OFFSET($H$3,0,0,'Données projet'!$E$11+1,1))</f>
        <v>90.797383835887558</v>
      </c>
      <c r="BJ137" s="62">
        <f t="shared" si="146"/>
        <v>104.31413437636684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0.1230740388138498</v>
      </c>
      <c r="BQ137" s="23">
        <f>EXP(-LN(2)/25)*BQ136+(1-EXP(-LN(2)/25))/(LN(2)/25)*Calculateur!BL137*Calculateur!BN137*VLOOKUP('Données projet'!$B$11,Paramètres!$A$1:$I$89,3,0)*0.475*44/12</f>
        <v>0.23736754201160298</v>
      </c>
      <c r="BR137" s="23">
        <f>EXP(-LN(2)/2)*BR136+(1-EXP(-LN(2)/2))/(LN(2)/2)*BL137*BO137*VLOOKUP('Données projet'!$B$11,Paramètres!$A$1:$I$89,3,0)*0.475*44/12</f>
        <v>6.5706732091372401E-16</v>
      </c>
      <c r="BS137" s="24">
        <f t="shared" si="117"/>
        <v>0.36044158082545347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304</v>
      </c>
      <c r="BZ137" s="14">
        <f>BY137*VLOOKUP('Données projet'!$B$12,Paramètres!$A$1:$I$89,3,0)*VLOOKUP('Données projet'!$B$12,Paramètres!$A$1:$I$89,5,0)</f>
        <v>189.696</v>
      </c>
      <c r="CA137" s="14">
        <f t="shared" si="147"/>
        <v>47.472736505152469</v>
      </c>
      <c r="CB137" s="22">
        <f t="shared" si="118"/>
        <v>413.06888274647389</v>
      </c>
      <c r="CC137" s="62">
        <f t="shared" si="119"/>
        <v>706.4022160798072</v>
      </c>
      <c r="CD137" s="62">
        <f ca="1">AVERAGE(OFFSET($CC$3,0,0,'Données projet'!$E$12+1,1))-AVERAGE(OFFSET($H$3,0,0,'Données projet'!$E$12+1,1))</f>
        <v>179.44051550872138</v>
      </c>
      <c r="CE137" s="62">
        <f t="shared" si="148"/>
        <v>272.9500808380069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0.63645566176871149</v>
      </c>
      <c r="CL137" s="23">
        <f>EXP(-LN(2)/25)*CL136+(1-EXP(-LN(2)/25))/(LN(2)/25)*Calculateur!CG137*Calculateur!CI137*VLOOKUP('Données projet'!$B$12,Paramètres!$A$1:$I$89,3,0)*0.475*44/12</f>
        <v>1.1224287515004725</v>
      </c>
      <c r="CM137" s="23">
        <f>EXP(-LN(2)/2)*CM136+(1-EXP(-LN(2)/2))/(LN(2)/2)*CG137*CJ137*VLOOKUP('Données projet'!$B$12,Paramètres!$A$1:$I$89,3,0)*0.475*44/12</f>
        <v>4.5758427270157015E-15</v>
      </c>
      <c r="CN137" s="24">
        <f t="shared" si="120"/>
        <v>1.7588844132691885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277.99999999999994</v>
      </c>
      <c r="CU137" s="18">
        <f>CT137*VLOOKUP('Données projet'!$B$13,Paramètres!$A$1:$I$89,3,0)*VLOOKUP('Données projet'!$B$13,Paramètres!$A$1:$I$89,5,0)</f>
        <v>151.78799999999998</v>
      </c>
      <c r="CV137" s="14">
        <f t="shared" si="149"/>
        <v>38.984634390835623</v>
      </c>
      <c r="CW137" s="22">
        <f t="shared" si="121"/>
        <v>332.26233823070532</v>
      </c>
      <c r="CX137" s="62">
        <f t="shared" si="122"/>
        <v>625.59567156403864</v>
      </c>
      <c r="CY137" s="62">
        <f ca="1">AVERAGE(OFFSET($CX$3,0,0,'Données projet'!$E$13+1,1))-AVERAGE(OFFSET($H$3,0,0,'Données projet'!$E$13+1,1))</f>
        <v>159.92263609041913</v>
      </c>
      <c r="CZ137" s="62">
        <f t="shared" si="150"/>
        <v>271.78119133009307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0.83440337395219277</v>
      </c>
      <c r="DG137" s="23">
        <f>EXP(-LN(2)/25)*DG136+(1-EXP(-LN(2)/25))/(LN(2)/25)*Calculateur!DB137*Calculateur!DD137*VLOOKUP('Données projet'!$B$13,Paramètres!$A$1:$I$89,3,0)*0.475*44/12</f>
        <v>1.6368938283094359</v>
      </c>
      <c r="DH137" s="23">
        <f>EXP(-LN(2)/2)*DH136+(1-EXP(-LN(2)/2))/(LN(2)/2)*DB137*DE137*VLOOKUP('Données projet'!$B$13,Paramètres!$A$1:$I$89,3,0)*0.475*44/12</f>
        <v>6.0917220530043191E-15</v>
      </c>
      <c r="DI137" s="24">
        <f t="shared" si="123"/>
        <v>2.4712972022616349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-5.4683368944097308E-14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122.60806128440754</v>
      </c>
      <c r="DU137" s="62">
        <f t="shared" si="152"/>
        <v>73.937252053142004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0</v>
      </c>
      <c r="EP137" s="62">
        <f t="shared" si="154"/>
        <v>0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382.55387448074327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0.27530026323179757</v>
      </c>
      <c r="AA138" s="23">
        <f>EXP(-LN(2)/25)*AA137+(1-EXP(-LN(2)/25))/(LN(2)/25)*Calculateur!V138*Calculateur!X138*VLOOKUP('Données projet'!$B$9,Paramètres!$A$1:$I$89,3,0)*0.475*44/12</f>
        <v>0.58134685857869184</v>
      </c>
      <c r="AB138" s="23">
        <f>EXP(-LN(2)/2)*AB137+(1-EXP(-LN(2)/2))/(LN(2)/2)*V138*Y138*VLOOKUP('Données projet'!$B$9,Paramètres!$A$1:$I$89,3,0)*0.475*44/12</f>
        <v>3.5368529541704443E-15</v>
      </c>
      <c r="AC138" s="24">
        <f t="shared" si="111"/>
        <v>0.85664712181049296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269.64423257646359</v>
      </c>
      <c r="AO138" s="62">
        <f t="shared" si="144"/>
        <v>161.0819079811821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8.5265128291212022E-14</v>
      </c>
      <c r="BE138" s="14">
        <f>BD138*VLOOKUP('Données projet'!$B$11,Paramètres!$A$1:$I$89,3,0)*VLOOKUP('Données projet'!$B$11,Paramètres!$A$1:$I$89,5,0)</f>
        <v>3.990408004028723E-14</v>
      </c>
      <c r="BF138" s="14">
        <f t="shared" si="145"/>
        <v>6.6713074187844705E-13</v>
      </c>
      <c r="BG138" s="22">
        <f t="shared" si="115"/>
        <v>1.2314189815084623E-12</v>
      </c>
      <c r="BH138" s="62">
        <f t="shared" si="116"/>
        <v>293.33333333333456</v>
      </c>
      <c r="BI138" s="62">
        <f ca="1">AVERAGE(OFFSET($BH$3,0,0,'Données projet'!$E$11+1,1))-AVERAGE(OFFSET($H$3,0,0,'Données projet'!$E$11+1,1))</f>
        <v>90.797383835887558</v>
      </c>
      <c r="BJ138" s="62">
        <f t="shared" si="146"/>
        <v>104.31413437636684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0.12066063198046156</v>
      </c>
      <c r="BQ138" s="23">
        <f>EXP(-LN(2)/25)*BQ137+(1-EXP(-LN(2)/25))/(LN(2)/25)*Calculateur!BL138*Calculateur!BN138*VLOOKUP('Données projet'!$B$11,Paramètres!$A$1:$I$89,3,0)*0.475*44/12</f>
        <v>0.23087671409267918</v>
      </c>
      <c r="BR138" s="23">
        <f>EXP(-LN(2)/2)*BR137+(1-EXP(-LN(2)/2))/(LN(2)/2)*BL138*BO138*VLOOKUP('Données projet'!$B$11,Paramètres!$A$1:$I$89,3,0)*0.475*44/12</f>
        <v>4.6461675831417164E-16</v>
      </c>
      <c r="BS138" s="24">
        <f t="shared" si="117"/>
        <v>0.35153734607314119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304</v>
      </c>
      <c r="BZ138" s="14">
        <f>BY138*VLOOKUP('Données projet'!$B$12,Paramètres!$A$1:$I$89,3,0)*VLOOKUP('Données projet'!$B$12,Paramètres!$A$1:$I$89,5,0)</f>
        <v>189.696</v>
      </c>
      <c r="CA138" s="14">
        <f t="shared" si="147"/>
        <v>47.472736505152469</v>
      </c>
      <c r="CB138" s="22">
        <f t="shared" si="118"/>
        <v>413.06888274647389</v>
      </c>
      <c r="CC138" s="62">
        <f t="shared" si="119"/>
        <v>706.4022160798072</v>
      </c>
      <c r="CD138" s="62">
        <f ca="1">AVERAGE(OFFSET($CC$3,0,0,'Données projet'!$E$12+1,1))-AVERAGE(OFFSET($H$3,0,0,'Données projet'!$E$12+1,1))</f>
        <v>179.44051550872138</v>
      </c>
      <c r="CE138" s="62">
        <f t="shared" si="148"/>
        <v>272.9500808380069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0.62397515444104923</v>
      </c>
      <c r="CL138" s="23">
        <f>EXP(-LN(2)/25)*CL137+(1-EXP(-LN(2)/25))/(LN(2)/25)*Calculateur!CG138*Calculateur!CI138*VLOOKUP('Données projet'!$B$12,Paramètres!$A$1:$I$89,3,0)*0.475*44/12</f>
        <v>1.0917358782647293</v>
      </c>
      <c r="CM138" s="23">
        <f>EXP(-LN(2)/2)*CM137+(1-EXP(-LN(2)/2))/(LN(2)/2)*CG138*CJ138*VLOOKUP('Données projet'!$B$12,Paramètres!$A$1:$I$89,3,0)*0.475*44/12</f>
        <v>3.2356094219159466E-15</v>
      </c>
      <c r="CN138" s="24">
        <f t="shared" si="120"/>
        <v>1.7157110327057818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277.99999999999994</v>
      </c>
      <c r="CU138" s="18">
        <f>CT138*VLOOKUP('Données projet'!$B$13,Paramètres!$A$1:$I$89,3,0)*VLOOKUP('Données projet'!$B$13,Paramètres!$A$1:$I$89,5,0)</f>
        <v>151.78799999999998</v>
      </c>
      <c r="CV138" s="14">
        <f t="shared" si="149"/>
        <v>38.984634390835623</v>
      </c>
      <c r="CW138" s="22">
        <f t="shared" si="121"/>
        <v>332.26233823070532</v>
      </c>
      <c r="CX138" s="62">
        <f t="shared" si="122"/>
        <v>625.59567156403864</v>
      </c>
      <c r="CY138" s="62">
        <f ca="1">AVERAGE(OFFSET($CX$3,0,0,'Données projet'!$E$13+1,1))-AVERAGE(OFFSET($H$3,0,0,'Données projet'!$E$13+1,1))</f>
        <v>159.92263609041913</v>
      </c>
      <c r="CZ138" s="62">
        <f t="shared" si="150"/>
        <v>271.78119133009307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0.81804123272479512</v>
      </c>
      <c r="DG138" s="23">
        <f>EXP(-LN(2)/25)*DG137+(1-EXP(-LN(2)/25))/(LN(2)/25)*Calculateur!DB138*Calculateur!DD138*VLOOKUP('Données projet'!$B$13,Paramètres!$A$1:$I$89,3,0)*0.475*44/12</f>
        <v>1.5921328804938091</v>
      </c>
      <c r="DH138" s="23">
        <f>EXP(-LN(2)/2)*DH137+(1-EXP(-LN(2)/2))/(LN(2)/2)*DB138*DE138*VLOOKUP('Données projet'!$B$13,Paramètres!$A$1:$I$89,3,0)*0.475*44/12</f>
        <v>4.3074979727829911E-15</v>
      </c>
      <c r="DI138" s="24">
        <f t="shared" si="123"/>
        <v>2.4101741132186087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-5.4683368944097308E-14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122.60806128440754</v>
      </c>
      <c r="DU138" s="62">
        <f t="shared" si="152"/>
        <v>73.937252053142004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0</v>
      </c>
      <c r="EP138" s="62">
        <f t="shared" si="154"/>
        <v>0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382.55387448074327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0.26990179298640221</v>
      </c>
      <c r="AA139" s="23">
        <f>EXP(-LN(2)/25)*AA138+(1-EXP(-LN(2)/25))/(LN(2)/25)*Calculateur!V139*Calculateur!X139*VLOOKUP('Données projet'!$B$9,Paramètres!$A$1:$I$89,3,0)*0.475*44/12</f>
        <v>0.56544989815915492</v>
      </c>
      <c r="AB139" s="23">
        <f>EXP(-LN(2)/2)*AB138+(1-EXP(-LN(2)/2))/(LN(2)/2)*V139*Y139*VLOOKUP('Données projet'!$B$9,Paramètres!$A$1:$I$89,3,0)*0.475*44/12</f>
        <v>2.5009327079535947E-15</v>
      </c>
      <c r="AC139" s="24">
        <f t="shared" si="111"/>
        <v>0.83535169114555974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269.64423257646359</v>
      </c>
      <c r="AO139" s="62">
        <f t="shared" si="144"/>
        <v>161.0819079811821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8.5265128291212022E-14</v>
      </c>
      <c r="BE139" s="14">
        <f>BD139*VLOOKUP('Données projet'!$B$11,Paramètres!$A$1:$I$89,3,0)*VLOOKUP('Données projet'!$B$11,Paramètres!$A$1:$I$89,5,0)</f>
        <v>3.990408004028723E-14</v>
      </c>
      <c r="BF139" s="14">
        <f t="shared" si="145"/>
        <v>6.6713074187844705E-13</v>
      </c>
      <c r="BG139" s="22">
        <f t="shared" si="115"/>
        <v>1.2314189815084623E-12</v>
      </c>
      <c r="BH139" s="62">
        <f t="shared" si="116"/>
        <v>293.33333333333456</v>
      </c>
      <c r="BI139" s="62">
        <f ca="1">AVERAGE(OFFSET($BH$3,0,0,'Données projet'!$E$11+1,1))-AVERAGE(OFFSET($H$3,0,0,'Données projet'!$E$11+1,1))</f>
        <v>90.797383835887558</v>
      </c>
      <c r="BJ139" s="62">
        <f t="shared" si="146"/>
        <v>104.31413437636684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0.11829455058304325</v>
      </c>
      <c r="BQ139" s="23">
        <f>EXP(-LN(2)/25)*BQ138+(1-EXP(-LN(2)/25))/(LN(2)/25)*Calculateur!BL139*Calculateur!BN139*VLOOKUP('Données projet'!$B$11,Paramètres!$A$1:$I$89,3,0)*0.475*44/12</f>
        <v>0.22456337820453615</v>
      </c>
      <c r="BR139" s="23">
        <f>EXP(-LN(2)/2)*BR138+(1-EXP(-LN(2)/2))/(LN(2)/2)*BL139*BO139*VLOOKUP('Données projet'!$B$11,Paramètres!$A$1:$I$89,3,0)*0.475*44/12</f>
        <v>3.2853366045686201E-16</v>
      </c>
      <c r="BS139" s="24">
        <f t="shared" si="117"/>
        <v>0.3428579287875797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304</v>
      </c>
      <c r="BZ139" s="14">
        <f>BY139*VLOOKUP('Données projet'!$B$12,Paramètres!$A$1:$I$89,3,0)*VLOOKUP('Données projet'!$B$12,Paramètres!$A$1:$I$89,5,0)</f>
        <v>189.696</v>
      </c>
      <c r="CA139" s="14">
        <f t="shared" si="147"/>
        <v>47.472736505152469</v>
      </c>
      <c r="CB139" s="22">
        <f t="shared" si="118"/>
        <v>413.06888274647389</v>
      </c>
      <c r="CC139" s="62">
        <f t="shared" si="119"/>
        <v>706.4022160798072</v>
      </c>
      <c r="CD139" s="62">
        <f ca="1">AVERAGE(OFFSET($CC$3,0,0,'Données projet'!$E$12+1,1))-AVERAGE(OFFSET($H$3,0,0,'Données projet'!$E$12+1,1))</f>
        <v>179.44051550872138</v>
      </c>
      <c r="CE139" s="62">
        <f t="shared" si="148"/>
        <v>272.9500808380069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0.61173938224972457</v>
      </c>
      <c r="CL139" s="23">
        <f>EXP(-LN(2)/25)*CL138+(1-EXP(-LN(2)/25))/(LN(2)/25)*Calculateur!CG139*Calculateur!CI139*VLOOKUP('Données projet'!$B$12,Paramètres!$A$1:$I$89,3,0)*0.475*44/12</f>
        <v>1.0618823032616855</v>
      </c>
      <c r="CM139" s="23">
        <f>EXP(-LN(2)/2)*CM138+(1-EXP(-LN(2)/2))/(LN(2)/2)*CG139*CJ139*VLOOKUP('Données projet'!$B$12,Paramètres!$A$1:$I$89,3,0)*0.475*44/12</f>
        <v>2.2879213635078507E-15</v>
      </c>
      <c r="CN139" s="24">
        <f t="shared" si="120"/>
        <v>1.6736216855114123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277.99999999999994</v>
      </c>
      <c r="CU139" s="18">
        <f>CT139*VLOOKUP('Données projet'!$B$13,Paramètres!$A$1:$I$89,3,0)*VLOOKUP('Données projet'!$B$13,Paramètres!$A$1:$I$89,5,0)</f>
        <v>151.78799999999998</v>
      </c>
      <c r="CV139" s="14">
        <f t="shared" si="149"/>
        <v>38.984634390835623</v>
      </c>
      <c r="CW139" s="22">
        <f t="shared" si="121"/>
        <v>332.26233823070532</v>
      </c>
      <c r="CX139" s="62">
        <f t="shared" si="122"/>
        <v>625.59567156403864</v>
      </c>
      <c r="CY139" s="62">
        <f ca="1">AVERAGE(OFFSET($CX$3,0,0,'Données projet'!$E$13+1,1))-AVERAGE(OFFSET($H$3,0,0,'Données projet'!$E$13+1,1))</f>
        <v>159.92263609041913</v>
      </c>
      <c r="CZ139" s="62">
        <f t="shared" si="150"/>
        <v>271.78119133009307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0.801999943106946</v>
      </c>
      <c r="DG139" s="23">
        <f>EXP(-LN(2)/25)*DG138+(1-EXP(-LN(2)/25))/(LN(2)/25)*Calculateur!DB139*Calculateur!DD139*VLOOKUP('Données projet'!$B$13,Paramètres!$A$1:$I$89,3,0)*0.475*44/12</f>
        <v>1.5485959231500765</v>
      </c>
      <c r="DH139" s="23">
        <f>EXP(-LN(2)/2)*DH138+(1-EXP(-LN(2)/2))/(LN(2)/2)*DB139*DE139*VLOOKUP('Données projet'!$B$13,Paramètres!$A$1:$I$89,3,0)*0.475*44/12</f>
        <v>3.0458610265021596E-15</v>
      </c>
      <c r="DI139" s="24">
        <f t="shared" si="123"/>
        <v>2.3505958662570259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-5.4683368944097308E-14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122.60806128440754</v>
      </c>
      <c r="DU139" s="62">
        <f t="shared" si="152"/>
        <v>73.937252053142004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0</v>
      </c>
      <c r="EP139" s="62">
        <f t="shared" si="154"/>
        <v>0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382.55387448074327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0.26460918344977735</v>
      </c>
      <c r="AA140" s="23">
        <f>EXP(-LN(2)/25)*AA139+(1-EXP(-LN(2)/25))/(LN(2)/25)*Calculateur!V140*Calculateur!X140*VLOOKUP('Données projet'!$B$9,Paramètres!$A$1:$I$89,3,0)*0.475*44/12</f>
        <v>0.54998764095827501</v>
      </c>
      <c r="AB140" s="23">
        <f>EXP(-LN(2)/2)*AB139+(1-EXP(-LN(2)/2))/(LN(2)/2)*V140*Y140*VLOOKUP('Données projet'!$B$9,Paramètres!$A$1:$I$89,3,0)*0.475*44/12</f>
        <v>1.7684264770852223E-15</v>
      </c>
      <c r="AC140" s="24">
        <f t="shared" si="111"/>
        <v>0.81459682440805414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269.64423257646359</v>
      </c>
      <c r="AO140" s="62">
        <f t="shared" si="144"/>
        <v>161.0819079811821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8.5265128291212022E-14</v>
      </c>
      <c r="BE140" s="14">
        <f>BD140*VLOOKUP('Données projet'!$B$11,Paramètres!$A$1:$I$89,3,0)*VLOOKUP('Données projet'!$B$11,Paramètres!$A$1:$I$89,5,0)</f>
        <v>3.990408004028723E-14</v>
      </c>
      <c r="BF140" s="14">
        <f t="shared" si="145"/>
        <v>6.6713074187844705E-13</v>
      </c>
      <c r="BG140" s="22">
        <f t="shared" si="115"/>
        <v>1.2314189815084623E-12</v>
      </c>
      <c r="BH140" s="62">
        <f t="shared" si="116"/>
        <v>293.33333333333456</v>
      </c>
      <c r="BI140" s="62">
        <f ca="1">AVERAGE(OFFSET($BH$3,0,0,'Données projet'!$E$11+1,1))-AVERAGE(OFFSET($H$3,0,0,'Données projet'!$E$11+1,1))</f>
        <v>90.797383835887558</v>
      </c>
      <c r="BJ140" s="62">
        <f t="shared" si="146"/>
        <v>104.31413437636684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0.11597486659866116</v>
      </c>
      <c r="BQ140" s="23">
        <f>EXP(-LN(2)/25)*BQ139+(1-EXP(-LN(2)/25))/(LN(2)/25)*Calculateur!BL140*Calculateur!BN140*VLOOKUP('Données projet'!$B$11,Paramètres!$A$1:$I$89,3,0)*0.475*44/12</f>
        <v>0.2184226808182583</v>
      </c>
      <c r="BR140" s="23">
        <f>EXP(-LN(2)/2)*BR139+(1-EXP(-LN(2)/2))/(LN(2)/2)*BL140*BO140*VLOOKUP('Données projet'!$B$11,Paramètres!$A$1:$I$89,3,0)*0.475*44/12</f>
        <v>2.3230837915708582E-16</v>
      </c>
      <c r="BS140" s="24">
        <f t="shared" si="117"/>
        <v>0.33439754741691968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304</v>
      </c>
      <c r="BZ140" s="14">
        <f>BY140*VLOOKUP('Données projet'!$B$12,Paramètres!$A$1:$I$89,3,0)*VLOOKUP('Données projet'!$B$12,Paramètres!$A$1:$I$89,5,0)</f>
        <v>189.696</v>
      </c>
      <c r="CA140" s="14">
        <f t="shared" si="147"/>
        <v>47.472736505152469</v>
      </c>
      <c r="CB140" s="22">
        <f t="shared" si="118"/>
        <v>413.06888274647389</v>
      </c>
      <c r="CC140" s="62">
        <f t="shared" si="119"/>
        <v>706.4022160798072</v>
      </c>
      <c r="CD140" s="62">
        <f ca="1">AVERAGE(OFFSET($CC$3,0,0,'Données projet'!$E$12+1,1))-AVERAGE(OFFSET($H$3,0,0,'Données projet'!$E$12+1,1))</f>
        <v>179.44051550872138</v>
      </c>
      <c r="CE140" s="62">
        <f t="shared" si="148"/>
        <v>272.9500808380069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0.59974354608798774</v>
      </c>
      <c r="CL140" s="23">
        <f>EXP(-LN(2)/25)*CL139+(1-EXP(-LN(2)/25))/(LN(2)/25)*Calculateur!CG140*Calculateur!CI140*VLOOKUP('Données projet'!$B$12,Paramètres!$A$1:$I$89,3,0)*0.475*44/12</f>
        <v>1.0328450758370313</v>
      </c>
      <c r="CM140" s="23">
        <f>EXP(-LN(2)/2)*CM139+(1-EXP(-LN(2)/2))/(LN(2)/2)*CG140*CJ140*VLOOKUP('Données projet'!$B$12,Paramètres!$A$1:$I$89,3,0)*0.475*44/12</f>
        <v>1.6178047109579733E-15</v>
      </c>
      <c r="CN140" s="24">
        <f t="shared" si="120"/>
        <v>1.6325886219250207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277.99999999999994</v>
      </c>
      <c r="CU140" s="18">
        <f>CT140*VLOOKUP('Données projet'!$B$13,Paramètres!$A$1:$I$89,3,0)*VLOOKUP('Données projet'!$B$13,Paramètres!$A$1:$I$89,5,0)</f>
        <v>151.78799999999998</v>
      </c>
      <c r="CV140" s="14">
        <f t="shared" si="149"/>
        <v>38.984634390835623</v>
      </c>
      <c r="CW140" s="22">
        <f t="shared" si="121"/>
        <v>332.26233823070532</v>
      </c>
      <c r="CX140" s="62">
        <f t="shared" si="122"/>
        <v>625.59567156403864</v>
      </c>
      <c r="CY140" s="62">
        <f ca="1">AVERAGE(OFFSET($CX$3,0,0,'Données projet'!$E$13+1,1))-AVERAGE(OFFSET($H$3,0,0,'Données projet'!$E$13+1,1))</f>
        <v>159.92263609041913</v>
      </c>
      <c r="CZ140" s="62">
        <f t="shared" si="150"/>
        <v>271.78119133009307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0.78627321339428236</v>
      </c>
      <c r="DG140" s="23">
        <f>EXP(-LN(2)/25)*DG139+(1-EXP(-LN(2)/25))/(LN(2)/25)*Calculateur!DB140*Calculateur!DD140*VLOOKUP('Données projet'!$B$13,Paramètres!$A$1:$I$89,3,0)*0.475*44/12</f>
        <v>1.5062494861944176</v>
      </c>
      <c r="DH140" s="23">
        <f>EXP(-LN(2)/2)*DH139+(1-EXP(-LN(2)/2))/(LN(2)/2)*DB140*DE140*VLOOKUP('Données projet'!$B$13,Paramètres!$A$1:$I$89,3,0)*0.475*44/12</f>
        <v>2.1537489863914955E-15</v>
      </c>
      <c r="DI140" s="24">
        <f t="shared" si="123"/>
        <v>2.292522699588702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-5.4683368944097308E-14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122.60806128440754</v>
      </c>
      <c r="DU140" s="62">
        <f t="shared" si="152"/>
        <v>73.937252053142004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0</v>
      </c>
      <c r="EP140" s="62">
        <f t="shared" si="154"/>
        <v>0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382.55387448074327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0.25942035875799263</v>
      </c>
      <c r="AA141" s="23">
        <f>EXP(-LN(2)/25)*AA140+(1-EXP(-LN(2)/25))/(LN(2)/25)*Calculateur!V141*Calculateur!X141*VLOOKUP('Données projet'!$B$9,Paramètres!$A$1:$I$89,3,0)*0.475*44/12</f>
        <v>0.53494819999367793</v>
      </c>
      <c r="AB141" s="23">
        <f>EXP(-LN(2)/2)*AB140+(1-EXP(-LN(2)/2))/(LN(2)/2)*V141*Y141*VLOOKUP('Données projet'!$B$9,Paramètres!$A$1:$I$89,3,0)*0.475*44/12</f>
        <v>1.2504663539767976E-15</v>
      </c>
      <c r="AC141" s="24">
        <f t="shared" si="111"/>
        <v>0.79436855875167178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269.64423257646359</v>
      </c>
      <c r="AO141" s="62">
        <f t="shared" si="144"/>
        <v>161.0819079811821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8.5265128291212022E-14</v>
      </c>
      <c r="BE141" s="14">
        <f>BD141*VLOOKUP('Données projet'!$B$11,Paramètres!$A$1:$I$89,3,0)*VLOOKUP('Données projet'!$B$11,Paramètres!$A$1:$I$89,5,0)</f>
        <v>3.990408004028723E-14</v>
      </c>
      <c r="BF141" s="14">
        <f t="shared" si="145"/>
        <v>6.6713074187844705E-13</v>
      </c>
      <c r="BG141" s="22">
        <f t="shared" si="115"/>
        <v>1.2314189815084623E-12</v>
      </c>
      <c r="BH141" s="62">
        <f t="shared" si="116"/>
        <v>293.33333333333456</v>
      </c>
      <c r="BI141" s="62">
        <f ca="1">AVERAGE(OFFSET($BH$3,0,0,'Données projet'!$E$11+1,1))-AVERAGE(OFFSET($H$3,0,0,'Données projet'!$E$11+1,1))</f>
        <v>90.797383835887558</v>
      </c>
      <c r="BJ141" s="62">
        <f t="shared" si="146"/>
        <v>104.31413437636684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0.11370067020234527</v>
      </c>
      <c r="BQ141" s="23">
        <f>EXP(-LN(2)/25)*BQ140+(1-EXP(-LN(2)/25))/(LN(2)/25)*Calculateur!BL141*Calculateur!BN141*VLOOKUP('Données projet'!$B$11,Paramètres!$A$1:$I$89,3,0)*0.475*44/12</f>
        <v>0.21244990112493345</v>
      </c>
      <c r="BR141" s="23">
        <f>EXP(-LN(2)/2)*BR140+(1-EXP(-LN(2)/2))/(LN(2)/2)*BL141*BO141*VLOOKUP('Données projet'!$B$11,Paramètres!$A$1:$I$89,3,0)*0.475*44/12</f>
        <v>1.64266830228431E-16</v>
      </c>
      <c r="BS141" s="24">
        <f t="shared" si="117"/>
        <v>0.32615057132727887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304</v>
      </c>
      <c r="BZ141" s="14">
        <f>BY141*VLOOKUP('Données projet'!$B$12,Paramètres!$A$1:$I$89,3,0)*VLOOKUP('Données projet'!$B$12,Paramètres!$A$1:$I$89,5,0)</f>
        <v>189.696</v>
      </c>
      <c r="CA141" s="14">
        <f t="shared" si="147"/>
        <v>47.472736505152469</v>
      </c>
      <c r="CB141" s="22">
        <f t="shared" si="118"/>
        <v>413.06888274647389</v>
      </c>
      <c r="CC141" s="62">
        <f t="shared" si="119"/>
        <v>706.4022160798072</v>
      </c>
      <c r="CD141" s="62">
        <f ca="1">AVERAGE(OFFSET($CC$3,0,0,'Données projet'!$E$12+1,1))-AVERAGE(OFFSET($H$3,0,0,'Données projet'!$E$12+1,1))</f>
        <v>179.44051550872138</v>
      </c>
      <c r="CE141" s="62">
        <f t="shared" si="148"/>
        <v>272.9500808380069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0.58798294095664494</v>
      </c>
      <c r="CL141" s="23">
        <f>EXP(-LN(2)/25)*CL140+(1-EXP(-LN(2)/25))/(LN(2)/25)*Calculateur!CG141*Calculateur!CI141*VLOOKUP('Données projet'!$B$12,Paramètres!$A$1:$I$89,3,0)*0.475*44/12</f>
        <v>1.0046018729233057</v>
      </c>
      <c r="CM141" s="23">
        <f>EXP(-LN(2)/2)*CM140+(1-EXP(-LN(2)/2))/(LN(2)/2)*CG141*CJ141*VLOOKUP('Données projet'!$B$12,Paramètres!$A$1:$I$89,3,0)*0.475*44/12</f>
        <v>1.1439606817539254E-15</v>
      </c>
      <c r="CN141" s="24">
        <f t="shared" si="120"/>
        <v>1.5925848138799517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277.99999999999994</v>
      </c>
      <c r="CU141" s="18">
        <f>CT141*VLOOKUP('Données projet'!$B$13,Paramètres!$A$1:$I$89,3,0)*VLOOKUP('Données projet'!$B$13,Paramètres!$A$1:$I$89,5,0)</f>
        <v>151.78799999999998</v>
      </c>
      <c r="CV141" s="14">
        <f t="shared" si="149"/>
        <v>38.984634390835623</v>
      </c>
      <c r="CW141" s="22">
        <f t="shared" si="121"/>
        <v>332.26233823070532</v>
      </c>
      <c r="CX141" s="62">
        <f t="shared" si="122"/>
        <v>625.59567156403864</v>
      </c>
      <c r="CY141" s="62">
        <f ca="1">AVERAGE(OFFSET($CX$3,0,0,'Données projet'!$E$13+1,1))-AVERAGE(OFFSET($H$3,0,0,'Données projet'!$E$13+1,1))</f>
        <v>159.92263609041913</v>
      </c>
      <c r="CZ141" s="62">
        <f t="shared" si="150"/>
        <v>271.78119133009307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0.77085487525892615</v>
      </c>
      <c r="DG141" s="23">
        <f>EXP(-LN(2)/25)*DG140+(1-EXP(-LN(2)/25))/(LN(2)/25)*Calculateur!DB141*Calculateur!DD141*VLOOKUP('Données projet'!$B$13,Paramètres!$A$1:$I$89,3,0)*0.475*44/12</f>
        <v>1.4650610147842134</v>
      </c>
      <c r="DH141" s="23">
        <f>EXP(-LN(2)/2)*DH140+(1-EXP(-LN(2)/2))/(LN(2)/2)*DB141*DE141*VLOOKUP('Données projet'!$B$13,Paramètres!$A$1:$I$89,3,0)*0.475*44/12</f>
        <v>1.5229305132510798E-15</v>
      </c>
      <c r="DI141" s="24">
        <f t="shared" si="123"/>
        <v>2.2359158900431408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-5.4683368944097308E-14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122.60806128440754</v>
      </c>
      <c r="DU141" s="62">
        <f t="shared" si="152"/>
        <v>73.937252053142004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0</v>
      </c>
      <c r="EP141" s="62">
        <f t="shared" si="154"/>
        <v>0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382.55387448074327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0.25433328375354325</v>
      </c>
      <c r="AA142" s="23">
        <f>EXP(-LN(2)/25)*AA141+(1-EXP(-LN(2)/25))/(LN(2)/25)*Calculateur!V142*Calculateur!X142*VLOOKUP('Données projet'!$B$9,Paramètres!$A$1:$I$89,3,0)*0.475*44/12</f>
        <v>0.52032001333314759</v>
      </c>
      <c r="AB142" s="23">
        <f>EXP(-LN(2)/2)*AB141+(1-EXP(-LN(2)/2))/(LN(2)/2)*V142*Y142*VLOOKUP('Données projet'!$B$9,Paramètres!$A$1:$I$89,3,0)*0.475*44/12</f>
        <v>8.8421323854261136E-16</v>
      </c>
      <c r="AC142" s="24">
        <f t="shared" si="111"/>
        <v>0.77465329708669173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269.64423257646359</v>
      </c>
      <c r="AO142" s="62">
        <f t="shared" si="144"/>
        <v>161.0819079811821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8.5265128291212022E-14</v>
      </c>
      <c r="BE142" s="14">
        <f>BD142*VLOOKUP('Données projet'!$B$11,Paramètres!$A$1:$I$89,3,0)*VLOOKUP('Données projet'!$B$11,Paramètres!$A$1:$I$89,5,0)</f>
        <v>3.990408004028723E-14</v>
      </c>
      <c r="BF142" s="14">
        <f t="shared" si="145"/>
        <v>6.6713074187844705E-13</v>
      </c>
      <c r="BG142" s="22">
        <f t="shared" si="115"/>
        <v>1.2314189815084623E-12</v>
      </c>
      <c r="BH142" s="62">
        <f t="shared" si="116"/>
        <v>293.33333333333456</v>
      </c>
      <c r="BI142" s="62">
        <f ca="1">AVERAGE(OFFSET($BH$3,0,0,'Données projet'!$E$11+1,1))-AVERAGE(OFFSET($H$3,0,0,'Données projet'!$E$11+1,1))</f>
        <v>90.797383835887558</v>
      </c>
      <c r="BJ142" s="62">
        <f t="shared" si="146"/>
        <v>104.31413437636684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0.11147106941023831</v>
      </c>
      <c r="BQ142" s="23">
        <f>EXP(-LN(2)/25)*BQ141+(1-EXP(-LN(2)/25))/(LN(2)/25)*Calculateur!BL142*Calculateur!BN142*VLOOKUP('Données projet'!$B$11,Paramètres!$A$1:$I$89,3,0)*0.475*44/12</f>
        <v>0.2066404474064174</v>
      </c>
      <c r="BR142" s="23">
        <f>EXP(-LN(2)/2)*BR141+(1-EXP(-LN(2)/2))/(LN(2)/2)*BL142*BO142*VLOOKUP('Données projet'!$B$11,Paramètres!$A$1:$I$89,3,0)*0.475*44/12</f>
        <v>1.1615418957854291E-16</v>
      </c>
      <c r="BS142" s="24">
        <f t="shared" si="117"/>
        <v>0.31811151681665584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304</v>
      </c>
      <c r="BZ142" s="14">
        <f>BY142*VLOOKUP('Données projet'!$B$12,Paramètres!$A$1:$I$89,3,0)*VLOOKUP('Données projet'!$B$12,Paramètres!$A$1:$I$89,5,0)</f>
        <v>189.696</v>
      </c>
      <c r="CA142" s="14">
        <f t="shared" si="147"/>
        <v>47.472736505152469</v>
      </c>
      <c r="CB142" s="22">
        <f t="shared" si="118"/>
        <v>413.06888274647389</v>
      </c>
      <c r="CC142" s="62">
        <f t="shared" si="119"/>
        <v>706.4022160798072</v>
      </c>
      <c r="CD142" s="62">
        <f ca="1">AVERAGE(OFFSET($CC$3,0,0,'Données projet'!$E$12+1,1))-AVERAGE(OFFSET($H$3,0,0,'Données projet'!$E$12+1,1))</f>
        <v>179.44051550872138</v>
      </c>
      <c r="CE142" s="62">
        <f t="shared" si="148"/>
        <v>272.9500808380069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0.57645295411866693</v>
      </c>
      <c r="CL142" s="23">
        <f>EXP(-LN(2)/25)*CL141+(1-EXP(-LN(2)/25))/(LN(2)/25)*Calculateur!CG142*Calculateur!CI142*VLOOKUP('Données projet'!$B$12,Paramètres!$A$1:$I$89,3,0)*0.475*44/12</f>
        <v>0.97713098187850145</v>
      </c>
      <c r="CM142" s="23">
        <f>EXP(-LN(2)/2)*CM141+(1-EXP(-LN(2)/2))/(LN(2)/2)*CG142*CJ142*VLOOKUP('Données projet'!$B$12,Paramètres!$A$1:$I$89,3,0)*0.475*44/12</f>
        <v>8.0890235547898664E-16</v>
      </c>
      <c r="CN142" s="24">
        <f t="shared" si="120"/>
        <v>1.5535839359971693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277.99999999999994</v>
      </c>
      <c r="CU142" s="18">
        <f>CT142*VLOOKUP('Données projet'!$B$13,Paramètres!$A$1:$I$89,3,0)*VLOOKUP('Données projet'!$B$13,Paramètres!$A$1:$I$89,5,0)</f>
        <v>151.78799999999998</v>
      </c>
      <c r="CV142" s="14">
        <f t="shared" si="149"/>
        <v>38.984634390835623</v>
      </c>
      <c r="CW142" s="22">
        <f t="shared" si="121"/>
        <v>332.26233823070532</v>
      </c>
      <c r="CX142" s="62">
        <f t="shared" si="122"/>
        <v>625.59567156403864</v>
      </c>
      <c r="CY142" s="62">
        <f ca="1">AVERAGE(OFFSET($CX$3,0,0,'Données projet'!$E$13+1,1))-AVERAGE(OFFSET($H$3,0,0,'Données projet'!$E$13+1,1))</f>
        <v>159.92263609041913</v>
      </c>
      <c r="CZ142" s="62">
        <f t="shared" si="150"/>
        <v>271.78119133009307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0.75573888133014655</v>
      </c>
      <c r="DG142" s="23">
        <f>EXP(-LN(2)/25)*DG141+(1-EXP(-LN(2)/25))/(LN(2)/25)*Calculateur!DB142*Calculateur!DD142*VLOOKUP('Données projet'!$B$13,Paramètres!$A$1:$I$89,3,0)*0.475*44/12</f>
        <v>1.4249988442907287</v>
      </c>
      <c r="DH142" s="23">
        <f>EXP(-LN(2)/2)*DH141+(1-EXP(-LN(2)/2))/(LN(2)/2)*DB142*DE142*VLOOKUP('Données projet'!$B$13,Paramètres!$A$1:$I$89,3,0)*0.475*44/12</f>
        <v>1.0768744931957478E-15</v>
      </c>
      <c r="DI142" s="24">
        <f t="shared" si="123"/>
        <v>2.180737725620876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-5.4683368944097308E-14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122.60806128440754</v>
      </c>
      <c r="DU142" s="62">
        <f t="shared" si="152"/>
        <v>73.937252053142004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0</v>
      </c>
      <c r="EP142" s="62">
        <f t="shared" si="154"/>
        <v>0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382.55387448074327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0.24934596318712174</v>
      </c>
      <c r="AA143" s="23">
        <f>EXP(-LN(2)/25)*AA142+(1-EXP(-LN(2)/25))/(LN(2)/25)*Calculateur!V143*Calculateur!X143*VLOOKUP('Données projet'!$B$9,Paramètres!$A$1:$I$89,3,0)*0.475*44/12</f>
        <v>0.50609183520611234</v>
      </c>
      <c r="AB143" s="23">
        <f>EXP(-LN(2)/2)*AB142+(1-EXP(-LN(2)/2))/(LN(2)/2)*V143*Y143*VLOOKUP('Données projet'!$B$9,Paramètres!$A$1:$I$89,3,0)*0.475*44/12</f>
        <v>6.2523317698839888E-16</v>
      </c>
      <c r="AC143" s="24">
        <f t="shared" si="111"/>
        <v>0.75543779839323477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269.64423257646359</v>
      </c>
      <c r="AO143" s="62">
        <f t="shared" si="144"/>
        <v>161.0819079811821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8.5265128291212022E-14</v>
      </c>
      <c r="BE143" s="14">
        <f>BD143*VLOOKUP('Données projet'!$B$11,Paramètres!$A$1:$I$89,3,0)*VLOOKUP('Données projet'!$B$11,Paramètres!$A$1:$I$89,5,0)</f>
        <v>3.990408004028723E-14</v>
      </c>
      <c r="BF143" s="14">
        <f t="shared" si="145"/>
        <v>6.6713074187844705E-13</v>
      </c>
      <c r="BG143" s="22">
        <f t="shared" si="115"/>
        <v>1.2314189815084623E-12</v>
      </c>
      <c r="BH143" s="62">
        <f t="shared" si="116"/>
        <v>293.33333333333456</v>
      </c>
      <c r="BI143" s="62">
        <f ca="1">AVERAGE(OFFSET($BH$3,0,0,'Données projet'!$E$11+1,1))-AVERAGE(OFFSET($H$3,0,0,'Données projet'!$E$11+1,1))</f>
        <v>90.797383835887558</v>
      </c>
      <c r="BJ143" s="62">
        <f t="shared" si="146"/>
        <v>104.31413437636684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0.10928518972974235</v>
      </c>
      <c r="BQ143" s="23">
        <f>EXP(-LN(2)/25)*BQ142+(1-EXP(-LN(2)/25))/(LN(2)/25)*Calculateur!BL143*Calculateur!BN143*VLOOKUP('Données projet'!$B$11,Paramètres!$A$1:$I$89,3,0)*0.475*44/12</f>
        <v>0.20098985350534007</v>
      </c>
      <c r="BR143" s="23">
        <f>EXP(-LN(2)/2)*BR142+(1-EXP(-LN(2)/2))/(LN(2)/2)*BL143*BO143*VLOOKUP('Données projet'!$B$11,Paramètres!$A$1:$I$89,3,0)*0.475*44/12</f>
        <v>8.2133415114215502E-17</v>
      </c>
      <c r="BS143" s="24">
        <f t="shared" si="117"/>
        <v>0.31027504323508248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304</v>
      </c>
      <c r="BZ143" s="14">
        <f>BY143*VLOOKUP('Données projet'!$B$12,Paramètres!$A$1:$I$89,3,0)*VLOOKUP('Données projet'!$B$12,Paramètres!$A$1:$I$89,5,0)</f>
        <v>189.696</v>
      </c>
      <c r="CA143" s="14">
        <f t="shared" si="147"/>
        <v>47.472736505152469</v>
      </c>
      <c r="CB143" s="22">
        <f t="shared" si="118"/>
        <v>413.06888274647389</v>
      </c>
      <c r="CC143" s="62">
        <f t="shared" si="119"/>
        <v>706.4022160798072</v>
      </c>
      <c r="CD143" s="62">
        <f ca="1">AVERAGE(OFFSET($CC$3,0,0,'Données projet'!$E$12+1,1))-AVERAGE(OFFSET($H$3,0,0,'Données projet'!$E$12+1,1))</f>
        <v>179.44051550872138</v>
      </c>
      <c r="CE143" s="62">
        <f t="shared" si="148"/>
        <v>272.9500808380069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0.56514906328998415</v>
      </c>
      <c r="CL143" s="23">
        <f>EXP(-LN(2)/25)*CL142+(1-EXP(-LN(2)/25))/(LN(2)/25)*Calculateur!CG143*Calculateur!CI143*VLOOKUP('Données projet'!$B$12,Paramètres!$A$1:$I$89,3,0)*0.475*44/12</f>
        <v>0.95041128379394879</v>
      </c>
      <c r="CM143" s="23">
        <f>EXP(-LN(2)/2)*CM142+(1-EXP(-LN(2)/2))/(LN(2)/2)*CG143*CJ143*VLOOKUP('Données projet'!$B$12,Paramètres!$A$1:$I$89,3,0)*0.475*44/12</f>
        <v>5.7198034087696268E-16</v>
      </c>
      <c r="CN143" s="24">
        <f t="shared" si="120"/>
        <v>1.5155603470839336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277.99999999999994</v>
      </c>
      <c r="CU143" s="18">
        <f>CT143*VLOOKUP('Données projet'!$B$13,Paramètres!$A$1:$I$89,3,0)*VLOOKUP('Données projet'!$B$13,Paramètres!$A$1:$I$89,5,0)</f>
        <v>151.78799999999998</v>
      </c>
      <c r="CV143" s="14">
        <f t="shared" si="149"/>
        <v>38.984634390835623</v>
      </c>
      <c r="CW143" s="22">
        <f t="shared" si="121"/>
        <v>332.26233823070532</v>
      </c>
      <c r="CX143" s="62">
        <f t="shared" si="122"/>
        <v>625.59567156403864</v>
      </c>
      <c r="CY143" s="62">
        <f ca="1">AVERAGE(OFFSET($CX$3,0,0,'Données projet'!$E$13+1,1))-AVERAGE(OFFSET($H$3,0,0,'Données projet'!$E$13+1,1))</f>
        <v>159.92263609041913</v>
      </c>
      <c r="CZ143" s="62">
        <f t="shared" si="150"/>
        <v>271.78119133009307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0.74091930282246443</v>
      </c>
      <c r="DG143" s="23">
        <f>EXP(-LN(2)/25)*DG142+(1-EXP(-LN(2)/25))/(LN(2)/25)*Calculateur!DB143*Calculateur!DD143*VLOOKUP('Données projet'!$B$13,Paramètres!$A$1:$I$89,3,0)*0.475*44/12</f>
        <v>1.3860321759561662</v>
      </c>
      <c r="DH143" s="23">
        <f>EXP(-LN(2)/2)*DH142+(1-EXP(-LN(2)/2))/(LN(2)/2)*DB143*DE143*VLOOKUP('Données projet'!$B$13,Paramètres!$A$1:$I$89,3,0)*0.475*44/12</f>
        <v>7.6146525662553989E-16</v>
      </c>
      <c r="DI143" s="24">
        <f t="shared" si="123"/>
        <v>2.1269514787786314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-5.4683368944097308E-14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122.60806128440754</v>
      </c>
      <c r="DU143" s="62">
        <f t="shared" si="152"/>
        <v>73.937252053142004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0</v>
      </c>
      <c r="EP143" s="62">
        <f t="shared" si="154"/>
        <v>0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382.55387448074327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0.24445644093504257</v>
      </c>
      <c r="AA144" s="23">
        <f>EXP(-LN(2)/25)*AA143+(1-EXP(-LN(2)/25))/(LN(2)/25)*Calculateur!V144*Calculateur!X144*VLOOKUP('Données projet'!$B$9,Paramètres!$A$1:$I$89,3,0)*0.475*44/12</f>
        <v>0.49225272735818826</v>
      </c>
      <c r="AB144" s="23">
        <f>EXP(-LN(2)/2)*AB143+(1-EXP(-LN(2)/2))/(LN(2)/2)*V144*Y144*VLOOKUP('Données projet'!$B$9,Paramètres!$A$1:$I$89,3,0)*0.475*44/12</f>
        <v>4.4210661927130573E-16</v>
      </c>
      <c r="AC144" s="24">
        <f t="shared" si="111"/>
        <v>0.7367091682932313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269.64423257646359</v>
      </c>
      <c r="AO144" s="62">
        <f t="shared" si="144"/>
        <v>161.0819079811821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8.5265128291212022E-14</v>
      </c>
      <c r="BE144" s="14">
        <f>BD144*VLOOKUP('Données projet'!$B$11,Paramètres!$A$1:$I$89,3,0)*VLOOKUP('Données projet'!$B$11,Paramètres!$A$1:$I$89,5,0)</f>
        <v>3.990408004028723E-14</v>
      </c>
      <c r="BF144" s="14">
        <f t="shared" si="145"/>
        <v>6.6713074187844705E-13</v>
      </c>
      <c r="BG144" s="22">
        <f t="shared" si="115"/>
        <v>1.2314189815084623E-12</v>
      </c>
      <c r="BH144" s="62">
        <f t="shared" si="116"/>
        <v>293.33333333333456</v>
      </c>
      <c r="BI144" s="62">
        <f ca="1">AVERAGE(OFFSET($BH$3,0,0,'Données projet'!$E$11+1,1))-AVERAGE(OFFSET($H$3,0,0,'Données projet'!$E$11+1,1))</f>
        <v>90.797383835887558</v>
      </c>
      <c r="BJ144" s="62">
        <f t="shared" si="146"/>
        <v>104.31413437636684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0.10714217381652598</v>
      </c>
      <c r="BQ144" s="23">
        <f>EXP(-LN(2)/25)*BQ143+(1-EXP(-LN(2)/25))/(LN(2)/25)*Calculateur!BL144*Calculateur!BN144*VLOOKUP('Données projet'!$B$11,Paramètres!$A$1:$I$89,3,0)*0.475*44/12</f>
        <v>0.19549377539163951</v>
      </c>
      <c r="BR144" s="23">
        <f>EXP(-LN(2)/2)*BR143+(1-EXP(-LN(2)/2))/(LN(2)/2)*BL144*BO144*VLOOKUP('Données projet'!$B$11,Paramètres!$A$1:$I$89,3,0)*0.475*44/12</f>
        <v>5.8077094789271455E-17</v>
      </c>
      <c r="BS144" s="24">
        <f t="shared" si="117"/>
        <v>0.30263594920816556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304</v>
      </c>
      <c r="BZ144" s="14">
        <f>BY144*VLOOKUP('Données projet'!$B$12,Paramètres!$A$1:$I$89,3,0)*VLOOKUP('Données projet'!$B$12,Paramètres!$A$1:$I$89,5,0)</f>
        <v>189.696</v>
      </c>
      <c r="CA144" s="14">
        <f t="shared" si="147"/>
        <v>47.472736505152469</v>
      </c>
      <c r="CB144" s="22">
        <f t="shared" si="118"/>
        <v>413.06888274647389</v>
      </c>
      <c r="CC144" s="62">
        <f t="shared" si="119"/>
        <v>706.4022160798072</v>
      </c>
      <c r="CD144" s="62">
        <f ca="1">AVERAGE(OFFSET($CC$3,0,0,'Données projet'!$E$12+1,1))-AVERAGE(OFFSET($H$3,0,0,'Données projet'!$E$12+1,1))</f>
        <v>179.44051550872138</v>
      </c>
      <c r="CE144" s="62">
        <f t="shared" si="148"/>
        <v>272.9500808380069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0.55406683486575914</v>
      </c>
      <c r="CL144" s="23">
        <f>EXP(-LN(2)/25)*CL143+(1-EXP(-LN(2)/25))/(LN(2)/25)*Calculateur!CG144*Calculateur!CI144*VLOOKUP('Données projet'!$B$12,Paramètres!$A$1:$I$89,3,0)*0.475*44/12</f>
        <v>0.92442223725864603</v>
      </c>
      <c r="CM144" s="23">
        <f>EXP(-LN(2)/2)*CM143+(1-EXP(-LN(2)/2))/(LN(2)/2)*CG144*CJ144*VLOOKUP('Données projet'!$B$12,Paramètres!$A$1:$I$89,3,0)*0.475*44/12</f>
        <v>4.0445117773949332E-16</v>
      </c>
      <c r="CN144" s="24">
        <f t="shared" si="120"/>
        <v>1.4784890721244057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277.99999999999994</v>
      </c>
      <c r="CU144" s="18">
        <f>CT144*VLOOKUP('Données projet'!$B$13,Paramètres!$A$1:$I$89,3,0)*VLOOKUP('Données projet'!$B$13,Paramètres!$A$1:$I$89,5,0)</f>
        <v>151.78799999999998</v>
      </c>
      <c r="CV144" s="14">
        <f t="shared" si="149"/>
        <v>38.984634390835623</v>
      </c>
      <c r="CW144" s="22">
        <f t="shared" si="121"/>
        <v>332.26233823070532</v>
      </c>
      <c r="CX144" s="62">
        <f t="shared" si="122"/>
        <v>625.59567156403864</v>
      </c>
      <c r="CY144" s="62">
        <f ca="1">AVERAGE(OFFSET($CX$3,0,0,'Données projet'!$E$13+1,1))-AVERAGE(OFFSET($H$3,0,0,'Données projet'!$E$13+1,1))</f>
        <v>159.92263609041913</v>
      </c>
      <c r="CZ144" s="62">
        <f t="shared" si="150"/>
        <v>271.78119133009307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0.72639032721026764</v>
      </c>
      <c r="DG144" s="23">
        <f>EXP(-LN(2)/25)*DG143+(1-EXP(-LN(2)/25))/(LN(2)/25)*Calculateur!DB144*Calculateur!DD144*VLOOKUP('Données projet'!$B$13,Paramètres!$A$1:$I$89,3,0)*0.475*44/12</f>
        <v>1.3481310532163806</v>
      </c>
      <c r="DH144" s="23">
        <f>EXP(-LN(2)/2)*DH143+(1-EXP(-LN(2)/2))/(LN(2)/2)*DB144*DE144*VLOOKUP('Données projet'!$B$13,Paramètres!$A$1:$I$89,3,0)*0.475*44/12</f>
        <v>5.3843724659787389E-16</v>
      </c>
      <c r="DI144" s="24">
        <f t="shared" si="123"/>
        <v>2.0745213804266487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-5.4683368944097308E-14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122.60806128440754</v>
      </c>
      <c r="DU144" s="62">
        <f t="shared" si="152"/>
        <v>73.937252053142004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0</v>
      </c>
      <c r="EP144" s="62">
        <f t="shared" si="154"/>
        <v>0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382.55387448074327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0.23966279923201259</v>
      </c>
      <c r="AA145" s="23">
        <f>EXP(-LN(2)/25)*AA144+(1-EXP(-LN(2)/25))/(LN(2)/25)*Calculateur!V145*Calculateur!X145*VLOOKUP('Données projet'!$B$9,Paramètres!$A$1:$I$89,3,0)*0.475*44/12</f>
        <v>0.4787920506421327</v>
      </c>
      <c r="AB145" s="23">
        <f>EXP(-LN(2)/2)*AB144+(1-EXP(-LN(2)/2))/(LN(2)/2)*V145*Y145*VLOOKUP('Données projet'!$B$9,Paramètres!$A$1:$I$89,3,0)*0.475*44/12</f>
        <v>3.1261658849419949E-16</v>
      </c>
      <c r="AC145" s="24">
        <f t="shared" si="111"/>
        <v>0.71845484987414565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269.64423257646359</v>
      </c>
      <c r="AO145" s="62">
        <f t="shared" si="144"/>
        <v>161.0819079811821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8.5265128291212022E-14</v>
      </c>
      <c r="BE145" s="14">
        <f>BD145*VLOOKUP('Données projet'!$B$11,Paramètres!$A$1:$I$89,3,0)*VLOOKUP('Données projet'!$B$11,Paramètres!$A$1:$I$89,5,0)</f>
        <v>3.990408004028723E-14</v>
      </c>
      <c r="BF145" s="14">
        <f t="shared" si="145"/>
        <v>6.6713074187844705E-13</v>
      </c>
      <c r="BG145" s="22">
        <f t="shared" si="115"/>
        <v>1.2314189815084623E-12</v>
      </c>
      <c r="BH145" s="62">
        <f t="shared" si="116"/>
        <v>293.33333333333456</v>
      </c>
      <c r="BI145" s="62">
        <f ca="1">AVERAGE(OFFSET($BH$3,0,0,'Données projet'!$E$11+1,1))-AVERAGE(OFFSET($H$3,0,0,'Données projet'!$E$11+1,1))</f>
        <v>90.797383835887558</v>
      </c>
      <c r="BJ145" s="62">
        <f t="shared" si="146"/>
        <v>104.31413437636684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0.10504118113825713</v>
      </c>
      <c r="BQ145" s="23">
        <f>EXP(-LN(2)/25)*BQ144+(1-EXP(-LN(2)/25))/(LN(2)/25)*Calculateur!BL145*Calculateur!BN145*VLOOKUP('Données projet'!$B$11,Paramètres!$A$1:$I$89,3,0)*0.475*44/12</f>
        <v>0.19014798782298428</v>
      </c>
      <c r="BR145" s="23">
        <f>EXP(-LN(2)/2)*BR144+(1-EXP(-LN(2)/2))/(LN(2)/2)*BL145*BO145*VLOOKUP('Données projet'!$B$11,Paramètres!$A$1:$I$89,3,0)*0.475*44/12</f>
        <v>4.1066707557107751E-17</v>
      </c>
      <c r="BS145" s="24">
        <f t="shared" si="117"/>
        <v>0.29518916896124148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304</v>
      </c>
      <c r="BZ145" s="14">
        <f>BY145*VLOOKUP('Données projet'!$B$12,Paramètres!$A$1:$I$89,3,0)*VLOOKUP('Données projet'!$B$12,Paramètres!$A$1:$I$89,5,0)</f>
        <v>189.696</v>
      </c>
      <c r="CA145" s="14">
        <f t="shared" si="147"/>
        <v>47.472736505152469</v>
      </c>
      <c r="CB145" s="22">
        <f t="shared" si="118"/>
        <v>413.06888274647389</v>
      </c>
      <c r="CC145" s="62">
        <f t="shared" si="119"/>
        <v>706.4022160798072</v>
      </c>
      <c r="CD145" s="62">
        <f ca="1">AVERAGE(OFFSET($CC$3,0,0,'Données projet'!$E$12+1,1))-AVERAGE(OFFSET($H$3,0,0,'Données projet'!$E$12+1,1))</f>
        <v>179.44051550872138</v>
      </c>
      <c r="CE145" s="62">
        <f t="shared" si="148"/>
        <v>272.9500808380069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0.54320192218144137</v>
      </c>
      <c r="CL145" s="23">
        <f>EXP(-LN(2)/25)*CL144+(1-EXP(-LN(2)/25))/(LN(2)/25)*Calculateur!CG145*Calculateur!CI145*VLOOKUP('Données projet'!$B$12,Paramètres!$A$1:$I$89,3,0)*0.475*44/12</f>
        <v>0.89914386256755574</v>
      </c>
      <c r="CM145" s="23">
        <f>EXP(-LN(2)/2)*CM144+(1-EXP(-LN(2)/2))/(LN(2)/2)*CG145*CJ145*VLOOKUP('Données projet'!$B$12,Paramètres!$A$1:$I$89,3,0)*0.475*44/12</f>
        <v>2.8599017043848134E-16</v>
      </c>
      <c r="CN145" s="24">
        <f t="shared" si="120"/>
        <v>1.4423457847489973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277.99999999999994</v>
      </c>
      <c r="CU145" s="18">
        <f>CT145*VLOOKUP('Données projet'!$B$13,Paramètres!$A$1:$I$89,3,0)*VLOOKUP('Données projet'!$B$13,Paramètres!$A$1:$I$89,5,0)</f>
        <v>151.78799999999998</v>
      </c>
      <c r="CV145" s="14">
        <f t="shared" si="149"/>
        <v>38.984634390835623</v>
      </c>
      <c r="CW145" s="22">
        <f t="shared" si="121"/>
        <v>332.26233823070532</v>
      </c>
      <c r="CX145" s="62">
        <f t="shared" si="122"/>
        <v>625.59567156403864</v>
      </c>
      <c r="CY145" s="62">
        <f ca="1">AVERAGE(OFFSET($CX$3,0,0,'Données projet'!$E$13+1,1))-AVERAGE(OFFSET($H$3,0,0,'Données projet'!$E$13+1,1))</f>
        <v>159.92263609041913</v>
      </c>
      <c r="CZ145" s="62">
        <f t="shared" si="150"/>
        <v>271.78119133009307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0.71214625594802594</v>
      </c>
      <c r="DG145" s="23">
        <f>EXP(-LN(2)/25)*DG144+(1-EXP(-LN(2)/25))/(LN(2)/25)*Calculateur!DB145*Calculateur!DD145*VLOOKUP('Données projet'!$B$13,Paramètres!$A$1:$I$89,3,0)*0.475*44/12</f>
        <v>1.3112663386710477</v>
      </c>
      <c r="DH145" s="23">
        <f>EXP(-LN(2)/2)*DH144+(1-EXP(-LN(2)/2))/(LN(2)/2)*DB145*DE145*VLOOKUP('Données projet'!$B$13,Paramètres!$A$1:$I$89,3,0)*0.475*44/12</f>
        <v>3.8073262831276994E-16</v>
      </c>
      <c r="DI145" s="24">
        <f t="shared" si="123"/>
        <v>2.023412594619074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-5.4683368944097308E-14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122.60806128440754</v>
      </c>
      <c r="DU145" s="62">
        <f t="shared" si="152"/>
        <v>73.937252053142004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0</v>
      </c>
      <c r="EP145" s="62">
        <f t="shared" si="154"/>
        <v>0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382.55387448074327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0.23496315791894629</v>
      </c>
      <c r="AA146" s="23">
        <f>EXP(-LN(2)/25)*AA145+(1-EXP(-LN(2)/25))/(LN(2)/25)*Calculateur!V146*Calculateur!X146*VLOOKUP('Données projet'!$B$9,Paramètres!$A$1:$I$89,3,0)*0.475*44/12</f>
        <v>0.46569945683874392</v>
      </c>
      <c r="AB146" s="23">
        <f>EXP(-LN(2)/2)*AB145+(1-EXP(-LN(2)/2))/(LN(2)/2)*V146*Y146*VLOOKUP('Données projet'!$B$9,Paramètres!$A$1:$I$89,3,0)*0.475*44/12</f>
        <v>2.2105330963565291E-16</v>
      </c>
      <c r="AC146" s="24">
        <f t="shared" si="111"/>
        <v>0.70066261475769043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269.64423257646359</v>
      </c>
      <c r="AO146" s="62">
        <f t="shared" si="144"/>
        <v>161.0819079811821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8.5265128291212022E-14</v>
      </c>
      <c r="BE146" s="14">
        <f>BD146*VLOOKUP('Données projet'!$B$11,Paramètres!$A$1:$I$89,3,0)*VLOOKUP('Données projet'!$B$11,Paramètres!$A$1:$I$89,5,0)</f>
        <v>3.990408004028723E-14</v>
      </c>
      <c r="BF146" s="14">
        <f t="shared" si="145"/>
        <v>6.6713074187844705E-13</v>
      </c>
      <c r="BG146" s="22">
        <f t="shared" si="115"/>
        <v>1.2314189815084623E-12</v>
      </c>
      <c r="BH146" s="62">
        <f t="shared" si="116"/>
        <v>293.33333333333456</v>
      </c>
      <c r="BI146" s="62">
        <f ca="1">AVERAGE(OFFSET($BH$3,0,0,'Données projet'!$E$11+1,1))-AVERAGE(OFFSET($H$3,0,0,'Données projet'!$E$11+1,1))</f>
        <v>90.797383835887558</v>
      </c>
      <c r="BJ146" s="62">
        <f t="shared" si="146"/>
        <v>104.31413437636684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0.10298138764493013</v>
      </c>
      <c r="BQ146" s="23">
        <f>EXP(-LN(2)/25)*BQ145+(1-EXP(-LN(2)/25))/(LN(2)/25)*Calculateur!BL146*Calculateur!BN146*VLOOKUP('Données projet'!$B$11,Paramètres!$A$1:$I$89,3,0)*0.475*44/12</f>
        <v>0.18494838109651668</v>
      </c>
      <c r="BR146" s="23">
        <f>EXP(-LN(2)/2)*BR145+(1-EXP(-LN(2)/2))/(LN(2)/2)*BL146*BO146*VLOOKUP('Données projet'!$B$11,Paramètres!$A$1:$I$89,3,0)*0.475*44/12</f>
        <v>2.9038547394635728E-17</v>
      </c>
      <c r="BS146" s="24">
        <f t="shared" si="117"/>
        <v>0.28792976874144688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304</v>
      </c>
      <c r="BZ146" s="14">
        <f>BY146*VLOOKUP('Données projet'!$B$12,Paramètres!$A$1:$I$89,3,0)*VLOOKUP('Données projet'!$B$12,Paramètres!$A$1:$I$89,5,0)</f>
        <v>189.696</v>
      </c>
      <c r="CA146" s="14">
        <f t="shared" si="147"/>
        <v>47.472736505152469</v>
      </c>
      <c r="CB146" s="22">
        <f t="shared" si="118"/>
        <v>413.06888274647389</v>
      </c>
      <c r="CC146" s="62">
        <f t="shared" si="119"/>
        <v>706.4022160798072</v>
      </c>
      <c r="CD146" s="62">
        <f ca="1">AVERAGE(OFFSET($CC$3,0,0,'Données projet'!$E$12+1,1))-AVERAGE(OFFSET($H$3,0,0,'Données projet'!$E$12+1,1))</f>
        <v>179.44051550872138</v>
      </c>
      <c r="CE146" s="62">
        <f t="shared" si="148"/>
        <v>272.9500808380069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0.53255006380792069</v>
      </c>
      <c r="CL146" s="23">
        <f>EXP(-LN(2)/25)*CL145+(1-EXP(-LN(2)/25))/(LN(2)/25)*Calculateur!CG146*Calculateur!CI146*VLOOKUP('Données projet'!$B$12,Paramètres!$A$1:$I$89,3,0)*0.475*44/12</f>
        <v>0.87455672636172521</v>
      </c>
      <c r="CM146" s="23">
        <f>EXP(-LN(2)/2)*CM145+(1-EXP(-LN(2)/2))/(LN(2)/2)*CG146*CJ146*VLOOKUP('Données projet'!$B$12,Paramètres!$A$1:$I$89,3,0)*0.475*44/12</f>
        <v>2.0222558886974666E-16</v>
      </c>
      <c r="CN146" s="24">
        <f t="shared" si="120"/>
        <v>1.4071067901696461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277.99999999999994</v>
      </c>
      <c r="CU146" s="18">
        <f>CT146*VLOOKUP('Données projet'!$B$13,Paramètres!$A$1:$I$89,3,0)*VLOOKUP('Données projet'!$B$13,Paramètres!$A$1:$I$89,5,0)</f>
        <v>151.78799999999998</v>
      </c>
      <c r="CV146" s="14">
        <f t="shared" si="149"/>
        <v>38.984634390835623</v>
      </c>
      <c r="CW146" s="22">
        <f t="shared" si="121"/>
        <v>332.26233823070532</v>
      </c>
      <c r="CX146" s="62">
        <f t="shared" si="122"/>
        <v>625.59567156403864</v>
      </c>
      <c r="CY146" s="62">
        <f ca="1">AVERAGE(OFFSET($CX$3,0,0,'Données projet'!$E$13+1,1))-AVERAGE(OFFSET($H$3,0,0,'Données projet'!$E$13+1,1))</f>
        <v>159.92263609041913</v>
      </c>
      <c r="CZ146" s="62">
        <f t="shared" si="150"/>
        <v>271.78119133009307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0.69818150223521114</v>
      </c>
      <c r="DG146" s="23">
        <f>EXP(-LN(2)/25)*DG145+(1-EXP(-LN(2)/25))/(LN(2)/25)*Calculateur!DB146*Calculateur!DD146*VLOOKUP('Données projet'!$B$13,Paramètres!$A$1:$I$89,3,0)*0.475*44/12</f>
        <v>1.275409691683588</v>
      </c>
      <c r="DH146" s="23">
        <f>EXP(-LN(2)/2)*DH145+(1-EXP(-LN(2)/2))/(LN(2)/2)*DB146*DE146*VLOOKUP('Données projet'!$B$13,Paramètres!$A$1:$I$89,3,0)*0.475*44/12</f>
        <v>2.6921862329893694E-16</v>
      </c>
      <c r="DI146" s="24">
        <f t="shared" si="123"/>
        <v>1.9735911939187993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-5.4683368944097308E-14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122.60806128440754</v>
      </c>
      <c r="DU146" s="62">
        <f t="shared" si="152"/>
        <v>73.937252053142004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0</v>
      </c>
      <c r="EP146" s="62">
        <f t="shared" si="154"/>
        <v>0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382.55387448074327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0.23035567370553106</v>
      </c>
      <c r="AA147" s="23">
        <f>EXP(-LN(2)/25)*AA146+(1-EXP(-LN(2)/25))/(LN(2)/25)*Calculateur!V147*Calculateur!X147*VLOOKUP('Données projet'!$B$9,Paramètres!$A$1:$I$89,3,0)*0.475*44/12</f>
        <v>0.45296488070141838</v>
      </c>
      <c r="AB147" s="23">
        <f>EXP(-LN(2)/2)*AB146+(1-EXP(-LN(2)/2))/(LN(2)/2)*V147*Y147*VLOOKUP('Données projet'!$B$9,Paramètres!$A$1:$I$89,3,0)*0.475*44/12</f>
        <v>1.5630829424709977E-16</v>
      </c>
      <c r="AC147" s="24">
        <f t="shared" si="111"/>
        <v>0.6833205544069495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269.64423257646359</v>
      </c>
      <c r="AO147" s="62">
        <f t="shared" si="144"/>
        <v>161.0819079811821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8.5265128291212022E-14</v>
      </c>
      <c r="BE147" s="14">
        <f>BD147*VLOOKUP('Données projet'!$B$11,Paramètres!$A$1:$I$89,3,0)*VLOOKUP('Données projet'!$B$11,Paramètres!$A$1:$I$89,5,0)</f>
        <v>3.990408004028723E-14</v>
      </c>
      <c r="BF147" s="14">
        <f t="shared" si="145"/>
        <v>6.6713074187844705E-13</v>
      </c>
      <c r="BG147" s="22">
        <f t="shared" si="115"/>
        <v>1.2314189815084623E-12</v>
      </c>
      <c r="BH147" s="62">
        <f t="shared" si="116"/>
        <v>293.33333333333456</v>
      </c>
      <c r="BI147" s="62">
        <f ca="1">AVERAGE(OFFSET($BH$3,0,0,'Données projet'!$E$11+1,1))-AVERAGE(OFFSET($H$3,0,0,'Données projet'!$E$11+1,1))</f>
        <v>90.797383835887558</v>
      </c>
      <c r="BJ147" s="62">
        <f t="shared" si="146"/>
        <v>104.31413437636684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0.10096198544565731</v>
      </c>
      <c r="BQ147" s="23">
        <f>EXP(-LN(2)/25)*BQ146+(1-EXP(-LN(2)/25))/(LN(2)/25)*Calculateur!BL147*Calculateur!BN147*VLOOKUP('Données projet'!$B$11,Paramètres!$A$1:$I$89,3,0)*0.475*44/12</f>
        <v>0.17989095788941978</v>
      </c>
      <c r="BR147" s="23">
        <f>EXP(-LN(2)/2)*BR146+(1-EXP(-LN(2)/2))/(LN(2)/2)*BL147*BO147*VLOOKUP('Données projet'!$B$11,Paramètres!$A$1:$I$89,3,0)*0.475*44/12</f>
        <v>2.0533353778553875E-17</v>
      </c>
      <c r="BS147" s="24">
        <f t="shared" si="117"/>
        <v>0.2808529433350771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304</v>
      </c>
      <c r="BZ147" s="14">
        <f>BY147*VLOOKUP('Données projet'!$B$12,Paramètres!$A$1:$I$89,3,0)*VLOOKUP('Données projet'!$B$12,Paramètres!$A$1:$I$89,5,0)</f>
        <v>189.696</v>
      </c>
      <c r="CA147" s="14">
        <f t="shared" si="147"/>
        <v>47.472736505152469</v>
      </c>
      <c r="CB147" s="22">
        <f t="shared" si="118"/>
        <v>413.06888274647389</v>
      </c>
      <c r="CC147" s="62">
        <f t="shared" si="119"/>
        <v>706.4022160798072</v>
      </c>
      <c r="CD147" s="62">
        <f ca="1">AVERAGE(OFFSET($CC$3,0,0,'Données projet'!$E$12+1,1))-AVERAGE(OFFSET($H$3,0,0,'Données projet'!$E$12+1,1))</f>
        <v>179.44051550872138</v>
      </c>
      <c r="CE147" s="62">
        <f t="shared" si="148"/>
        <v>272.9500808380069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0.52210708188011268</v>
      </c>
      <c r="CL147" s="23">
        <f>EXP(-LN(2)/25)*CL146+(1-EXP(-LN(2)/25))/(LN(2)/25)*Calculateur!CG147*Calculateur!CI147*VLOOKUP('Données projet'!$B$12,Paramètres!$A$1:$I$89,3,0)*0.475*44/12</f>
        <v>0.85064192668842442</v>
      </c>
      <c r="CM147" s="23">
        <f>EXP(-LN(2)/2)*CM146+(1-EXP(-LN(2)/2))/(LN(2)/2)*CG147*CJ147*VLOOKUP('Données projet'!$B$12,Paramètres!$A$1:$I$89,3,0)*0.475*44/12</f>
        <v>1.4299508521924067E-16</v>
      </c>
      <c r="CN147" s="24">
        <f t="shared" si="120"/>
        <v>1.3727490085685374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277.99999999999994</v>
      </c>
      <c r="CU147" s="18">
        <f>CT147*VLOOKUP('Données projet'!$B$13,Paramètres!$A$1:$I$89,3,0)*VLOOKUP('Données projet'!$B$13,Paramètres!$A$1:$I$89,5,0)</f>
        <v>151.78799999999998</v>
      </c>
      <c r="CV147" s="14">
        <f t="shared" si="149"/>
        <v>38.984634390835623</v>
      </c>
      <c r="CW147" s="22">
        <f t="shared" si="121"/>
        <v>332.26233823070532</v>
      </c>
      <c r="CX147" s="62">
        <f t="shared" si="122"/>
        <v>625.59567156403864</v>
      </c>
      <c r="CY147" s="62">
        <f ca="1">AVERAGE(OFFSET($CX$3,0,0,'Données projet'!$E$13+1,1))-AVERAGE(OFFSET($H$3,0,0,'Données projet'!$E$13+1,1))</f>
        <v>159.92263609041913</v>
      </c>
      <c r="CZ147" s="62">
        <f t="shared" si="150"/>
        <v>271.78119133009307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0.68449058882504599</v>
      </c>
      <c r="DG147" s="23">
        <f>EXP(-LN(2)/25)*DG146+(1-EXP(-LN(2)/25))/(LN(2)/25)*Calculateur!DB147*Calculateur!DD147*VLOOKUP('Données projet'!$B$13,Paramètres!$A$1:$I$89,3,0)*0.475*44/12</f>
        <v>1.2405335465936196</v>
      </c>
      <c r="DH147" s="23">
        <f>EXP(-LN(2)/2)*DH146+(1-EXP(-LN(2)/2))/(LN(2)/2)*DB147*DE147*VLOOKUP('Données projet'!$B$13,Paramètres!$A$1:$I$89,3,0)*0.475*44/12</f>
        <v>1.9036631415638497E-16</v>
      </c>
      <c r="DI147" s="24">
        <f t="shared" si="123"/>
        <v>1.9250241354186659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-5.4683368944097308E-14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122.60806128440754</v>
      </c>
      <c r="DU147" s="62">
        <f t="shared" si="152"/>
        <v>73.937252053142004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0</v>
      </c>
      <c r="EP147" s="62">
        <f t="shared" si="154"/>
        <v>0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382.55387448074327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0.22583853944725302</v>
      </c>
      <c r="AA148" s="23">
        <f>EXP(-LN(2)/25)*AA147+(1-EXP(-LN(2)/25))/(LN(2)/25)*Calculateur!V148*Calculateur!X148*VLOOKUP('Données projet'!$B$9,Paramètres!$A$1:$I$89,3,0)*0.475*44/12</f>
        <v>0.44057853221825027</v>
      </c>
      <c r="AB148" s="23">
        <f>EXP(-LN(2)/2)*AB147+(1-EXP(-LN(2)/2))/(LN(2)/2)*V148*Y148*VLOOKUP('Données projet'!$B$9,Paramètres!$A$1:$I$89,3,0)*0.475*44/12</f>
        <v>1.1052665481782647E-16</v>
      </c>
      <c r="AC148" s="24">
        <f t="shared" si="111"/>
        <v>0.66641707166550346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269.64423257646359</v>
      </c>
      <c r="AO148" s="62">
        <f t="shared" si="144"/>
        <v>161.0819079811821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8.5265128291212022E-14</v>
      </c>
      <c r="BE148" s="14">
        <f>BD148*VLOOKUP('Données projet'!$B$11,Paramètres!$A$1:$I$89,3,0)*VLOOKUP('Données projet'!$B$11,Paramètres!$A$1:$I$89,5,0)</f>
        <v>3.990408004028723E-14</v>
      </c>
      <c r="BF148" s="14">
        <f t="shared" si="145"/>
        <v>6.6713074187844705E-13</v>
      </c>
      <c r="BG148" s="22">
        <f t="shared" si="115"/>
        <v>1.2314189815084623E-12</v>
      </c>
      <c r="BH148" s="62">
        <f t="shared" si="116"/>
        <v>293.33333333333456</v>
      </c>
      <c r="BI148" s="62">
        <f ca="1">AVERAGE(OFFSET($BH$3,0,0,'Données projet'!$E$11+1,1))-AVERAGE(OFFSET($H$3,0,0,'Données projet'!$E$11+1,1))</f>
        <v>90.797383835887558</v>
      </c>
      <c r="BJ148" s="62">
        <f t="shared" si="146"/>
        <v>104.31413437636684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9.8982182491798493E-2</v>
      </c>
      <c r="BQ148" s="23">
        <f>EXP(-LN(2)/25)*BQ147+(1-EXP(-LN(2)/25))/(LN(2)/25)*Calculateur!BL148*Calculateur!BN148*VLOOKUP('Données projet'!$B$11,Paramètres!$A$1:$I$89,3,0)*0.475*44/12</f>
        <v>0.17497183018587925</v>
      </c>
      <c r="BR148" s="23">
        <f>EXP(-LN(2)/2)*BR147+(1-EXP(-LN(2)/2))/(LN(2)/2)*BL148*BO148*VLOOKUP('Données projet'!$B$11,Paramètres!$A$1:$I$89,3,0)*0.475*44/12</f>
        <v>1.4519273697317864E-17</v>
      </c>
      <c r="BS148" s="24">
        <f t="shared" si="117"/>
        <v>0.27395401267767772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304</v>
      </c>
      <c r="BZ148" s="14">
        <f>BY148*VLOOKUP('Données projet'!$B$12,Paramètres!$A$1:$I$89,3,0)*VLOOKUP('Données projet'!$B$12,Paramètres!$A$1:$I$89,5,0)</f>
        <v>189.696</v>
      </c>
      <c r="CA148" s="14">
        <f t="shared" si="147"/>
        <v>47.472736505152469</v>
      </c>
      <c r="CB148" s="22">
        <f t="shared" si="118"/>
        <v>413.06888274647389</v>
      </c>
      <c r="CC148" s="62">
        <f t="shared" si="119"/>
        <v>706.4022160798072</v>
      </c>
      <c r="CD148" s="62">
        <f ca="1">AVERAGE(OFFSET($CC$3,0,0,'Données projet'!$E$12+1,1))-AVERAGE(OFFSET($H$3,0,0,'Données projet'!$E$12+1,1))</f>
        <v>179.44051550872138</v>
      </c>
      <c r="CE148" s="62">
        <f t="shared" si="148"/>
        <v>272.9500808380069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0.51186888045831891</v>
      </c>
      <c r="CL148" s="23">
        <f>EXP(-LN(2)/25)*CL147+(1-EXP(-LN(2)/25))/(LN(2)/25)*Calculateur!CG148*Calculateur!CI148*VLOOKUP('Données projet'!$B$12,Paramètres!$A$1:$I$89,3,0)*0.475*44/12</f>
        <v>0.82738107846981468</v>
      </c>
      <c r="CM148" s="23">
        <f>EXP(-LN(2)/2)*CM147+(1-EXP(-LN(2)/2))/(LN(2)/2)*CG148*CJ148*VLOOKUP('Données projet'!$B$12,Paramètres!$A$1:$I$89,3,0)*0.475*44/12</f>
        <v>1.0111279443487333E-16</v>
      </c>
      <c r="CN148" s="24">
        <f t="shared" si="120"/>
        <v>1.3392499589281335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277.99999999999994</v>
      </c>
      <c r="CU148" s="18">
        <f>CT148*VLOOKUP('Données projet'!$B$13,Paramètres!$A$1:$I$89,3,0)*VLOOKUP('Données projet'!$B$13,Paramètres!$A$1:$I$89,5,0)</f>
        <v>151.78799999999998</v>
      </c>
      <c r="CV148" s="14">
        <f t="shared" si="149"/>
        <v>38.984634390835623</v>
      </c>
      <c r="CW148" s="22">
        <f t="shared" si="121"/>
        <v>332.26233823070532</v>
      </c>
      <c r="CX148" s="62">
        <f t="shared" si="122"/>
        <v>625.59567156403864</v>
      </c>
      <c r="CY148" s="62">
        <f ca="1">AVERAGE(OFFSET($CX$3,0,0,'Données projet'!$E$13+1,1))-AVERAGE(OFFSET($H$3,0,0,'Données projet'!$E$13+1,1))</f>
        <v>159.92263609041913</v>
      </c>
      <c r="CZ148" s="62">
        <f t="shared" si="150"/>
        <v>271.78119133009307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0.67106814587622154</v>
      </c>
      <c r="DG148" s="23">
        <f>EXP(-LN(2)/25)*DG147+(1-EXP(-LN(2)/25))/(LN(2)/25)*Calculateur!DB148*Calculateur!DD148*VLOOKUP('Données projet'!$B$13,Paramètres!$A$1:$I$89,3,0)*0.475*44/12</f>
        <v>1.2066110915251931</v>
      </c>
      <c r="DH148" s="23">
        <f>EXP(-LN(2)/2)*DH147+(1-EXP(-LN(2)/2))/(LN(2)/2)*DB148*DE148*VLOOKUP('Données projet'!$B$13,Paramètres!$A$1:$I$89,3,0)*0.475*44/12</f>
        <v>1.3460931164946847E-16</v>
      </c>
      <c r="DI148" s="24">
        <f t="shared" si="123"/>
        <v>1.8776792374014148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-5.4683368944097308E-14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122.60806128440754</v>
      </c>
      <c r="DU148" s="62">
        <f t="shared" si="152"/>
        <v>73.937252053142004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0</v>
      </c>
      <c r="EP148" s="62">
        <f t="shared" si="154"/>
        <v>0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382.55387448074327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0.22140998343659998</v>
      </c>
      <c r="AA149" s="23">
        <f>EXP(-LN(2)/25)*AA148+(1-EXP(-LN(2)/25))/(LN(2)/25)*Calculateur!V149*Calculateur!X149*VLOOKUP('Données projet'!$B$9,Paramètres!$A$1:$I$89,3,0)*0.475*44/12</f>
        <v>0.42853088908572418</v>
      </c>
      <c r="AB149" s="23">
        <f>EXP(-LN(2)/2)*AB148+(1-EXP(-LN(2)/2))/(LN(2)/2)*V149*Y149*VLOOKUP('Données projet'!$B$9,Paramètres!$A$1:$I$89,3,0)*0.475*44/12</f>
        <v>7.8154147123549897E-17</v>
      </c>
      <c r="AC149" s="24">
        <f t="shared" si="111"/>
        <v>0.64994087252232424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269.64423257646359</v>
      </c>
      <c r="AO149" s="62">
        <f t="shared" si="144"/>
        <v>161.0819079811821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8.5265128291212022E-14</v>
      </c>
      <c r="BE149" s="14">
        <f>BD149*VLOOKUP('Données projet'!$B$11,Paramètres!$A$1:$I$89,3,0)*VLOOKUP('Données projet'!$B$11,Paramètres!$A$1:$I$89,5,0)</f>
        <v>3.990408004028723E-14</v>
      </c>
      <c r="BF149" s="14">
        <f t="shared" si="145"/>
        <v>6.6713074187844705E-13</v>
      </c>
      <c r="BG149" s="22">
        <f t="shared" si="115"/>
        <v>1.2314189815084623E-12</v>
      </c>
      <c r="BH149" s="62">
        <f t="shared" si="116"/>
        <v>293.33333333333456</v>
      </c>
      <c r="BI149" s="62">
        <f ca="1">AVERAGE(OFFSET($BH$3,0,0,'Données projet'!$E$11+1,1))-AVERAGE(OFFSET($H$3,0,0,'Données projet'!$E$11+1,1))</f>
        <v>90.797383835887558</v>
      </c>
      <c r="BJ149" s="62">
        <f t="shared" si="146"/>
        <v>104.31413437636684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9.7041202266304291E-2</v>
      </c>
      <c r="BQ149" s="23">
        <f>EXP(-LN(2)/25)*BQ148+(1-EXP(-LN(2)/25))/(LN(2)/25)*Calculateur!BL149*Calculateur!BN149*VLOOKUP('Données projet'!$B$11,Paramètres!$A$1:$I$89,3,0)*0.475*44/12</f>
        <v>0.17018721628807773</v>
      </c>
      <c r="BR149" s="23">
        <f>EXP(-LN(2)/2)*BR148+(1-EXP(-LN(2)/2))/(LN(2)/2)*BL149*BO149*VLOOKUP('Données projet'!$B$11,Paramètres!$A$1:$I$89,3,0)*0.475*44/12</f>
        <v>1.0266676889276938E-17</v>
      </c>
      <c r="BS149" s="24">
        <f t="shared" si="117"/>
        <v>0.26722841855438201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304</v>
      </c>
      <c r="BZ149" s="14">
        <f>BY149*VLOOKUP('Données projet'!$B$12,Paramètres!$A$1:$I$89,3,0)*VLOOKUP('Données projet'!$B$12,Paramètres!$A$1:$I$89,5,0)</f>
        <v>189.696</v>
      </c>
      <c r="CA149" s="14">
        <f t="shared" si="147"/>
        <v>47.472736505152469</v>
      </c>
      <c r="CB149" s="22">
        <f t="shared" si="118"/>
        <v>413.06888274647389</v>
      </c>
      <c r="CC149" s="62">
        <f t="shared" si="119"/>
        <v>706.4022160798072</v>
      </c>
      <c r="CD149" s="62">
        <f ca="1">AVERAGE(OFFSET($CC$3,0,0,'Données projet'!$E$12+1,1))-AVERAGE(OFFSET($H$3,0,0,'Données projet'!$E$12+1,1))</f>
        <v>179.44051550872138</v>
      </c>
      <c r="CE149" s="62">
        <f t="shared" si="148"/>
        <v>272.9500808380069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0.5018314439217203</v>
      </c>
      <c r="CL149" s="23">
        <f>EXP(-LN(2)/25)*CL148+(1-EXP(-LN(2)/25))/(LN(2)/25)*Calculateur!CG149*Calculateur!CI149*VLOOKUP('Données projet'!$B$12,Paramètres!$A$1:$I$89,3,0)*0.475*44/12</f>
        <v>0.80475629936897763</v>
      </c>
      <c r="CM149" s="23">
        <f>EXP(-LN(2)/2)*CM148+(1-EXP(-LN(2)/2))/(LN(2)/2)*CG149*CJ149*VLOOKUP('Données projet'!$B$12,Paramètres!$A$1:$I$89,3,0)*0.475*44/12</f>
        <v>7.1497542609620335E-17</v>
      </c>
      <c r="CN149" s="24">
        <f t="shared" si="120"/>
        <v>1.3065877432906978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277.99999999999994</v>
      </c>
      <c r="CU149" s="18">
        <f>CT149*VLOOKUP('Données projet'!$B$13,Paramètres!$A$1:$I$89,3,0)*VLOOKUP('Données projet'!$B$13,Paramètres!$A$1:$I$89,5,0)</f>
        <v>151.78799999999998</v>
      </c>
      <c r="CV149" s="14">
        <f t="shared" si="149"/>
        <v>38.984634390835623</v>
      </c>
      <c r="CW149" s="22">
        <f t="shared" si="121"/>
        <v>332.26233823070532</v>
      </c>
      <c r="CX149" s="62">
        <f t="shared" si="122"/>
        <v>625.59567156403864</v>
      </c>
      <c r="CY149" s="62">
        <f ca="1">AVERAGE(OFFSET($CX$3,0,0,'Données projet'!$E$13+1,1))-AVERAGE(OFFSET($H$3,0,0,'Données projet'!$E$13+1,1))</f>
        <v>159.92263609041913</v>
      </c>
      <c r="CZ149" s="62">
        <f t="shared" si="150"/>
        <v>271.78119133009307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0.65790890884674169</v>
      </c>
      <c r="DG149" s="23">
        <f>EXP(-LN(2)/25)*DG148+(1-EXP(-LN(2)/25))/(LN(2)/25)*Calculateur!DB149*Calculateur!DD149*VLOOKUP('Données projet'!$B$13,Paramètres!$A$1:$I$89,3,0)*0.475*44/12</f>
        <v>1.1736162477745171</v>
      </c>
      <c r="DH149" s="23">
        <f>EXP(-LN(2)/2)*DH148+(1-EXP(-LN(2)/2))/(LN(2)/2)*DB149*DE149*VLOOKUP('Données projet'!$B$13,Paramètres!$A$1:$I$89,3,0)*0.475*44/12</f>
        <v>9.5183157078192486E-17</v>
      </c>
      <c r="DI149" s="24">
        <f t="shared" si="123"/>
        <v>1.8315251566212587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-5.4683368944097308E-14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122.60806128440754</v>
      </c>
      <c r="DU149" s="62">
        <f t="shared" si="152"/>
        <v>73.937252053142004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0</v>
      </c>
      <c r="EP149" s="62">
        <f t="shared" si="154"/>
        <v>0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382.55387448074327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0.2170682687081634</v>
      </c>
      <c r="AA150" s="23">
        <f>EXP(-LN(2)/25)*AA149+(1-EXP(-LN(2)/25))/(LN(2)/25)*Calculateur!V150*Calculateur!X150*VLOOKUP('Données projet'!$B$9,Paramètres!$A$1:$I$89,3,0)*0.475*44/12</f>
        <v>0.41681268938821503</v>
      </c>
      <c r="AB150" s="23">
        <f>EXP(-LN(2)/2)*AB149+(1-EXP(-LN(2)/2))/(LN(2)/2)*V150*Y150*VLOOKUP('Données projet'!$B$9,Paramètres!$A$1:$I$89,3,0)*0.475*44/12</f>
        <v>5.5263327408913241E-17</v>
      </c>
      <c r="AC150" s="24">
        <f t="shared" si="111"/>
        <v>0.63388095809637846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269.64423257646359</v>
      </c>
      <c r="AO150" s="62">
        <f t="shared" si="144"/>
        <v>161.0819079811821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8.5265128291212022E-14</v>
      </c>
      <c r="BE150" s="14">
        <f>BD150*VLOOKUP('Données projet'!$B$11,Paramètres!$A$1:$I$89,3,0)*VLOOKUP('Données projet'!$B$11,Paramètres!$A$1:$I$89,5,0)</f>
        <v>3.990408004028723E-14</v>
      </c>
      <c r="BF150" s="14">
        <f t="shared" si="145"/>
        <v>6.6713074187844705E-13</v>
      </c>
      <c r="BG150" s="22">
        <f t="shared" si="115"/>
        <v>1.2314189815084623E-12</v>
      </c>
      <c r="BH150" s="62">
        <f t="shared" si="116"/>
        <v>293.33333333333456</v>
      </c>
      <c r="BI150" s="62">
        <f ca="1">AVERAGE(OFFSET($BH$3,0,0,'Données projet'!$E$11+1,1))-AVERAGE(OFFSET($H$3,0,0,'Données projet'!$E$11+1,1))</f>
        <v>90.797383835887558</v>
      </c>
      <c r="BJ150" s="62">
        <f t="shared" si="146"/>
        <v>104.31413437636684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9.5138283479150987E-2</v>
      </c>
      <c r="BQ150" s="23">
        <f>EXP(-LN(2)/25)*BQ149+(1-EXP(-LN(2)/25))/(LN(2)/25)*Calculateur!BL150*Calculateur!BN150*VLOOKUP('Données projet'!$B$11,Paramètres!$A$1:$I$89,3,0)*0.475*44/12</f>
        <v>0.1655334379089235</v>
      </c>
      <c r="BR150" s="23">
        <f>EXP(-LN(2)/2)*BR149+(1-EXP(-LN(2)/2))/(LN(2)/2)*BL150*BO150*VLOOKUP('Données projet'!$B$11,Paramètres!$A$1:$I$89,3,0)*0.475*44/12</f>
        <v>7.2596368486589319E-18</v>
      </c>
      <c r="BS150" s="24">
        <f t="shared" si="117"/>
        <v>0.26067172138807448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304</v>
      </c>
      <c r="BZ150" s="14">
        <f>BY150*VLOOKUP('Données projet'!$B$12,Paramètres!$A$1:$I$89,3,0)*VLOOKUP('Données projet'!$B$12,Paramètres!$A$1:$I$89,5,0)</f>
        <v>189.696</v>
      </c>
      <c r="CA150" s="14">
        <f t="shared" si="147"/>
        <v>47.472736505152469</v>
      </c>
      <c r="CB150" s="22">
        <f t="shared" si="118"/>
        <v>413.06888274647389</v>
      </c>
      <c r="CC150" s="62">
        <f t="shared" si="119"/>
        <v>706.4022160798072</v>
      </c>
      <c r="CD150" s="62">
        <f ca="1">AVERAGE(OFFSET($CC$3,0,0,'Données projet'!$E$12+1,1))-AVERAGE(OFFSET($H$3,0,0,'Données projet'!$E$12+1,1))</f>
        <v>179.44051550872138</v>
      </c>
      <c r="CE150" s="62">
        <f t="shared" si="148"/>
        <v>272.9500808380069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0.49199083539337257</v>
      </c>
      <c r="CL150" s="23">
        <f>EXP(-LN(2)/25)*CL149+(1-EXP(-LN(2)/25))/(LN(2)/25)*Calculateur!CG150*Calculateur!CI150*VLOOKUP('Données projet'!$B$12,Paramètres!$A$1:$I$89,3,0)*0.475*44/12</f>
        <v>0.78275019604243845</v>
      </c>
      <c r="CM150" s="23">
        <f>EXP(-LN(2)/2)*CM149+(1-EXP(-LN(2)/2))/(LN(2)/2)*CG150*CJ150*VLOOKUP('Données projet'!$B$12,Paramètres!$A$1:$I$89,3,0)*0.475*44/12</f>
        <v>5.0556397217436665E-17</v>
      </c>
      <c r="CN150" s="24">
        <f t="shared" si="120"/>
        <v>1.274741031435811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277.99999999999994</v>
      </c>
      <c r="CU150" s="18">
        <f>CT150*VLOOKUP('Données projet'!$B$13,Paramètres!$A$1:$I$89,3,0)*VLOOKUP('Données projet'!$B$13,Paramètres!$A$1:$I$89,5,0)</f>
        <v>151.78799999999998</v>
      </c>
      <c r="CV150" s="14">
        <f t="shared" si="149"/>
        <v>38.984634390835623</v>
      </c>
      <c r="CW150" s="22">
        <f t="shared" si="121"/>
        <v>332.26233823070532</v>
      </c>
      <c r="CX150" s="62">
        <f t="shared" si="122"/>
        <v>625.59567156403864</v>
      </c>
      <c r="CY150" s="62">
        <f ca="1">AVERAGE(OFFSET($CX$3,0,0,'Données projet'!$E$13+1,1))-AVERAGE(OFFSET($H$3,0,0,'Données projet'!$E$13+1,1))</f>
        <v>159.92263609041913</v>
      </c>
      <c r="CZ150" s="62">
        <f t="shared" si="150"/>
        <v>271.78119133009307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0.64500771642906785</v>
      </c>
      <c r="DG150" s="23">
        <f>EXP(-LN(2)/25)*DG149+(1-EXP(-LN(2)/25))/(LN(2)/25)*Calculateur!DB150*Calculateur!DD150*VLOOKUP('Données projet'!$B$13,Paramètres!$A$1:$I$89,3,0)*0.475*44/12</f>
        <v>1.1415236497613268</v>
      </c>
      <c r="DH150" s="23">
        <f>EXP(-LN(2)/2)*DH149+(1-EXP(-LN(2)/2))/(LN(2)/2)*DB150*DE150*VLOOKUP('Données projet'!$B$13,Paramètres!$A$1:$I$89,3,0)*0.475*44/12</f>
        <v>6.7304655824734236E-17</v>
      </c>
      <c r="DI150" s="24">
        <f t="shared" si="123"/>
        <v>1.7865313661903945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-5.4683368944097308E-14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122.60806128440754</v>
      </c>
      <c r="DU150" s="62">
        <f t="shared" si="152"/>
        <v>73.937252053142004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0</v>
      </c>
      <c r="EP150" s="62">
        <f t="shared" si="154"/>
        <v>0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382.55387448074327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0.21281169235736697</v>
      </c>
      <c r="AA151" s="23">
        <f>EXP(-LN(2)/25)*AA150+(1-EXP(-LN(2)/25))/(LN(2)/25)*Calculateur!V151*Calculateur!X151*VLOOKUP('Données projet'!$B$9,Paramètres!$A$1:$I$89,3,0)*0.475*44/12</f>
        <v>0.40541492447766758</v>
      </c>
      <c r="AB151" s="23">
        <f>EXP(-LN(2)/2)*AB150+(1-EXP(-LN(2)/2))/(LN(2)/2)*V151*Y151*VLOOKUP('Données projet'!$B$9,Paramètres!$A$1:$I$89,3,0)*0.475*44/12</f>
        <v>3.9077073561774955E-17</v>
      </c>
      <c r="AC151" s="24">
        <f t="shared" si="111"/>
        <v>0.61822661683503455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269.64423257646359</v>
      </c>
      <c r="AO151" s="62">
        <f t="shared" si="144"/>
        <v>161.0819079811821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8.5265128291212022E-14</v>
      </c>
      <c r="BE151" s="14">
        <f>BD151*VLOOKUP('Données projet'!$B$11,Paramètres!$A$1:$I$89,3,0)*VLOOKUP('Données projet'!$B$11,Paramètres!$A$1:$I$89,5,0)</f>
        <v>3.990408004028723E-14</v>
      </c>
      <c r="BF151" s="14">
        <f t="shared" si="145"/>
        <v>6.6713074187844705E-13</v>
      </c>
      <c r="BG151" s="22">
        <f t="shared" si="115"/>
        <v>1.2314189815084623E-12</v>
      </c>
      <c r="BH151" s="62">
        <f t="shared" si="116"/>
        <v>293.33333333333456</v>
      </c>
      <c r="BI151" s="62">
        <f ca="1">AVERAGE(OFFSET($BH$3,0,0,'Données projet'!$E$11+1,1))-AVERAGE(OFFSET($H$3,0,0,'Données projet'!$E$11+1,1))</f>
        <v>90.797383835887558</v>
      </c>
      <c r="BJ151" s="62">
        <f t="shared" si="146"/>
        <v>104.31413437636684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9.327267976874791E-2</v>
      </c>
      <c r="BQ151" s="23">
        <f>EXP(-LN(2)/25)*BQ150+(1-EXP(-LN(2)/25))/(LN(2)/25)*Calculateur!BL151*Calculateur!BN151*VLOOKUP('Données projet'!$B$11,Paramètres!$A$1:$I$89,3,0)*0.475*44/12</f>
        <v>0.16100691734427883</v>
      </c>
      <c r="BR151" s="23">
        <f>EXP(-LN(2)/2)*BR150+(1-EXP(-LN(2)/2))/(LN(2)/2)*BL151*BO151*VLOOKUP('Données projet'!$B$11,Paramètres!$A$1:$I$89,3,0)*0.475*44/12</f>
        <v>5.1333384446384689E-18</v>
      </c>
      <c r="BS151" s="24">
        <f t="shared" si="117"/>
        <v>0.25427959711302672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304</v>
      </c>
      <c r="BZ151" s="14">
        <f>BY151*VLOOKUP('Données projet'!$B$12,Paramètres!$A$1:$I$89,3,0)*VLOOKUP('Données projet'!$B$12,Paramètres!$A$1:$I$89,5,0)</f>
        <v>189.696</v>
      </c>
      <c r="CA151" s="14">
        <f t="shared" si="147"/>
        <v>47.472736505152469</v>
      </c>
      <c r="CB151" s="22">
        <f t="shared" si="118"/>
        <v>413.06888274647389</v>
      </c>
      <c r="CC151" s="62">
        <f t="shared" si="119"/>
        <v>706.4022160798072</v>
      </c>
      <c r="CD151" s="62">
        <f ca="1">AVERAGE(OFFSET($CC$3,0,0,'Données projet'!$E$12+1,1))-AVERAGE(OFFSET($H$3,0,0,'Données projet'!$E$12+1,1))</f>
        <v>179.44051550872138</v>
      </c>
      <c r="CE151" s="62">
        <f t="shared" si="148"/>
        <v>272.9500808380069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0.4823431951960872</v>
      </c>
      <c r="CL151" s="23">
        <f>EXP(-LN(2)/25)*CL150+(1-EXP(-LN(2)/25))/(LN(2)/25)*Calculateur!CG151*Calculateur!CI151*VLOOKUP('Données projet'!$B$12,Paramètres!$A$1:$I$89,3,0)*0.475*44/12</f>
        <v>0.76134585076861416</v>
      </c>
      <c r="CM151" s="23">
        <f>EXP(-LN(2)/2)*CM150+(1-EXP(-LN(2)/2))/(LN(2)/2)*CG151*CJ151*VLOOKUP('Données projet'!$B$12,Paramètres!$A$1:$I$89,3,0)*0.475*44/12</f>
        <v>3.5748771304810168E-17</v>
      </c>
      <c r="CN151" s="24">
        <f t="shared" si="120"/>
        <v>1.2436890459647014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277.99999999999994</v>
      </c>
      <c r="CU151" s="18">
        <f>CT151*VLOOKUP('Données projet'!$B$13,Paramètres!$A$1:$I$89,3,0)*VLOOKUP('Données projet'!$B$13,Paramètres!$A$1:$I$89,5,0)</f>
        <v>151.78799999999998</v>
      </c>
      <c r="CV151" s="14">
        <f t="shared" si="149"/>
        <v>38.984634390835623</v>
      </c>
      <c r="CW151" s="22">
        <f t="shared" si="121"/>
        <v>332.26233823070532</v>
      </c>
      <c r="CX151" s="62">
        <f t="shared" si="122"/>
        <v>625.59567156403864</v>
      </c>
      <c r="CY151" s="62">
        <f ca="1">AVERAGE(OFFSET($CX$3,0,0,'Données projet'!$E$13+1,1))-AVERAGE(OFFSET($H$3,0,0,'Données projet'!$E$13+1,1))</f>
        <v>159.92263609041913</v>
      </c>
      <c r="CZ151" s="62">
        <f t="shared" si="150"/>
        <v>271.78119133009307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0.63235950852575429</v>
      </c>
      <c r="DG151" s="23">
        <f>EXP(-LN(2)/25)*DG150+(1-EXP(-LN(2)/25))/(LN(2)/25)*Calculateur!DB151*Calculateur!DD151*VLOOKUP('Données projet'!$B$13,Paramètres!$A$1:$I$89,3,0)*0.475*44/12</f>
        <v>1.1103086255284835</v>
      </c>
      <c r="DH151" s="23">
        <f>EXP(-LN(2)/2)*DH150+(1-EXP(-LN(2)/2))/(LN(2)/2)*DB151*DE151*VLOOKUP('Données projet'!$B$13,Paramètres!$A$1:$I$89,3,0)*0.475*44/12</f>
        <v>4.7591578539096243E-17</v>
      </c>
      <c r="DI151" s="24">
        <f t="shared" si="123"/>
        <v>1.7426681340542378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-5.4683368944097308E-14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122.60806128440754</v>
      </c>
      <c r="DU151" s="62">
        <f t="shared" si="152"/>
        <v>73.937252053142004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0</v>
      </c>
      <c r="EP151" s="62">
        <f t="shared" si="154"/>
        <v>0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382.55387448074327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0.20863858487255443</v>
      </c>
      <c r="AA152" s="23">
        <f>EXP(-LN(2)/25)*AA151+(1-EXP(-LN(2)/25))/(LN(2)/25)*Calculateur!V152*Calculateur!X152*VLOOKUP('Données projet'!$B$9,Paramètres!$A$1:$I$89,3,0)*0.475*44/12</f>
        <v>0.39432883204798147</v>
      </c>
      <c r="AB152" s="23">
        <f>EXP(-LN(2)/2)*AB151+(1-EXP(-LN(2)/2))/(LN(2)/2)*V152*Y152*VLOOKUP('Données projet'!$B$9,Paramètres!$A$1:$I$89,3,0)*0.475*44/12</f>
        <v>2.7631663704456627E-17</v>
      </c>
      <c r="AC152" s="24">
        <f t="shared" si="111"/>
        <v>0.6029674169205359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269.64423257646359</v>
      </c>
      <c r="AO152" s="62">
        <f t="shared" si="144"/>
        <v>161.0819079811821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8.5265128291212022E-14</v>
      </c>
      <c r="BE152" s="14">
        <f>BD152*VLOOKUP('Données projet'!$B$11,Paramètres!$A$1:$I$89,3,0)*VLOOKUP('Données projet'!$B$11,Paramètres!$A$1:$I$89,5,0)</f>
        <v>3.990408004028723E-14</v>
      </c>
      <c r="BF152" s="14">
        <f t="shared" si="145"/>
        <v>6.6713074187844705E-13</v>
      </c>
      <c r="BG152" s="22">
        <f t="shared" si="115"/>
        <v>1.2314189815084623E-12</v>
      </c>
      <c r="BH152" s="62">
        <f t="shared" si="116"/>
        <v>293.33333333333456</v>
      </c>
      <c r="BI152" s="62">
        <f ca="1">AVERAGE(OFFSET($BH$3,0,0,'Données projet'!$E$11+1,1))-AVERAGE(OFFSET($H$3,0,0,'Données projet'!$E$11+1,1))</f>
        <v>90.797383835887558</v>
      </c>
      <c r="BJ152" s="62">
        <f t="shared" si="146"/>
        <v>104.31413437636684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9.1443659409199934E-2</v>
      </c>
      <c r="BQ152" s="23">
        <f>EXP(-LN(2)/25)*BQ151+(1-EXP(-LN(2)/25))/(LN(2)/25)*Calculateur!BL152*Calculateur!BN152*VLOOKUP('Données projet'!$B$11,Paramètres!$A$1:$I$89,3,0)*0.475*44/12</f>
        <v>0.15660417472251373</v>
      </c>
      <c r="BR152" s="23">
        <f>EXP(-LN(2)/2)*BR151+(1-EXP(-LN(2)/2))/(LN(2)/2)*BL152*BO152*VLOOKUP('Données projet'!$B$11,Paramètres!$A$1:$I$89,3,0)*0.475*44/12</f>
        <v>3.629818424329466E-18</v>
      </c>
      <c r="BS152" s="24">
        <f t="shared" si="117"/>
        <v>0.24804783413171366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304</v>
      </c>
      <c r="BZ152" s="14">
        <f>BY152*VLOOKUP('Données projet'!$B$12,Paramètres!$A$1:$I$89,3,0)*VLOOKUP('Données projet'!$B$12,Paramètres!$A$1:$I$89,5,0)</f>
        <v>189.696</v>
      </c>
      <c r="CA152" s="14">
        <f t="shared" si="147"/>
        <v>47.472736505152469</v>
      </c>
      <c r="CB152" s="22">
        <f t="shared" si="118"/>
        <v>413.06888274647389</v>
      </c>
      <c r="CC152" s="62">
        <f t="shared" si="119"/>
        <v>706.4022160798072</v>
      </c>
      <c r="CD152" s="62">
        <f ca="1">AVERAGE(OFFSET($CC$3,0,0,'Données projet'!$E$12+1,1))-AVERAGE(OFFSET($H$3,0,0,'Données projet'!$E$12+1,1))</f>
        <v>179.44051550872138</v>
      </c>
      <c r="CE152" s="62">
        <f t="shared" si="148"/>
        <v>272.9500808380069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0.47288473933859115</v>
      </c>
      <c r="CL152" s="23">
        <f>EXP(-LN(2)/25)*CL151+(1-EXP(-LN(2)/25))/(LN(2)/25)*Calculateur!CG152*Calculateur!CI152*VLOOKUP('Données projet'!$B$12,Paramètres!$A$1:$I$89,3,0)*0.475*44/12</f>
        <v>0.74052680844190821</v>
      </c>
      <c r="CM152" s="23">
        <f>EXP(-LN(2)/2)*CM151+(1-EXP(-LN(2)/2))/(LN(2)/2)*CG152*CJ152*VLOOKUP('Données projet'!$B$12,Paramètres!$A$1:$I$89,3,0)*0.475*44/12</f>
        <v>2.5278198608718332E-17</v>
      </c>
      <c r="CN152" s="24">
        <f t="shared" si="120"/>
        <v>1.2134115477804994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277.99999999999994</v>
      </c>
      <c r="CU152" s="18">
        <f>CT152*VLOOKUP('Données projet'!$B$13,Paramètres!$A$1:$I$89,3,0)*VLOOKUP('Données projet'!$B$13,Paramètres!$A$1:$I$89,5,0)</f>
        <v>151.78799999999998</v>
      </c>
      <c r="CV152" s="14">
        <f t="shared" si="149"/>
        <v>38.984634390835623</v>
      </c>
      <c r="CW152" s="22">
        <f t="shared" si="121"/>
        <v>332.26233823070532</v>
      </c>
      <c r="CX152" s="62">
        <f t="shared" si="122"/>
        <v>625.59567156403864</v>
      </c>
      <c r="CY152" s="62">
        <f ca="1">AVERAGE(OFFSET($CX$3,0,0,'Données projet'!$E$13+1,1))-AVERAGE(OFFSET($H$3,0,0,'Données projet'!$E$13+1,1))</f>
        <v>159.92263609041913</v>
      </c>
      <c r="CZ152" s="62">
        <f t="shared" si="150"/>
        <v>271.78119133009307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0.61995932426477962</v>
      </c>
      <c r="DG152" s="23">
        <f>EXP(-LN(2)/25)*DG151+(1-EXP(-LN(2)/25))/(LN(2)/25)*Calculateur!DB152*Calculateur!DD152*VLOOKUP('Données projet'!$B$13,Paramètres!$A$1:$I$89,3,0)*0.475*44/12</f>
        <v>1.0799471777748142</v>
      </c>
      <c r="DH152" s="23">
        <f>EXP(-LN(2)/2)*DH151+(1-EXP(-LN(2)/2))/(LN(2)/2)*DB152*DE152*VLOOKUP('Données projet'!$B$13,Paramètres!$A$1:$I$89,3,0)*0.475*44/12</f>
        <v>3.3652327912367118E-17</v>
      </c>
      <c r="DI152" s="24">
        <f t="shared" si="123"/>
        <v>1.6999065020395938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-5.4683368944097308E-14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122.60806128440754</v>
      </c>
      <c r="DU152" s="62">
        <f t="shared" si="152"/>
        <v>73.937252053142004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0</v>
      </c>
      <c r="EP152" s="62">
        <f t="shared" si="154"/>
        <v>0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382.55387448074327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0.20454730948017483</v>
      </c>
      <c r="AA153" s="23">
        <f>EXP(-LN(2)/25)*AA152+(1-EXP(-LN(2)/25))/(LN(2)/25)*Calculateur!V153*Calculateur!X153*VLOOKUP('Données projet'!$B$9,Paramètres!$A$1:$I$89,3,0)*0.475*44/12</f>
        <v>0.38354588939877737</v>
      </c>
      <c r="AB153" s="23">
        <f>EXP(-LN(2)/2)*AB152+(1-EXP(-LN(2)/2))/(LN(2)/2)*V153*Y153*VLOOKUP('Données projet'!$B$9,Paramètres!$A$1:$I$89,3,0)*0.475*44/12</f>
        <v>1.953853678088748E-17</v>
      </c>
      <c r="AC153" s="24">
        <f t="shared" si="111"/>
        <v>0.58809319887895217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269.64423257646359</v>
      </c>
      <c r="AO153" s="62">
        <f t="shared" si="144"/>
        <v>161.0819079811821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8.5265128291212022E-14</v>
      </c>
      <c r="BE153" s="14">
        <f>BD153*VLOOKUP('Données projet'!$B$11,Paramètres!$A$1:$I$89,3,0)*VLOOKUP('Données projet'!$B$11,Paramètres!$A$1:$I$89,5,0)</f>
        <v>3.990408004028723E-14</v>
      </c>
      <c r="BF153" s="14">
        <f t="shared" si="145"/>
        <v>6.6713074187844705E-13</v>
      </c>
      <c r="BG153" s="22">
        <f t="shared" si="115"/>
        <v>1.2314189815084623E-12</v>
      </c>
      <c r="BH153" s="62">
        <f t="shared" si="116"/>
        <v>293.33333333333456</v>
      </c>
      <c r="BI153" s="62">
        <f ca="1">AVERAGE(OFFSET($BH$3,0,0,'Données projet'!$E$11+1,1))-AVERAGE(OFFSET($H$3,0,0,'Données projet'!$E$11+1,1))</f>
        <v>90.797383835887558</v>
      </c>
      <c r="BJ153" s="62">
        <f t="shared" si="146"/>
        <v>104.31413437636684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8.9650505023310428E-2</v>
      </c>
      <c r="BQ153" s="23">
        <f>EXP(-LN(2)/25)*BQ152+(1-EXP(-LN(2)/25))/(LN(2)/25)*Calculateur!BL153*Calculateur!BN153*VLOOKUP('Données projet'!$B$11,Paramètres!$A$1:$I$89,3,0)*0.475*44/12</f>
        <v>0.15232182532927097</v>
      </c>
      <c r="BR153" s="23">
        <f>EXP(-LN(2)/2)*BR152+(1-EXP(-LN(2)/2))/(LN(2)/2)*BL153*BO153*VLOOKUP('Données projet'!$B$11,Paramètres!$A$1:$I$89,3,0)*0.475*44/12</f>
        <v>2.5666692223192344E-18</v>
      </c>
      <c r="BS153" s="24">
        <f t="shared" si="117"/>
        <v>0.24197233035258139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304</v>
      </c>
      <c r="BZ153" s="14">
        <f>BY153*VLOOKUP('Données projet'!$B$12,Paramètres!$A$1:$I$89,3,0)*VLOOKUP('Données projet'!$B$12,Paramètres!$A$1:$I$89,5,0)</f>
        <v>189.696</v>
      </c>
      <c r="CA153" s="14">
        <f t="shared" si="147"/>
        <v>47.472736505152469</v>
      </c>
      <c r="CB153" s="22">
        <f t="shared" si="118"/>
        <v>413.06888274647389</v>
      </c>
      <c r="CC153" s="62">
        <f t="shared" si="119"/>
        <v>706.4022160798072</v>
      </c>
      <c r="CD153" s="62">
        <f ca="1">AVERAGE(OFFSET($CC$3,0,0,'Données projet'!$E$12+1,1))-AVERAGE(OFFSET($H$3,0,0,'Données projet'!$E$12+1,1))</f>
        <v>179.44051550872138</v>
      </c>
      <c r="CE153" s="62">
        <f t="shared" si="148"/>
        <v>272.9500808380069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0.46361175803137217</v>
      </c>
      <c r="CL153" s="23">
        <f>EXP(-LN(2)/25)*CL152+(1-EXP(-LN(2)/25))/(LN(2)/25)*Calculateur!CG153*Calculateur!CI153*VLOOKUP('Données projet'!$B$12,Paramètres!$A$1:$I$89,3,0)*0.475*44/12</f>
        <v>0.72027706392245183</v>
      </c>
      <c r="CM153" s="23">
        <f>EXP(-LN(2)/2)*CM152+(1-EXP(-LN(2)/2))/(LN(2)/2)*CG153*CJ153*VLOOKUP('Données projet'!$B$12,Paramètres!$A$1:$I$89,3,0)*0.475*44/12</f>
        <v>1.7874385652405084E-17</v>
      </c>
      <c r="CN153" s="24">
        <f t="shared" si="120"/>
        <v>1.1838888219538239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277.99999999999994</v>
      </c>
      <c r="CU153" s="18">
        <f>CT153*VLOOKUP('Données projet'!$B$13,Paramètres!$A$1:$I$89,3,0)*VLOOKUP('Données projet'!$B$13,Paramètres!$A$1:$I$89,5,0)</f>
        <v>151.78799999999998</v>
      </c>
      <c r="CV153" s="14">
        <f t="shared" si="149"/>
        <v>38.984634390835623</v>
      </c>
      <c r="CW153" s="22">
        <f t="shared" si="121"/>
        <v>332.26233823070532</v>
      </c>
      <c r="CX153" s="62">
        <f t="shared" si="122"/>
        <v>625.59567156403864</v>
      </c>
      <c r="CY153" s="62">
        <f ca="1">AVERAGE(OFFSET($CX$3,0,0,'Données projet'!$E$13+1,1))-AVERAGE(OFFSET($H$3,0,0,'Données projet'!$E$13+1,1))</f>
        <v>159.92263609041913</v>
      </c>
      <c r="CZ153" s="62">
        <f t="shared" si="150"/>
        <v>271.78119133009307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0.6078023000537971</v>
      </c>
      <c r="DG153" s="23">
        <f>EXP(-LN(2)/25)*DG152+(1-EXP(-LN(2)/25))/(LN(2)/25)*Calculateur!DB153*Calculateur!DD153*VLOOKUP('Données projet'!$B$13,Paramètres!$A$1:$I$89,3,0)*0.475*44/12</f>
        <v>1.0504159654066081</v>
      </c>
      <c r="DH153" s="23">
        <f>EXP(-LN(2)/2)*DH152+(1-EXP(-LN(2)/2))/(LN(2)/2)*DB153*DE153*VLOOKUP('Données projet'!$B$13,Paramètres!$A$1:$I$89,3,0)*0.475*44/12</f>
        <v>2.3795789269548122E-17</v>
      </c>
      <c r="DI153" s="24">
        <f t="shared" si="123"/>
        <v>1.6582182654604052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-5.4683368944097308E-14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122.60806128440754</v>
      </c>
      <c r="DU153" s="62">
        <f t="shared" si="152"/>
        <v>73.937252053142004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0</v>
      </c>
      <c r="EP153" s="62">
        <f t="shared" si="154"/>
        <v>0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382.55387448074327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0.20053626150280821</v>
      </c>
      <c r="AA154" s="23">
        <f>EXP(-LN(2)/25)*AA153+(1-EXP(-LN(2)/25))/(LN(2)/25)*Calculateur!V154*Calculateur!X154*VLOOKUP('Données projet'!$B$9,Paramètres!$A$1:$I$89,3,0)*0.475*44/12</f>
        <v>0.37305780688336609</v>
      </c>
      <c r="AB154" s="23">
        <f>EXP(-LN(2)/2)*AB153+(1-EXP(-LN(2)/2))/(LN(2)/2)*V154*Y154*VLOOKUP('Données projet'!$B$9,Paramètres!$A$1:$I$89,3,0)*0.475*44/12</f>
        <v>1.3815831852228315E-17</v>
      </c>
      <c r="AC154" s="24">
        <f t="shared" ref="AC154:AC203" si="163">SUM(Z154:AB154)</f>
        <v>0.57359406838617433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269.64423257646359</v>
      </c>
      <c r="AO154" s="62">
        <f t="shared" si="144"/>
        <v>161.0819079811821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8.5265128291212022E-14</v>
      </c>
      <c r="BE154" s="14">
        <f>BD154*VLOOKUP('Données projet'!$B$11,Paramètres!$A$1:$I$89,3,0)*VLOOKUP('Données projet'!$B$11,Paramètres!$A$1:$I$89,5,0)</f>
        <v>3.990408004028723E-14</v>
      </c>
      <c r="BF154" s="14">
        <f t="shared" ref="BF154:BF203" si="167">EXP(-1.0587+0.8836*LN(BE154)+0.284)</f>
        <v>6.6713074187844705E-13</v>
      </c>
      <c r="BG154" s="22">
        <f t="shared" ref="BG154:BG203" si="168">(BE154+BF154)*0.475*44/12</f>
        <v>1.2314189815084623E-12</v>
      </c>
      <c r="BH154" s="62">
        <f t="shared" si="116"/>
        <v>293.33333333333456</v>
      </c>
      <c r="BI154" s="62">
        <f ca="1">AVERAGE(OFFSET($BH$3,0,0,'Données projet'!$E$11+1,1))-AVERAGE(OFFSET($H$3,0,0,'Données projet'!$E$11+1,1))</f>
        <v>90.797383835887558</v>
      </c>
      <c r="BJ154" s="62">
        <f t="shared" si="146"/>
        <v>104.31413437636684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8.7892513301212033E-2</v>
      </c>
      <c r="BQ154" s="23">
        <f>EXP(-LN(2)/25)*BQ153+(1-EXP(-LN(2)/25))/(LN(2)/25)*Calculateur!BL154*Calculateur!BN154*VLOOKUP('Données projet'!$B$11,Paramètres!$A$1:$I$89,3,0)*0.475*44/12</f>
        <v>0.1481565770053854</v>
      </c>
      <c r="BR154" s="23">
        <f>EXP(-LN(2)/2)*BR153+(1-EXP(-LN(2)/2))/(LN(2)/2)*BL154*BO154*VLOOKUP('Données projet'!$B$11,Paramètres!$A$1:$I$89,3,0)*0.475*44/12</f>
        <v>1.814909212164733E-18</v>
      </c>
      <c r="BS154" s="24">
        <f t="shared" ref="BS154:BS203" si="169">SUM(BP154:BR154)</f>
        <v>0.23604909030659743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304</v>
      </c>
      <c r="BZ154" s="14">
        <f>BY154*VLOOKUP('Données projet'!$B$12,Paramètres!$A$1:$I$89,3,0)*VLOOKUP('Données projet'!$B$12,Paramètres!$A$1:$I$89,5,0)</f>
        <v>189.696</v>
      </c>
      <c r="CA154" s="14">
        <f t="shared" ref="CA154:CA203" si="170">EXP(-1.0587+0.8836*LN(BZ154)+0.284)</f>
        <v>47.472736505152469</v>
      </c>
      <c r="CB154" s="22">
        <f t="shared" ref="CB154:CB203" si="171">(BZ154+CA154)*0.475*44/12</f>
        <v>413.06888274647389</v>
      </c>
      <c r="CC154" s="62">
        <f t="shared" si="119"/>
        <v>706.4022160798072</v>
      </c>
      <c r="CD154" s="62">
        <f ca="1">AVERAGE(OFFSET($CC$3,0,0,'Données projet'!$E$12+1,1))-AVERAGE(OFFSET($H$3,0,0,'Données projet'!$E$12+1,1))</f>
        <v>179.44051550872138</v>
      </c>
      <c r="CE154" s="62">
        <f t="shared" si="148"/>
        <v>272.9500808380069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0.4545206142316276</v>
      </c>
      <c r="CL154" s="23">
        <f>EXP(-LN(2)/25)*CL153+(1-EXP(-LN(2)/25))/(LN(2)/25)*Calculateur!CG154*Calculateur!CI154*VLOOKUP('Données projet'!$B$12,Paramètres!$A$1:$I$89,3,0)*0.475*44/12</f>
        <v>0.70058104973176782</v>
      </c>
      <c r="CM154" s="23">
        <f>EXP(-LN(2)/2)*CM153+(1-EXP(-LN(2)/2))/(LN(2)/2)*CG154*CJ154*VLOOKUP('Données projet'!$B$12,Paramètres!$A$1:$I$89,3,0)*0.475*44/12</f>
        <v>1.2639099304359166E-17</v>
      </c>
      <c r="CN154" s="24">
        <f t="shared" ref="CN154:CN203" si="172">SUM(CK154:CM154)</f>
        <v>1.1551016639633955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277.99999999999994</v>
      </c>
      <c r="CU154" s="18">
        <f>CT154*VLOOKUP('Données projet'!$B$13,Paramètres!$A$1:$I$89,3,0)*VLOOKUP('Données projet'!$B$13,Paramètres!$A$1:$I$89,5,0)</f>
        <v>151.78799999999998</v>
      </c>
      <c r="CV154" s="14">
        <f t="shared" ref="CV154:CV203" si="173">EXP(-1.0587+0.8836*LN(CU154)+0.284)</f>
        <v>38.984634390835623</v>
      </c>
      <c r="CW154" s="22">
        <f t="shared" ref="CW154:CW203" si="174">(CU154+CV154)*0.475*44/12</f>
        <v>332.26233823070532</v>
      </c>
      <c r="CX154" s="62">
        <f t="shared" si="122"/>
        <v>625.59567156403864</v>
      </c>
      <c r="CY154" s="62">
        <f ca="1">AVERAGE(OFFSET($CX$3,0,0,'Données projet'!$E$13+1,1))-AVERAGE(OFFSET($H$3,0,0,'Données projet'!$E$13+1,1))</f>
        <v>159.92263609041913</v>
      </c>
      <c r="CZ154" s="62">
        <f t="shared" si="150"/>
        <v>271.78119133009307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0.59588366767253931</v>
      </c>
      <c r="DG154" s="23">
        <f>EXP(-LN(2)/25)*DG153+(1-EXP(-LN(2)/25))/(LN(2)/25)*Calculateur!DB154*Calculateur!DD154*VLOOKUP('Données projet'!$B$13,Paramètres!$A$1:$I$89,3,0)*0.475*44/12</f>
        <v>1.0216922855935895</v>
      </c>
      <c r="DH154" s="23">
        <f>EXP(-LN(2)/2)*DH153+(1-EXP(-LN(2)/2))/(LN(2)/2)*DB154*DE154*VLOOKUP('Données projet'!$B$13,Paramètres!$A$1:$I$89,3,0)*0.475*44/12</f>
        <v>1.6826163956183559E-17</v>
      </c>
      <c r="DI154" s="24">
        <f t="shared" ref="DI154:DI203" si="175">SUM(DF154:DH154)</f>
        <v>1.6175759532661287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-5.4683368944097308E-14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122.60806128440754</v>
      </c>
      <c r="DU154" s="62">
        <f t="shared" si="152"/>
        <v>73.937252053142004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0</v>
      </c>
      <c r="EP154" s="62">
        <f t="shared" si="154"/>
        <v>0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382.55387448074327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0.19660386772978006</v>
      </c>
      <c r="AA155" s="23">
        <f>EXP(-LN(2)/25)*AA154+(1-EXP(-LN(2)/25))/(LN(2)/25)*Calculateur!V155*Calculateur!X155*VLOOKUP('Données projet'!$B$9,Paramètres!$A$1:$I$89,3,0)*0.475*44/12</f>
        <v>0.36285652153588299</v>
      </c>
      <c r="AB155" s="23">
        <f>EXP(-LN(2)/2)*AB154+(1-EXP(-LN(2)/2))/(LN(2)/2)*V155*Y155*VLOOKUP('Données projet'!$B$9,Paramètres!$A$1:$I$89,3,0)*0.475*44/12</f>
        <v>9.7692683904437417E-18</v>
      </c>
      <c r="AC155" s="24">
        <f t="shared" si="163"/>
        <v>0.55946038926566311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269.64423257646359</v>
      </c>
      <c r="AO155" s="62">
        <f t="shared" si="144"/>
        <v>161.0819079811821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8.5265128291212022E-14</v>
      </c>
      <c r="BE155" s="14">
        <f>BD155*VLOOKUP('Données projet'!$B$11,Paramètres!$A$1:$I$89,3,0)*VLOOKUP('Données projet'!$B$11,Paramètres!$A$1:$I$89,5,0)</f>
        <v>3.990408004028723E-14</v>
      </c>
      <c r="BF155" s="14">
        <f t="shared" si="167"/>
        <v>6.6713074187844705E-13</v>
      </c>
      <c r="BG155" s="22">
        <f t="shared" si="168"/>
        <v>1.2314189815084623E-12</v>
      </c>
      <c r="BH155" s="62">
        <f t="shared" si="116"/>
        <v>293.33333333333456</v>
      </c>
      <c r="BI155" s="62">
        <f ca="1">AVERAGE(OFFSET($BH$3,0,0,'Données projet'!$E$11+1,1))-AVERAGE(OFFSET($H$3,0,0,'Données projet'!$E$11+1,1))</f>
        <v>90.797383835887558</v>
      </c>
      <c r="BJ155" s="62">
        <f t="shared" si="146"/>
        <v>104.31413437636684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8.6168994724514919E-2</v>
      </c>
      <c r="BQ155" s="23">
        <f>EXP(-LN(2)/25)*BQ154+(1-EXP(-LN(2)/25))/(LN(2)/25)*Calculateur!BL155*Calculateur!BN155*VLOOKUP('Données projet'!$B$11,Paramètres!$A$1:$I$89,3,0)*0.475*44/12</f>
        <v>0.14410522761595737</v>
      </c>
      <c r="BR155" s="23">
        <f>EXP(-LN(2)/2)*BR154+(1-EXP(-LN(2)/2))/(LN(2)/2)*BL155*BO155*VLOOKUP('Données projet'!$B$11,Paramètres!$A$1:$I$89,3,0)*0.475*44/12</f>
        <v>1.2833346111596172E-18</v>
      </c>
      <c r="BS155" s="24">
        <f t="shared" si="169"/>
        <v>0.23027422234047229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304</v>
      </c>
      <c r="BZ155" s="14">
        <f>BY155*VLOOKUP('Données projet'!$B$12,Paramètres!$A$1:$I$89,3,0)*VLOOKUP('Données projet'!$B$12,Paramètres!$A$1:$I$89,5,0)</f>
        <v>189.696</v>
      </c>
      <c r="CA155" s="14">
        <f t="shared" si="170"/>
        <v>47.472736505152469</v>
      </c>
      <c r="CB155" s="22">
        <f t="shared" si="171"/>
        <v>413.06888274647389</v>
      </c>
      <c r="CC155" s="62">
        <f t="shared" si="119"/>
        <v>706.4022160798072</v>
      </c>
      <c r="CD155" s="62">
        <f ca="1">AVERAGE(OFFSET($CC$3,0,0,'Données projet'!$E$12+1,1))-AVERAGE(OFFSET($H$3,0,0,'Données projet'!$E$12+1,1))</f>
        <v>179.44051550872138</v>
      </c>
      <c r="CE155" s="62">
        <f t="shared" si="148"/>
        <v>272.9500808380069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0.44560774221674587</v>
      </c>
      <c r="CL155" s="23">
        <f>EXP(-LN(2)/25)*CL154+(1-EXP(-LN(2)/25))/(LN(2)/25)*Calculateur!CG155*Calculateur!CI155*VLOOKUP('Données projet'!$B$12,Paramètres!$A$1:$I$89,3,0)*0.475*44/12</f>
        <v>0.68142362408489643</v>
      </c>
      <c r="CM155" s="23">
        <f>EXP(-LN(2)/2)*CM154+(1-EXP(-LN(2)/2))/(LN(2)/2)*CG155*CJ155*VLOOKUP('Données projet'!$B$12,Paramètres!$A$1:$I$89,3,0)*0.475*44/12</f>
        <v>8.9371928262025419E-18</v>
      </c>
      <c r="CN155" s="24">
        <f t="shared" si="172"/>
        <v>1.1270313663016422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277.99999999999994</v>
      </c>
      <c r="CU155" s="18">
        <f>CT155*VLOOKUP('Données projet'!$B$13,Paramètres!$A$1:$I$89,3,0)*VLOOKUP('Données projet'!$B$13,Paramètres!$A$1:$I$89,5,0)</f>
        <v>151.78799999999998</v>
      </c>
      <c r="CV155" s="14">
        <f t="shared" si="173"/>
        <v>38.984634390835623</v>
      </c>
      <c r="CW155" s="22">
        <f t="shared" si="174"/>
        <v>332.26233823070532</v>
      </c>
      <c r="CX155" s="62">
        <f t="shared" si="122"/>
        <v>625.59567156403864</v>
      </c>
      <c r="CY155" s="62">
        <f ca="1">AVERAGE(OFFSET($CX$3,0,0,'Données projet'!$E$13+1,1))-AVERAGE(OFFSET($H$3,0,0,'Données projet'!$E$13+1,1))</f>
        <v>159.92263609041913</v>
      </c>
      <c r="CZ155" s="62">
        <f t="shared" si="150"/>
        <v>271.78119133009307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0.58419875240263008</v>
      </c>
      <c r="DG155" s="23">
        <f>EXP(-LN(2)/25)*DG154+(1-EXP(-LN(2)/25))/(LN(2)/25)*Calculateur!DB155*Calculateur!DD155*VLOOKUP('Données projet'!$B$13,Paramètres!$A$1:$I$89,3,0)*0.475*44/12</f>
        <v>0.99375405631557057</v>
      </c>
      <c r="DH155" s="23">
        <f>EXP(-LN(2)/2)*DH154+(1-EXP(-LN(2)/2))/(LN(2)/2)*DB155*DE155*VLOOKUP('Données projet'!$B$13,Paramètres!$A$1:$I$89,3,0)*0.475*44/12</f>
        <v>1.1897894634774061E-17</v>
      </c>
      <c r="DI155" s="24">
        <f t="shared" si="175"/>
        <v>1.5779528087182007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-5.4683368944097308E-14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122.60806128440754</v>
      </c>
      <c r="DU155" s="62">
        <f t="shared" si="152"/>
        <v>73.937252053142004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0</v>
      </c>
      <c r="EP155" s="62">
        <f t="shared" si="154"/>
        <v>0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382.55387448074327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0.19274858580011761</v>
      </c>
      <c r="AA156" s="23">
        <f>EXP(-LN(2)/25)*AA155+(1-EXP(-LN(2)/25))/(LN(2)/25)*Calculateur!V156*Calculateur!X156*VLOOKUP('Données projet'!$B$9,Paramètres!$A$1:$I$89,3,0)*0.475*44/12</f>
        <v>0.35293419087268912</v>
      </c>
      <c r="AB156" s="23">
        <f>EXP(-LN(2)/2)*AB155+(1-EXP(-LN(2)/2))/(LN(2)/2)*V156*Y156*VLOOKUP('Données projet'!$B$9,Paramètres!$A$1:$I$89,3,0)*0.475*44/12</f>
        <v>6.907915926114159E-18</v>
      </c>
      <c r="AC156" s="24">
        <f t="shared" si="163"/>
        <v>0.54568277667280674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269.64423257646359</v>
      </c>
      <c r="AO156" s="62">
        <f t="shared" si="144"/>
        <v>161.0819079811821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8.5265128291212022E-14</v>
      </c>
      <c r="BE156" s="14">
        <f>BD156*VLOOKUP('Données projet'!$B$11,Paramètres!$A$1:$I$89,3,0)*VLOOKUP('Données projet'!$B$11,Paramètres!$A$1:$I$89,5,0)</f>
        <v>3.990408004028723E-14</v>
      </c>
      <c r="BF156" s="14">
        <f t="shared" si="167"/>
        <v>6.6713074187844705E-13</v>
      </c>
      <c r="BG156" s="22">
        <f t="shared" si="168"/>
        <v>1.2314189815084623E-12</v>
      </c>
      <c r="BH156" s="62">
        <f t="shared" si="116"/>
        <v>293.33333333333456</v>
      </c>
      <c r="BI156" s="62">
        <f ca="1">AVERAGE(OFFSET($BH$3,0,0,'Données projet'!$E$11+1,1))-AVERAGE(OFFSET($H$3,0,0,'Données projet'!$E$11+1,1))</f>
        <v>90.797383835887558</v>
      </c>
      <c r="BJ156" s="62">
        <f t="shared" si="146"/>
        <v>104.31413437636684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8.4479273295864299E-2</v>
      </c>
      <c r="BQ156" s="23">
        <f>EXP(-LN(2)/25)*BQ155+(1-EXP(-LN(2)/25))/(LN(2)/25)*Calculateur!BL156*Calculateur!BN156*VLOOKUP('Données projet'!$B$11,Paramètres!$A$1:$I$89,3,0)*0.475*44/12</f>
        <v>0.14016466258863444</v>
      </c>
      <c r="BR156" s="23">
        <f>EXP(-LN(2)/2)*BR155+(1-EXP(-LN(2)/2))/(LN(2)/2)*BL156*BO156*VLOOKUP('Données projet'!$B$11,Paramètres!$A$1:$I$89,3,0)*0.475*44/12</f>
        <v>9.0745460608236649E-19</v>
      </c>
      <c r="BS156" s="24">
        <f t="shared" si="169"/>
        <v>0.22464393588449874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304</v>
      </c>
      <c r="BZ156" s="14">
        <f>BY156*VLOOKUP('Données projet'!$B$12,Paramètres!$A$1:$I$89,3,0)*VLOOKUP('Données projet'!$B$12,Paramètres!$A$1:$I$89,5,0)</f>
        <v>189.696</v>
      </c>
      <c r="CA156" s="14">
        <f t="shared" si="170"/>
        <v>47.472736505152469</v>
      </c>
      <c r="CB156" s="22">
        <f t="shared" si="171"/>
        <v>413.06888274647389</v>
      </c>
      <c r="CC156" s="62">
        <f t="shared" si="119"/>
        <v>706.4022160798072</v>
      </c>
      <c r="CD156" s="62">
        <f ca="1">AVERAGE(OFFSET($CC$3,0,0,'Données projet'!$E$12+1,1))-AVERAGE(OFFSET($H$3,0,0,'Données projet'!$E$12+1,1))</f>
        <v>179.44051550872138</v>
      </c>
      <c r="CE156" s="62">
        <f t="shared" si="148"/>
        <v>272.9500808380069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0.4368696461857608</v>
      </c>
      <c r="CL156" s="23">
        <f>EXP(-LN(2)/25)*CL155+(1-EXP(-LN(2)/25))/(LN(2)/25)*Calculateur!CG156*Calculateur!CI156*VLOOKUP('Données projet'!$B$12,Paramètres!$A$1:$I$89,3,0)*0.475*44/12</f>
        <v>0.66279005924978396</v>
      </c>
      <c r="CM156" s="23">
        <f>EXP(-LN(2)/2)*CM155+(1-EXP(-LN(2)/2))/(LN(2)/2)*CG156*CJ156*VLOOKUP('Données projet'!$B$12,Paramètres!$A$1:$I$89,3,0)*0.475*44/12</f>
        <v>6.3195496521795831E-18</v>
      </c>
      <c r="CN156" s="24">
        <f t="shared" si="172"/>
        <v>1.0996597054355448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277.99999999999994</v>
      </c>
      <c r="CU156" s="18">
        <f>CT156*VLOOKUP('Données projet'!$B$13,Paramètres!$A$1:$I$89,3,0)*VLOOKUP('Données projet'!$B$13,Paramètres!$A$1:$I$89,5,0)</f>
        <v>151.78799999999998</v>
      </c>
      <c r="CV156" s="14">
        <f t="shared" si="173"/>
        <v>38.984634390835623</v>
      </c>
      <c r="CW156" s="22">
        <f t="shared" si="174"/>
        <v>332.26233823070532</v>
      </c>
      <c r="CX156" s="62">
        <f t="shared" si="122"/>
        <v>625.59567156403864</v>
      </c>
      <c r="CY156" s="62">
        <f ca="1">AVERAGE(OFFSET($CX$3,0,0,'Données projet'!$E$13+1,1))-AVERAGE(OFFSET($H$3,0,0,'Données projet'!$E$13+1,1))</f>
        <v>159.92263609041913</v>
      </c>
      <c r="CZ156" s="62">
        <f t="shared" si="150"/>
        <v>271.78119133009307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0.57274297119406925</v>
      </c>
      <c r="DG156" s="23">
        <f>EXP(-LN(2)/25)*DG155+(1-EXP(-LN(2)/25))/(LN(2)/25)*Calculateur!DB156*Calculateur!DD156*VLOOKUP('Données projet'!$B$13,Paramètres!$A$1:$I$89,3,0)*0.475*44/12</f>
        <v>0.96657979938636673</v>
      </c>
      <c r="DH156" s="23">
        <f>EXP(-LN(2)/2)*DH155+(1-EXP(-LN(2)/2))/(LN(2)/2)*DB156*DE156*VLOOKUP('Données projet'!$B$13,Paramètres!$A$1:$I$89,3,0)*0.475*44/12</f>
        <v>8.4130819780917795E-18</v>
      </c>
      <c r="DI156" s="24">
        <f t="shared" si="175"/>
        <v>1.539322770580436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-5.4683368944097308E-14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122.60806128440754</v>
      </c>
      <c r="DU156" s="62">
        <f t="shared" si="152"/>
        <v>73.937252053142004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0</v>
      </c>
      <c r="EP156" s="62">
        <f t="shared" si="154"/>
        <v>0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382.55387448074327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0.18896890359760607</v>
      </c>
      <c r="AA157" s="23">
        <f>EXP(-LN(2)/25)*AA156+(1-EXP(-LN(2)/25))/(LN(2)/25)*Calculateur!V157*Calculateur!X157*VLOOKUP('Données projet'!$B$9,Paramètres!$A$1:$I$89,3,0)*0.475*44/12</f>
        <v>0.34328318686327297</v>
      </c>
      <c r="AB157" s="23">
        <f>EXP(-LN(2)/2)*AB156+(1-EXP(-LN(2)/2))/(LN(2)/2)*V157*Y157*VLOOKUP('Données projet'!$B$9,Paramètres!$A$1:$I$89,3,0)*0.475*44/12</f>
        <v>4.8846341952218716E-18</v>
      </c>
      <c r="AC157" s="24">
        <f t="shared" si="163"/>
        <v>0.53225209046087907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269.64423257646359</v>
      </c>
      <c r="AO157" s="62">
        <f t="shared" si="144"/>
        <v>161.0819079811821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8.5265128291212022E-14</v>
      </c>
      <c r="BE157" s="14">
        <f>BD157*VLOOKUP('Données projet'!$B$11,Paramètres!$A$1:$I$89,3,0)*VLOOKUP('Données projet'!$B$11,Paramètres!$A$1:$I$89,5,0)</f>
        <v>3.990408004028723E-14</v>
      </c>
      <c r="BF157" s="14">
        <f t="shared" si="167"/>
        <v>6.6713074187844705E-13</v>
      </c>
      <c r="BG157" s="22">
        <f t="shared" si="168"/>
        <v>1.2314189815084623E-12</v>
      </c>
      <c r="BH157" s="62">
        <f t="shared" si="116"/>
        <v>293.33333333333456</v>
      </c>
      <c r="BI157" s="62">
        <f ca="1">AVERAGE(OFFSET($BH$3,0,0,'Données projet'!$E$11+1,1))-AVERAGE(OFFSET($H$3,0,0,'Données projet'!$E$11+1,1))</f>
        <v>90.797383835887558</v>
      </c>
      <c r="BJ157" s="62">
        <f t="shared" si="146"/>
        <v>104.31413437636684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8.282268627380121E-2</v>
      </c>
      <c r="BQ157" s="23">
        <f>EXP(-LN(2)/25)*BQ156+(1-EXP(-LN(2)/25))/(LN(2)/25)*Calculateur!BL157*Calculateur!BN157*VLOOKUP('Données projet'!$B$11,Paramètres!$A$1:$I$89,3,0)*0.475*44/12</f>
        <v>0.13633185251920898</v>
      </c>
      <c r="BR157" s="23">
        <f>EXP(-LN(2)/2)*BR156+(1-EXP(-LN(2)/2))/(LN(2)/2)*BL157*BO157*VLOOKUP('Données projet'!$B$11,Paramètres!$A$1:$I$89,3,0)*0.475*44/12</f>
        <v>6.4166730557980861E-19</v>
      </c>
      <c r="BS157" s="24">
        <f t="shared" si="169"/>
        <v>0.2191545387930102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304</v>
      </c>
      <c r="BZ157" s="14">
        <f>BY157*VLOOKUP('Données projet'!$B$12,Paramètres!$A$1:$I$89,3,0)*VLOOKUP('Données projet'!$B$12,Paramètres!$A$1:$I$89,5,0)</f>
        <v>189.696</v>
      </c>
      <c r="CA157" s="14">
        <f t="shared" si="170"/>
        <v>47.472736505152469</v>
      </c>
      <c r="CB157" s="22">
        <f t="shared" si="171"/>
        <v>413.06888274647389</v>
      </c>
      <c r="CC157" s="62">
        <f t="shared" si="119"/>
        <v>706.4022160798072</v>
      </c>
      <c r="CD157" s="62">
        <f ca="1">AVERAGE(OFFSET($CC$3,0,0,'Données projet'!$E$12+1,1))-AVERAGE(OFFSET($H$3,0,0,'Données projet'!$E$12+1,1))</f>
        <v>179.44051550872138</v>
      </c>
      <c r="CE157" s="62">
        <f t="shared" si="148"/>
        <v>272.9500808380069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0.42830289888823103</v>
      </c>
      <c r="CL157" s="23">
        <f>EXP(-LN(2)/25)*CL156+(1-EXP(-LN(2)/25))/(LN(2)/25)*Calculateur!CG157*Calculateur!CI157*VLOOKUP('Données projet'!$B$12,Paramètres!$A$1:$I$89,3,0)*0.475*44/12</f>
        <v>0.64466603022498425</v>
      </c>
      <c r="CM157" s="23">
        <f>EXP(-LN(2)/2)*CM156+(1-EXP(-LN(2)/2))/(LN(2)/2)*CG157*CJ157*VLOOKUP('Données projet'!$B$12,Paramètres!$A$1:$I$89,3,0)*0.475*44/12</f>
        <v>4.4685964131012709E-18</v>
      </c>
      <c r="CN157" s="24">
        <f t="shared" si="172"/>
        <v>1.0729689291132152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277.99999999999994</v>
      </c>
      <c r="CU157" s="18">
        <f>CT157*VLOOKUP('Données projet'!$B$13,Paramètres!$A$1:$I$89,3,0)*VLOOKUP('Données projet'!$B$13,Paramètres!$A$1:$I$89,5,0)</f>
        <v>151.78799999999998</v>
      </c>
      <c r="CV157" s="14">
        <f t="shared" si="173"/>
        <v>38.984634390835623</v>
      </c>
      <c r="CW157" s="22">
        <f t="shared" si="174"/>
        <v>332.26233823070532</v>
      </c>
      <c r="CX157" s="62">
        <f t="shared" si="122"/>
        <v>625.59567156403864</v>
      </c>
      <c r="CY157" s="62">
        <f ca="1">AVERAGE(OFFSET($CX$3,0,0,'Données projet'!$E$13+1,1))-AVERAGE(OFFSET($H$3,0,0,'Données projet'!$E$13+1,1))</f>
        <v>159.92263609041913</v>
      </c>
      <c r="CZ157" s="62">
        <f t="shared" si="150"/>
        <v>271.78119133009307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0.56151183086767165</v>
      </c>
      <c r="DG157" s="23">
        <f>EXP(-LN(2)/25)*DG156+(1-EXP(-LN(2)/25))/(LN(2)/25)*Calculateur!DB157*Calculateur!DD157*VLOOKUP('Données projet'!$B$13,Paramètres!$A$1:$I$89,3,0)*0.475*44/12</f>
        <v>0.940148623941924</v>
      </c>
      <c r="DH157" s="23">
        <f>EXP(-LN(2)/2)*DH156+(1-EXP(-LN(2)/2))/(LN(2)/2)*DB157*DE157*VLOOKUP('Données projet'!$B$13,Paramètres!$A$1:$I$89,3,0)*0.475*44/12</f>
        <v>5.9489473173870304E-18</v>
      </c>
      <c r="DI157" s="24">
        <f t="shared" si="175"/>
        <v>1.5016604548095955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-5.4683368944097308E-14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122.60806128440754</v>
      </c>
      <c r="DU157" s="62">
        <f t="shared" si="152"/>
        <v>73.937252053142004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0</v>
      </c>
      <c r="EP157" s="62">
        <f t="shared" si="154"/>
        <v>0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382.55387448074327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0.18526333865770728</v>
      </c>
      <c r="AA158" s="23">
        <f>EXP(-LN(2)/25)*AA157+(1-EXP(-LN(2)/25))/(LN(2)/25)*Calculateur!V158*Calculateur!X158*VLOOKUP('Données projet'!$B$9,Paramètres!$A$1:$I$89,3,0)*0.475*44/12</f>
        <v>0.33389609006601856</v>
      </c>
      <c r="AB158" s="23">
        <f>EXP(-LN(2)/2)*AB157+(1-EXP(-LN(2)/2))/(LN(2)/2)*V158*Y158*VLOOKUP('Données projet'!$B$9,Paramètres!$A$1:$I$89,3,0)*0.475*44/12</f>
        <v>3.4539579630570799E-18</v>
      </c>
      <c r="AC158" s="24">
        <f t="shared" si="163"/>
        <v>0.51915942872372578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269.64423257646359</v>
      </c>
      <c r="AO158" s="62">
        <f t="shared" si="144"/>
        <v>161.0819079811821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8.5265128291212022E-14</v>
      </c>
      <c r="BE158" s="14">
        <f>BD158*VLOOKUP('Données projet'!$B$11,Paramètres!$A$1:$I$89,3,0)*VLOOKUP('Données projet'!$B$11,Paramètres!$A$1:$I$89,5,0)</f>
        <v>3.990408004028723E-14</v>
      </c>
      <c r="BF158" s="14">
        <f t="shared" si="167"/>
        <v>6.6713074187844705E-13</v>
      </c>
      <c r="BG158" s="22">
        <f t="shared" si="168"/>
        <v>1.2314189815084623E-12</v>
      </c>
      <c r="BH158" s="62">
        <f t="shared" si="116"/>
        <v>293.33333333333456</v>
      </c>
      <c r="BI158" s="62">
        <f ca="1">AVERAGE(OFFSET($BH$3,0,0,'Données projet'!$E$11+1,1))-AVERAGE(OFFSET($H$3,0,0,'Données projet'!$E$11+1,1))</f>
        <v>90.797383835887558</v>
      </c>
      <c r="BJ158" s="62">
        <f t="shared" si="146"/>
        <v>104.31413437636684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8.1198583912822475E-2</v>
      </c>
      <c r="BQ158" s="23">
        <f>EXP(-LN(2)/25)*BQ157+(1-EXP(-LN(2)/25))/(LN(2)/25)*Calculateur!BL158*Calculateur!BN158*VLOOKUP('Données projet'!$B$11,Paramètres!$A$1:$I$89,3,0)*0.475*44/12</f>
        <v>0.13260385084269069</v>
      </c>
      <c r="BR158" s="23">
        <f>EXP(-LN(2)/2)*BR157+(1-EXP(-LN(2)/2))/(LN(2)/2)*BL158*BO158*VLOOKUP('Données projet'!$B$11,Paramètres!$A$1:$I$89,3,0)*0.475*44/12</f>
        <v>4.5372730304118324E-19</v>
      </c>
      <c r="BS158" s="24">
        <f t="shared" si="169"/>
        <v>0.21380243475551317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304</v>
      </c>
      <c r="BZ158" s="14">
        <f>BY158*VLOOKUP('Données projet'!$B$12,Paramètres!$A$1:$I$89,3,0)*VLOOKUP('Données projet'!$B$12,Paramètres!$A$1:$I$89,5,0)</f>
        <v>189.696</v>
      </c>
      <c r="CA158" s="14">
        <f t="shared" si="170"/>
        <v>47.472736505152469</v>
      </c>
      <c r="CB158" s="22">
        <f t="shared" si="171"/>
        <v>413.06888274647389</v>
      </c>
      <c r="CC158" s="62">
        <f t="shared" si="119"/>
        <v>706.4022160798072</v>
      </c>
      <c r="CD158" s="62">
        <f ca="1">AVERAGE(OFFSET($CC$3,0,0,'Données projet'!$E$12+1,1))-AVERAGE(OFFSET($H$3,0,0,'Données projet'!$E$12+1,1))</f>
        <v>179.44051550872138</v>
      </c>
      <c r="CE158" s="62">
        <f t="shared" si="148"/>
        <v>272.9500808380069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0.41990414028000594</v>
      </c>
      <c r="CL158" s="23">
        <f>EXP(-LN(2)/25)*CL157+(1-EXP(-LN(2)/25))/(LN(2)/25)*Calculateur!CG158*Calculateur!CI158*VLOOKUP('Données projet'!$B$12,Paramètres!$A$1:$I$89,3,0)*0.475*44/12</f>
        <v>0.62703760372696893</v>
      </c>
      <c r="CM158" s="23">
        <f>EXP(-LN(2)/2)*CM157+(1-EXP(-LN(2)/2))/(LN(2)/2)*CG158*CJ158*VLOOKUP('Données projet'!$B$12,Paramètres!$A$1:$I$89,3,0)*0.475*44/12</f>
        <v>3.1597748260897916E-18</v>
      </c>
      <c r="CN158" s="24">
        <f t="shared" si="172"/>
        <v>1.0469417440069748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277.99999999999994</v>
      </c>
      <c r="CU158" s="18">
        <f>CT158*VLOOKUP('Données projet'!$B$13,Paramètres!$A$1:$I$89,3,0)*VLOOKUP('Données projet'!$B$13,Paramètres!$A$1:$I$89,5,0)</f>
        <v>151.78799999999998</v>
      </c>
      <c r="CV158" s="14">
        <f t="shared" si="173"/>
        <v>38.984634390835623</v>
      </c>
      <c r="CW158" s="22">
        <f t="shared" si="174"/>
        <v>332.26233823070532</v>
      </c>
      <c r="CX158" s="62">
        <f t="shared" si="122"/>
        <v>625.59567156403864</v>
      </c>
      <c r="CY158" s="62">
        <f ca="1">AVERAGE(OFFSET($CX$3,0,0,'Données projet'!$E$13+1,1))-AVERAGE(OFFSET($H$3,0,0,'Données projet'!$E$13+1,1))</f>
        <v>159.92263609041913</v>
      </c>
      <c r="CZ158" s="62">
        <f t="shared" si="150"/>
        <v>271.78119133009307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0.55050092635275549</v>
      </c>
      <c r="DG158" s="23">
        <f>EXP(-LN(2)/25)*DG157+(1-EXP(-LN(2)/25))/(LN(2)/25)*Calculateur!DB158*Calculateur!DD158*VLOOKUP('Données projet'!$B$13,Paramètres!$A$1:$I$89,3,0)*0.475*44/12</f>
        <v>0.9144402103799647</v>
      </c>
      <c r="DH158" s="23">
        <f>EXP(-LN(2)/2)*DH157+(1-EXP(-LN(2)/2))/(LN(2)/2)*DB158*DE158*VLOOKUP('Données projet'!$B$13,Paramètres!$A$1:$I$89,3,0)*0.475*44/12</f>
        <v>4.2065409890458897E-18</v>
      </c>
      <c r="DI158" s="24">
        <f t="shared" si="175"/>
        <v>1.4649411367327203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-5.4683368944097308E-14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122.60806128440754</v>
      </c>
      <c r="DU158" s="62">
        <f t="shared" si="152"/>
        <v>73.937252053142004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0</v>
      </c>
      <c r="EP158" s="62">
        <f t="shared" si="154"/>
        <v>0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382.55387448074327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0.18163043758610845</v>
      </c>
      <c r="AA159" s="23">
        <f>EXP(-LN(2)/25)*AA158+(1-EXP(-LN(2)/25))/(LN(2)/25)*Calculateur!V159*Calculateur!X159*VLOOKUP('Données projet'!$B$9,Paramètres!$A$1:$I$89,3,0)*0.475*44/12</f>
        <v>0.32476568392433103</v>
      </c>
      <c r="AB159" s="23">
        <f>EXP(-LN(2)/2)*AB158+(1-EXP(-LN(2)/2))/(LN(2)/2)*V159*Y159*VLOOKUP('Données projet'!$B$9,Paramètres!$A$1:$I$89,3,0)*0.475*44/12</f>
        <v>2.4423170976109362E-18</v>
      </c>
      <c r="AC159" s="24">
        <f t="shared" si="163"/>
        <v>0.50639612151043945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269.64423257646359</v>
      </c>
      <c r="AO159" s="62">
        <f t="shared" si="144"/>
        <v>161.0819079811821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8.5265128291212022E-14</v>
      </c>
      <c r="BE159" s="14">
        <f>BD159*VLOOKUP('Données projet'!$B$11,Paramètres!$A$1:$I$89,3,0)*VLOOKUP('Données projet'!$B$11,Paramètres!$A$1:$I$89,5,0)</f>
        <v>3.990408004028723E-14</v>
      </c>
      <c r="BF159" s="14">
        <f t="shared" si="167"/>
        <v>6.6713074187844705E-13</v>
      </c>
      <c r="BG159" s="22">
        <f t="shared" si="168"/>
        <v>1.2314189815084623E-12</v>
      </c>
      <c r="BH159" s="62">
        <f t="shared" si="116"/>
        <v>293.33333333333456</v>
      </c>
      <c r="BI159" s="62">
        <f ca="1">AVERAGE(OFFSET($BH$3,0,0,'Données projet'!$E$11+1,1))-AVERAGE(OFFSET($H$3,0,0,'Données projet'!$E$11+1,1))</f>
        <v>90.797383835887558</v>
      </c>
      <c r="BJ159" s="62">
        <f t="shared" si="146"/>
        <v>104.31413437636684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7.9606329208537899E-2</v>
      </c>
      <c r="BQ159" s="23">
        <f>EXP(-LN(2)/25)*BQ158+(1-EXP(-LN(2)/25))/(LN(2)/25)*Calculateur!BL159*Calculateur!BN159*VLOOKUP('Données projet'!$B$11,Paramètres!$A$1:$I$89,3,0)*0.475*44/12</f>
        <v>0.12897779156806385</v>
      </c>
      <c r="BR159" s="23">
        <f>EXP(-LN(2)/2)*BR158+(1-EXP(-LN(2)/2))/(LN(2)/2)*BL159*BO159*VLOOKUP('Données projet'!$B$11,Paramètres!$A$1:$I$89,3,0)*0.475*44/12</f>
        <v>3.208336527899043E-19</v>
      </c>
      <c r="BS159" s="24">
        <f t="shared" si="169"/>
        <v>0.20858412077660177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304</v>
      </c>
      <c r="BZ159" s="14">
        <f>BY159*VLOOKUP('Données projet'!$B$12,Paramètres!$A$1:$I$89,3,0)*VLOOKUP('Données projet'!$B$12,Paramètres!$A$1:$I$89,5,0)</f>
        <v>189.696</v>
      </c>
      <c r="CA159" s="14">
        <f t="shared" si="170"/>
        <v>47.472736505152469</v>
      </c>
      <c r="CB159" s="22">
        <f t="shared" si="171"/>
        <v>413.06888274647389</v>
      </c>
      <c r="CC159" s="62">
        <f t="shared" si="119"/>
        <v>706.4022160798072</v>
      </c>
      <c r="CD159" s="62">
        <f ca="1">AVERAGE(OFFSET($CC$3,0,0,'Données projet'!$E$12+1,1))-AVERAGE(OFFSET($H$3,0,0,'Données projet'!$E$12+1,1))</f>
        <v>179.44051550872138</v>
      </c>
      <c r="CE159" s="62">
        <f t="shared" si="148"/>
        <v>272.9500808380069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0.41167007620535123</v>
      </c>
      <c r="CL159" s="23">
        <f>EXP(-LN(2)/25)*CL158+(1-EXP(-LN(2)/25))/(LN(2)/25)*Calculateur!CG159*Calculateur!CI159*VLOOKUP('Données projet'!$B$12,Paramètres!$A$1:$I$89,3,0)*0.475*44/12</f>
        <v>0.60989122747858049</v>
      </c>
      <c r="CM159" s="23">
        <f>EXP(-LN(2)/2)*CM158+(1-EXP(-LN(2)/2))/(LN(2)/2)*CG159*CJ159*VLOOKUP('Données projet'!$B$12,Paramètres!$A$1:$I$89,3,0)*0.475*44/12</f>
        <v>2.2342982065506355E-18</v>
      </c>
      <c r="CN159" s="24">
        <f t="shared" si="172"/>
        <v>1.0215613036839317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277.99999999999994</v>
      </c>
      <c r="CU159" s="18">
        <f>CT159*VLOOKUP('Données projet'!$B$13,Paramètres!$A$1:$I$89,3,0)*VLOOKUP('Données projet'!$B$13,Paramètres!$A$1:$I$89,5,0)</f>
        <v>151.78799999999998</v>
      </c>
      <c r="CV159" s="14">
        <f t="shared" si="173"/>
        <v>38.984634390835623</v>
      </c>
      <c r="CW159" s="22">
        <f t="shared" si="174"/>
        <v>332.26233823070532</v>
      </c>
      <c r="CX159" s="62">
        <f t="shared" si="122"/>
        <v>625.59567156403864</v>
      </c>
      <c r="CY159" s="62">
        <f ca="1">AVERAGE(OFFSET($CX$3,0,0,'Données projet'!$E$13+1,1))-AVERAGE(OFFSET($H$3,0,0,'Données projet'!$E$13+1,1))</f>
        <v>159.92263609041913</v>
      </c>
      <c r="CZ159" s="62">
        <f t="shared" si="150"/>
        <v>271.78119133009307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0.53970593895938823</v>
      </c>
      <c r="DG159" s="23">
        <f>EXP(-LN(2)/25)*DG158+(1-EXP(-LN(2)/25))/(LN(2)/25)*Calculateur!DB159*Calculateur!DD159*VLOOKUP('Données projet'!$B$13,Paramètres!$A$1:$I$89,3,0)*0.475*44/12</f>
        <v>0.88943479473880394</v>
      </c>
      <c r="DH159" s="23">
        <f>EXP(-LN(2)/2)*DH158+(1-EXP(-LN(2)/2))/(LN(2)/2)*DB159*DE159*VLOOKUP('Données projet'!$B$13,Paramètres!$A$1:$I$89,3,0)*0.475*44/12</f>
        <v>2.9744736586935152E-18</v>
      </c>
      <c r="DI159" s="24">
        <f t="shared" si="175"/>
        <v>1.4291407336981923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-5.4683368944097308E-14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122.60806128440754</v>
      </c>
      <c r="DU159" s="62">
        <f t="shared" si="152"/>
        <v>73.937252053142004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0</v>
      </c>
      <c r="EP159" s="62">
        <f t="shared" si="154"/>
        <v>0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382.55387448074327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0.17806877548867281</v>
      </c>
      <c r="AA160" s="23">
        <f>EXP(-LN(2)/25)*AA159+(1-EXP(-LN(2)/25))/(LN(2)/25)*Calculateur!V160*Calculateur!X160*VLOOKUP('Données projet'!$B$9,Paramètres!$A$1:$I$89,3,0)*0.475*44/12</f>
        <v>0.31588494921873517</v>
      </c>
      <c r="AB160" s="23">
        <f>EXP(-LN(2)/2)*AB159+(1-EXP(-LN(2)/2))/(LN(2)/2)*V160*Y160*VLOOKUP('Données projet'!$B$9,Paramètres!$A$1:$I$89,3,0)*0.475*44/12</f>
        <v>1.7269789815285401E-18</v>
      </c>
      <c r="AC160" s="24">
        <f t="shared" si="163"/>
        <v>0.49395372470740795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269.64423257646359</v>
      </c>
      <c r="AO160" s="62">
        <f t="shared" si="144"/>
        <v>161.0819079811821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8.5265128291212022E-14</v>
      </c>
      <c r="BE160" s="14">
        <f>BD160*VLOOKUP('Données projet'!$B$11,Paramètres!$A$1:$I$89,3,0)*VLOOKUP('Données projet'!$B$11,Paramètres!$A$1:$I$89,5,0)</f>
        <v>3.990408004028723E-14</v>
      </c>
      <c r="BF160" s="14">
        <f t="shared" si="167"/>
        <v>6.6713074187844705E-13</v>
      </c>
      <c r="BG160" s="22">
        <f t="shared" si="168"/>
        <v>1.2314189815084623E-12</v>
      </c>
      <c r="BH160" s="62">
        <f t="shared" si="116"/>
        <v>293.33333333333456</v>
      </c>
      <c r="BI160" s="62">
        <f ca="1">AVERAGE(OFFSET($BH$3,0,0,'Données projet'!$E$11+1,1))-AVERAGE(OFFSET($H$3,0,0,'Données projet'!$E$11+1,1))</f>
        <v>90.797383835887558</v>
      </c>
      <c r="BJ160" s="62">
        <f t="shared" si="146"/>
        <v>104.31413437636684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7.8045297647824877E-2</v>
      </c>
      <c r="BQ160" s="23">
        <f>EXP(-LN(2)/25)*BQ159+(1-EXP(-LN(2)/25))/(LN(2)/25)*Calculateur!BL160*Calculateur!BN160*VLOOKUP('Données projet'!$B$11,Paramètres!$A$1:$I$89,3,0)*0.475*44/12</f>
        <v>0.12545088707498786</v>
      </c>
      <c r="BR160" s="23">
        <f>EXP(-LN(2)/2)*BR159+(1-EXP(-LN(2)/2))/(LN(2)/2)*BL160*BO160*VLOOKUP('Données projet'!$B$11,Paramètres!$A$1:$I$89,3,0)*0.475*44/12</f>
        <v>2.2686365152059162E-19</v>
      </c>
      <c r="BS160" s="24">
        <f t="shared" si="169"/>
        <v>0.20349618472281272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304</v>
      </c>
      <c r="BZ160" s="14">
        <f>BY160*VLOOKUP('Données projet'!$B$12,Paramètres!$A$1:$I$89,3,0)*VLOOKUP('Données projet'!$B$12,Paramètres!$A$1:$I$89,5,0)</f>
        <v>189.696</v>
      </c>
      <c r="CA160" s="14">
        <f t="shared" si="170"/>
        <v>47.472736505152469</v>
      </c>
      <c r="CB160" s="22">
        <f t="shared" si="171"/>
        <v>413.06888274647389</v>
      </c>
      <c r="CC160" s="62">
        <f t="shared" si="119"/>
        <v>706.4022160798072</v>
      </c>
      <c r="CD160" s="62">
        <f ca="1">AVERAGE(OFFSET($CC$3,0,0,'Données projet'!$E$12+1,1))-AVERAGE(OFFSET($H$3,0,0,'Données projet'!$E$12+1,1))</f>
        <v>179.44051550872138</v>
      </c>
      <c r="CE160" s="62">
        <f t="shared" si="148"/>
        <v>272.9500808380069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0.40359747710491733</v>
      </c>
      <c r="CL160" s="23">
        <f>EXP(-LN(2)/25)*CL159+(1-EXP(-LN(2)/25))/(LN(2)/25)*Calculateur!CG160*Calculateur!CI160*VLOOKUP('Données projet'!$B$12,Paramètres!$A$1:$I$89,3,0)*0.475*44/12</f>
        <v>0.59321371979039295</v>
      </c>
      <c r="CM160" s="23">
        <f>EXP(-LN(2)/2)*CM159+(1-EXP(-LN(2)/2))/(LN(2)/2)*CG160*CJ160*VLOOKUP('Données projet'!$B$12,Paramètres!$A$1:$I$89,3,0)*0.475*44/12</f>
        <v>1.5798874130448958E-18</v>
      </c>
      <c r="CN160" s="24">
        <f t="shared" si="172"/>
        <v>0.99681119689531028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277.99999999999994</v>
      </c>
      <c r="CU160" s="18">
        <f>CT160*VLOOKUP('Données projet'!$B$13,Paramètres!$A$1:$I$89,3,0)*VLOOKUP('Données projet'!$B$13,Paramètres!$A$1:$I$89,5,0)</f>
        <v>151.78799999999998</v>
      </c>
      <c r="CV160" s="14">
        <f t="shared" si="173"/>
        <v>38.984634390835623</v>
      </c>
      <c r="CW160" s="22">
        <f t="shared" si="174"/>
        <v>332.26233823070532</v>
      </c>
      <c r="CX160" s="62">
        <f t="shared" si="122"/>
        <v>625.59567156403864</v>
      </c>
      <c r="CY160" s="62">
        <f ca="1">AVERAGE(OFFSET($CX$3,0,0,'Données projet'!$E$13+1,1))-AVERAGE(OFFSET($H$3,0,0,'Données projet'!$E$13+1,1))</f>
        <v>159.92263609041913</v>
      </c>
      <c r="CZ160" s="62">
        <f t="shared" si="150"/>
        <v>271.78119133009307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0.52912263468451282</v>
      </c>
      <c r="DG160" s="23">
        <f>EXP(-LN(2)/25)*DG159+(1-EXP(-LN(2)/25))/(LN(2)/25)*Calculateur!DB160*Calculateur!DD160*VLOOKUP('Données projet'!$B$13,Paramètres!$A$1:$I$89,3,0)*0.475*44/12</f>
        <v>0.86511315350332829</v>
      </c>
      <c r="DH160" s="23">
        <f>EXP(-LN(2)/2)*DH159+(1-EXP(-LN(2)/2))/(LN(2)/2)*DB160*DE160*VLOOKUP('Données projet'!$B$13,Paramètres!$A$1:$I$89,3,0)*0.475*44/12</f>
        <v>2.1032704945229449E-18</v>
      </c>
      <c r="DI160" s="24">
        <f t="shared" si="175"/>
        <v>1.3942357881878411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-5.4683368944097308E-14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122.60806128440754</v>
      </c>
      <c r="DU160" s="62">
        <f t="shared" si="152"/>
        <v>73.937252053142004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0</v>
      </c>
      <c r="EP160" s="62">
        <f t="shared" si="154"/>
        <v>0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382.55387448074327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0.17457695541256851</v>
      </c>
      <c r="AA161" s="23">
        <f>EXP(-LN(2)/25)*AA160+(1-EXP(-LN(2)/25))/(LN(2)/25)*Calculateur!V161*Calculateur!X161*VLOOKUP('Données projet'!$B$9,Paramètres!$A$1:$I$89,3,0)*0.475*44/12</f>
        <v>0.30724705867068136</v>
      </c>
      <c r="AB161" s="23">
        <f>EXP(-LN(2)/2)*AB160+(1-EXP(-LN(2)/2))/(LN(2)/2)*V161*Y161*VLOOKUP('Données projet'!$B$9,Paramètres!$A$1:$I$89,3,0)*0.475*44/12</f>
        <v>1.2211585488054683E-18</v>
      </c>
      <c r="AC161" s="24">
        <f t="shared" si="163"/>
        <v>0.48182401408324987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269.64423257646359</v>
      </c>
      <c r="AO161" s="62">
        <f t="shared" si="144"/>
        <v>161.0819079811821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8.5265128291212022E-14</v>
      </c>
      <c r="BE161" s="14">
        <f>BD161*VLOOKUP('Données projet'!$B$11,Paramètres!$A$1:$I$89,3,0)*VLOOKUP('Données projet'!$B$11,Paramètres!$A$1:$I$89,5,0)</f>
        <v>3.990408004028723E-14</v>
      </c>
      <c r="BF161" s="14">
        <f t="shared" si="167"/>
        <v>6.6713074187844705E-13</v>
      </c>
      <c r="BG161" s="22">
        <f t="shared" si="168"/>
        <v>1.2314189815084623E-12</v>
      </c>
      <c r="BH161" s="62">
        <f t="shared" si="116"/>
        <v>293.33333333333456</v>
      </c>
      <c r="BI161" s="62">
        <f ca="1">AVERAGE(OFFSET($BH$3,0,0,'Données projet'!$E$11+1,1))-AVERAGE(OFFSET($H$3,0,0,'Données projet'!$E$11+1,1))</f>
        <v>90.797383835887558</v>
      </c>
      <c r="BJ161" s="62">
        <f t="shared" si="146"/>
        <v>104.31413437636684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7.6514876963882192E-2</v>
      </c>
      <c r="BQ161" s="23">
        <f>EXP(-LN(2)/25)*BQ160+(1-EXP(-LN(2)/25))/(LN(2)/25)*Calculateur!BL161*Calculateur!BN161*VLOOKUP('Données projet'!$B$11,Paramètres!$A$1:$I$89,3,0)*0.475*44/12</f>
        <v>0.12202042597074689</v>
      </c>
      <c r="BR161" s="23">
        <f>EXP(-LN(2)/2)*BR160+(1-EXP(-LN(2)/2))/(LN(2)/2)*BL161*BO161*VLOOKUP('Données projet'!$B$11,Paramètres!$A$1:$I$89,3,0)*0.475*44/12</f>
        <v>1.6041682639495215E-19</v>
      </c>
      <c r="BS161" s="24">
        <f t="shared" si="169"/>
        <v>0.19853530293462907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304</v>
      </c>
      <c r="BZ161" s="14">
        <f>BY161*VLOOKUP('Données projet'!$B$12,Paramètres!$A$1:$I$89,3,0)*VLOOKUP('Données projet'!$B$12,Paramètres!$A$1:$I$89,5,0)</f>
        <v>189.696</v>
      </c>
      <c r="CA161" s="14">
        <f t="shared" si="170"/>
        <v>47.472736505152469</v>
      </c>
      <c r="CB161" s="22">
        <f t="shared" si="171"/>
        <v>413.06888274647389</v>
      </c>
      <c r="CC161" s="62">
        <f t="shared" si="119"/>
        <v>706.4022160798072</v>
      </c>
      <c r="CD161" s="62">
        <f ca="1">AVERAGE(OFFSET($CC$3,0,0,'Données projet'!$E$12+1,1))-AVERAGE(OFFSET($H$3,0,0,'Données projet'!$E$12+1,1))</f>
        <v>179.44051550872138</v>
      </c>
      <c r="CE161" s="62">
        <f t="shared" si="148"/>
        <v>272.9500808380069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0.39568317674904363</v>
      </c>
      <c r="CL161" s="23">
        <f>EXP(-LN(2)/25)*CL160+(1-EXP(-LN(2)/25))/(LN(2)/25)*Calculateur!CG161*Calculateur!CI161*VLOOKUP('Données projet'!$B$12,Paramètres!$A$1:$I$89,3,0)*0.475*44/12</f>
        <v>0.57699225942697097</v>
      </c>
      <c r="CM161" s="23">
        <f>EXP(-LN(2)/2)*CM160+(1-EXP(-LN(2)/2))/(LN(2)/2)*CG161*CJ161*VLOOKUP('Données projet'!$B$12,Paramètres!$A$1:$I$89,3,0)*0.475*44/12</f>
        <v>1.1171491032753177E-18</v>
      </c>
      <c r="CN161" s="24">
        <f t="shared" si="172"/>
        <v>0.9726754361760146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277.99999999999994</v>
      </c>
      <c r="CU161" s="18">
        <f>CT161*VLOOKUP('Données projet'!$B$13,Paramètres!$A$1:$I$89,3,0)*VLOOKUP('Données projet'!$B$13,Paramètres!$A$1:$I$89,5,0)</f>
        <v>151.78799999999998</v>
      </c>
      <c r="CV161" s="14">
        <f t="shared" si="173"/>
        <v>38.984634390835623</v>
      </c>
      <c r="CW161" s="22">
        <f t="shared" si="174"/>
        <v>332.26233823070532</v>
      </c>
      <c r="CX161" s="62">
        <f t="shared" si="122"/>
        <v>625.59567156403864</v>
      </c>
      <c r="CY161" s="62">
        <f ca="1">AVERAGE(OFFSET($CX$3,0,0,'Données projet'!$E$13+1,1))-AVERAGE(OFFSET($H$3,0,0,'Données projet'!$E$13+1,1))</f>
        <v>159.92263609041913</v>
      </c>
      <c r="CZ161" s="62">
        <f t="shared" si="150"/>
        <v>271.78119133009307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0.51874686255128943</v>
      </c>
      <c r="DG161" s="23">
        <f>EXP(-LN(2)/25)*DG160+(1-EXP(-LN(2)/25))/(LN(2)/25)*Calculateur!DB161*Calculateur!DD161*VLOOKUP('Données projet'!$B$13,Paramètres!$A$1:$I$89,3,0)*0.475*44/12</f>
        <v>0.84145658882645624</v>
      </c>
      <c r="DH161" s="23">
        <f>EXP(-LN(2)/2)*DH160+(1-EXP(-LN(2)/2))/(LN(2)/2)*DB161*DE161*VLOOKUP('Données projet'!$B$13,Paramètres!$A$1:$I$89,3,0)*0.475*44/12</f>
        <v>1.4872368293467576E-18</v>
      </c>
      <c r="DI161" s="24">
        <f t="shared" si="175"/>
        <v>1.3602034513777457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-5.4683368944097308E-14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122.60806128440754</v>
      </c>
      <c r="DU161" s="62">
        <f t="shared" si="152"/>
        <v>73.937252053142004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0</v>
      </c>
      <c r="EP161" s="62">
        <f t="shared" si="154"/>
        <v>0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382.55387448074327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0.17115360779835667</v>
      </c>
      <c r="AA162" s="23">
        <f>EXP(-LN(2)/25)*AA161+(1-EXP(-LN(2)/25))/(LN(2)/25)*Calculateur!V162*Calculateur!X162*VLOOKUP('Données projet'!$B$9,Paramètres!$A$1:$I$89,3,0)*0.475*44/12</f>
        <v>0.29884537169391101</v>
      </c>
      <c r="AB162" s="23">
        <f>EXP(-LN(2)/2)*AB161+(1-EXP(-LN(2)/2))/(LN(2)/2)*V162*Y162*VLOOKUP('Données projet'!$B$9,Paramètres!$A$1:$I$89,3,0)*0.475*44/12</f>
        <v>8.6348949076427025E-19</v>
      </c>
      <c r="AC162" s="24">
        <f t="shared" si="163"/>
        <v>0.46999897949226765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269.64423257646359</v>
      </c>
      <c r="AO162" s="62">
        <f t="shared" si="144"/>
        <v>161.0819079811821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8.5265128291212022E-14</v>
      </c>
      <c r="BE162" s="14">
        <f>BD162*VLOOKUP('Données projet'!$B$11,Paramètres!$A$1:$I$89,3,0)*VLOOKUP('Données projet'!$B$11,Paramètres!$A$1:$I$89,5,0)</f>
        <v>3.990408004028723E-14</v>
      </c>
      <c r="BF162" s="14">
        <f t="shared" si="167"/>
        <v>6.6713074187844705E-13</v>
      </c>
      <c r="BG162" s="22">
        <f t="shared" si="168"/>
        <v>1.2314189815084623E-12</v>
      </c>
      <c r="BH162" s="62">
        <f t="shared" si="116"/>
        <v>293.33333333333456</v>
      </c>
      <c r="BI162" s="62">
        <f ca="1">AVERAGE(OFFSET($BH$3,0,0,'Données projet'!$E$11+1,1))-AVERAGE(OFFSET($H$3,0,0,'Données projet'!$E$11+1,1))</f>
        <v>90.797383835887558</v>
      </c>
      <c r="BJ162" s="62">
        <f t="shared" si="146"/>
        <v>104.31413437636684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7.5014466896087179E-2</v>
      </c>
      <c r="BQ162" s="23">
        <f>EXP(-LN(2)/25)*BQ161+(1-EXP(-LN(2)/25))/(LN(2)/25)*Calculateur!BL162*Calculateur!BN162*VLOOKUP('Données projet'!$B$11,Paramètres!$A$1:$I$89,3,0)*0.475*44/12</f>
        <v>0.11868377100580149</v>
      </c>
      <c r="BR162" s="23">
        <f>EXP(-LN(2)/2)*BR161+(1-EXP(-LN(2)/2))/(LN(2)/2)*BL162*BO162*VLOOKUP('Données projet'!$B$11,Paramètres!$A$1:$I$89,3,0)*0.475*44/12</f>
        <v>1.1343182576029581E-19</v>
      </c>
      <c r="BS162" s="24">
        <f t="shared" si="169"/>
        <v>0.19369823790188867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304</v>
      </c>
      <c r="BZ162" s="14">
        <f>BY162*VLOOKUP('Données projet'!$B$12,Paramètres!$A$1:$I$89,3,0)*VLOOKUP('Données projet'!$B$12,Paramètres!$A$1:$I$89,5,0)</f>
        <v>189.696</v>
      </c>
      <c r="CA162" s="14">
        <f t="shared" si="170"/>
        <v>47.472736505152469</v>
      </c>
      <c r="CB162" s="22">
        <f t="shared" si="171"/>
        <v>413.06888274647389</v>
      </c>
      <c r="CC162" s="62">
        <f t="shared" si="119"/>
        <v>706.4022160798072</v>
      </c>
      <c r="CD162" s="62">
        <f ca="1">AVERAGE(OFFSET($CC$3,0,0,'Données projet'!$E$12+1,1))-AVERAGE(OFFSET($H$3,0,0,'Données projet'!$E$12+1,1))</f>
        <v>179.44051550872138</v>
      </c>
      <c r="CE162" s="62">
        <f t="shared" si="148"/>
        <v>272.9500808380069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0.38792407099590209</v>
      </c>
      <c r="CL162" s="23">
        <f>EXP(-LN(2)/25)*CL161+(1-EXP(-LN(2)/25))/(LN(2)/25)*Calculateur!CG162*Calculateur!CI162*VLOOKUP('Données projet'!$B$12,Paramètres!$A$1:$I$89,3,0)*0.475*44/12</f>
        <v>0.56121437575023625</v>
      </c>
      <c r="CM162" s="23">
        <f>EXP(-LN(2)/2)*CM161+(1-EXP(-LN(2)/2))/(LN(2)/2)*CG162*CJ162*VLOOKUP('Données projet'!$B$12,Paramètres!$A$1:$I$89,3,0)*0.475*44/12</f>
        <v>7.8994370652244789E-19</v>
      </c>
      <c r="CN162" s="24">
        <f t="shared" si="172"/>
        <v>0.94913844674613834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277.99999999999994</v>
      </c>
      <c r="CU162" s="18">
        <f>CT162*VLOOKUP('Données projet'!$B$13,Paramètres!$A$1:$I$89,3,0)*VLOOKUP('Données projet'!$B$13,Paramètres!$A$1:$I$89,5,0)</f>
        <v>151.78799999999998</v>
      </c>
      <c r="CV162" s="14">
        <f t="shared" si="173"/>
        <v>38.984634390835623</v>
      </c>
      <c r="CW162" s="22">
        <f t="shared" si="174"/>
        <v>332.26233823070532</v>
      </c>
      <c r="CX162" s="62">
        <f t="shared" si="122"/>
        <v>625.59567156403864</v>
      </c>
      <c r="CY162" s="62">
        <f ca="1">AVERAGE(OFFSET($CX$3,0,0,'Données projet'!$E$13+1,1))-AVERAGE(OFFSET($H$3,0,0,'Données projet'!$E$13+1,1))</f>
        <v>159.92263609041913</v>
      </c>
      <c r="CZ162" s="62">
        <f t="shared" si="150"/>
        <v>271.78119133009307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0.50857455298100251</v>
      </c>
      <c r="DG162" s="23">
        <f>EXP(-LN(2)/25)*DG161+(1-EXP(-LN(2)/25))/(LN(2)/25)*Calculateur!DB162*Calculateur!DD162*VLOOKUP('Données projet'!$B$13,Paramètres!$A$1:$I$89,3,0)*0.475*44/12</f>
        <v>0.81844691415471793</v>
      </c>
      <c r="DH162" s="23">
        <f>EXP(-LN(2)/2)*DH161+(1-EXP(-LN(2)/2))/(LN(2)/2)*DB162*DE162*VLOOKUP('Données projet'!$B$13,Paramètres!$A$1:$I$89,3,0)*0.475*44/12</f>
        <v>1.0516352472614724E-18</v>
      </c>
      <c r="DI162" s="24">
        <f t="shared" si="175"/>
        <v>1.3270214671357206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-5.4683368944097308E-14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122.60806128440754</v>
      </c>
      <c r="DU162" s="62">
        <f t="shared" si="152"/>
        <v>73.937252053142004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0</v>
      </c>
      <c r="EP162" s="62">
        <f t="shared" si="154"/>
        <v>0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382.55387448074327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0.16779738994282367</v>
      </c>
      <c r="AA163" s="23">
        <f>EXP(-LN(2)/25)*AA162+(1-EXP(-LN(2)/25))/(LN(2)/25)*Calculateur!V163*Calculateur!X163*VLOOKUP('Données projet'!$B$9,Paramètres!$A$1:$I$89,3,0)*0.475*44/12</f>
        <v>0.29067342928934592</v>
      </c>
      <c r="AB163" s="23">
        <f>EXP(-LN(2)/2)*AB162+(1-EXP(-LN(2)/2))/(LN(2)/2)*V163*Y163*VLOOKUP('Données projet'!$B$9,Paramètres!$A$1:$I$89,3,0)*0.475*44/12</f>
        <v>6.1057927440273424E-19</v>
      </c>
      <c r="AC163" s="24">
        <f t="shared" si="163"/>
        <v>0.45847081923216959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269.64423257646359</v>
      </c>
      <c r="AO163" s="62">
        <f t="shared" si="144"/>
        <v>161.0819079811821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8.5265128291212022E-14</v>
      </c>
      <c r="BE163" s="14">
        <f>BD163*VLOOKUP('Données projet'!$B$11,Paramètres!$A$1:$I$89,3,0)*VLOOKUP('Données projet'!$B$11,Paramètres!$A$1:$I$89,5,0)</f>
        <v>3.990408004028723E-14</v>
      </c>
      <c r="BF163" s="14">
        <f t="shared" si="167"/>
        <v>6.6713074187844705E-13</v>
      </c>
      <c r="BG163" s="22">
        <f t="shared" si="168"/>
        <v>1.2314189815084623E-12</v>
      </c>
      <c r="BH163" s="62">
        <f t="shared" si="116"/>
        <v>293.33333333333456</v>
      </c>
      <c r="BI163" s="62">
        <f ca="1">AVERAGE(OFFSET($BH$3,0,0,'Données projet'!$E$11+1,1))-AVERAGE(OFFSET($H$3,0,0,'Données projet'!$E$11+1,1))</f>
        <v>90.797383835887558</v>
      </c>
      <c r="BJ163" s="62">
        <f t="shared" si="146"/>
        <v>104.31413437636684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7.3543478954561856E-2</v>
      </c>
      <c r="BQ163" s="23">
        <f>EXP(-LN(2)/25)*BQ162+(1-EXP(-LN(2)/25))/(LN(2)/25)*Calculateur!BL163*Calculateur!BN163*VLOOKUP('Données projet'!$B$11,Paramètres!$A$1:$I$89,3,0)*0.475*44/12</f>
        <v>0.11543835704633959</v>
      </c>
      <c r="BR163" s="23">
        <f>EXP(-LN(2)/2)*BR162+(1-EXP(-LN(2)/2))/(LN(2)/2)*BL163*BO163*VLOOKUP('Données projet'!$B$11,Paramètres!$A$1:$I$89,3,0)*0.475*44/12</f>
        <v>8.0208413197476076E-20</v>
      </c>
      <c r="BS163" s="24">
        <f t="shared" si="169"/>
        <v>0.18898183600090146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304</v>
      </c>
      <c r="BZ163" s="14">
        <f>BY163*VLOOKUP('Données projet'!$B$12,Paramètres!$A$1:$I$89,3,0)*VLOOKUP('Données projet'!$B$12,Paramètres!$A$1:$I$89,5,0)</f>
        <v>189.696</v>
      </c>
      <c r="CA163" s="14">
        <f t="shared" si="170"/>
        <v>47.472736505152469</v>
      </c>
      <c r="CB163" s="22">
        <f t="shared" si="171"/>
        <v>413.06888274647389</v>
      </c>
      <c r="CC163" s="62">
        <f t="shared" si="119"/>
        <v>706.4022160798072</v>
      </c>
      <c r="CD163" s="62">
        <f ca="1">AVERAGE(OFFSET($CC$3,0,0,'Données projet'!$E$12+1,1))-AVERAGE(OFFSET($H$3,0,0,'Données projet'!$E$12+1,1))</f>
        <v>179.44051550872138</v>
      </c>
      <c r="CE163" s="62">
        <f t="shared" si="148"/>
        <v>272.9500808380069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0.38031711657399242</v>
      </c>
      <c r="CL163" s="23">
        <f>EXP(-LN(2)/25)*CL162+(1-EXP(-LN(2)/25))/(LN(2)/25)*Calculateur!CG163*Calculateur!CI163*VLOOKUP('Données projet'!$B$12,Paramètres!$A$1:$I$89,3,0)*0.475*44/12</f>
        <v>0.54586793913236464</v>
      </c>
      <c r="CM163" s="23">
        <f>EXP(-LN(2)/2)*CM162+(1-EXP(-LN(2)/2))/(LN(2)/2)*CG163*CJ163*VLOOKUP('Données projet'!$B$12,Paramètres!$A$1:$I$89,3,0)*0.475*44/12</f>
        <v>5.5857455163765887E-19</v>
      </c>
      <c r="CN163" s="24">
        <f t="shared" si="172"/>
        <v>0.92618505570635712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277.99999999999994</v>
      </c>
      <c r="CU163" s="18">
        <f>CT163*VLOOKUP('Données projet'!$B$13,Paramètres!$A$1:$I$89,3,0)*VLOOKUP('Données projet'!$B$13,Paramètres!$A$1:$I$89,5,0)</f>
        <v>151.78799999999998</v>
      </c>
      <c r="CV163" s="14">
        <f t="shared" si="173"/>
        <v>38.984634390835623</v>
      </c>
      <c r="CW163" s="22">
        <f t="shared" si="174"/>
        <v>332.26233823070532</v>
      </c>
      <c r="CX163" s="62">
        <f t="shared" si="122"/>
        <v>625.59567156403864</v>
      </c>
      <c r="CY163" s="62">
        <f ca="1">AVERAGE(OFFSET($CX$3,0,0,'Données projet'!$E$13+1,1))-AVERAGE(OFFSET($H$3,0,0,'Données projet'!$E$13+1,1))</f>
        <v>159.92263609041913</v>
      </c>
      <c r="CZ163" s="62">
        <f t="shared" si="150"/>
        <v>271.78119133009307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0.4986017161968927</v>
      </c>
      <c r="DG163" s="23">
        <f>EXP(-LN(2)/25)*DG162+(1-EXP(-LN(2)/25))/(LN(2)/25)*Calculateur!DB163*Calculateur!DD163*VLOOKUP('Données projet'!$B$13,Paramètres!$A$1:$I$89,3,0)*0.475*44/12</f>
        <v>0.79606644024690454</v>
      </c>
      <c r="DH163" s="23">
        <f>EXP(-LN(2)/2)*DH162+(1-EXP(-LN(2)/2))/(LN(2)/2)*DB163*DE163*VLOOKUP('Données projet'!$B$13,Paramètres!$A$1:$I$89,3,0)*0.475*44/12</f>
        <v>7.436184146733788E-19</v>
      </c>
      <c r="DI163" s="24">
        <f t="shared" si="175"/>
        <v>1.2946681564437972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-5.4683368944097308E-14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122.60806128440754</v>
      </c>
      <c r="DU163" s="62">
        <f t="shared" si="152"/>
        <v>73.937252053142004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0</v>
      </c>
      <c r="EP163" s="62">
        <f t="shared" si="154"/>
        <v>0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382.55387448074327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0.16450698547234691</v>
      </c>
      <c r="AA164" s="23">
        <f>EXP(-LN(2)/25)*AA163+(1-EXP(-LN(2)/25))/(LN(2)/25)*Calculateur!V164*Calculateur!X164*VLOOKUP('Données projet'!$B$9,Paramètres!$A$1:$I$89,3,0)*0.475*44/12</f>
        <v>0.28272494907957746</v>
      </c>
      <c r="AB164" s="23">
        <f>EXP(-LN(2)/2)*AB163+(1-EXP(-LN(2)/2))/(LN(2)/2)*V164*Y164*VLOOKUP('Données projet'!$B$9,Paramètres!$A$1:$I$89,3,0)*0.475*44/12</f>
        <v>4.3174474538213518E-19</v>
      </c>
      <c r="AC164" s="24">
        <f t="shared" si="163"/>
        <v>0.44723193455192434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269.64423257646359</v>
      </c>
      <c r="AO164" s="62">
        <f t="shared" si="144"/>
        <v>161.0819079811821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8.5265128291212022E-14</v>
      </c>
      <c r="BE164" s="14">
        <f>BD164*VLOOKUP('Données projet'!$B$11,Paramètres!$A$1:$I$89,3,0)*VLOOKUP('Données projet'!$B$11,Paramètres!$A$1:$I$89,5,0)</f>
        <v>3.990408004028723E-14</v>
      </c>
      <c r="BF164" s="14">
        <f t="shared" si="167"/>
        <v>6.6713074187844705E-13</v>
      </c>
      <c r="BG164" s="22">
        <f t="shared" si="168"/>
        <v>1.2314189815084623E-12</v>
      </c>
      <c r="BH164" s="62">
        <f t="shared" si="116"/>
        <v>293.33333333333456</v>
      </c>
      <c r="BI164" s="62">
        <f ca="1">AVERAGE(OFFSET($BH$3,0,0,'Données projet'!$E$11+1,1))-AVERAGE(OFFSET($H$3,0,0,'Données projet'!$E$11+1,1))</f>
        <v>90.797383835887558</v>
      </c>
      <c r="BJ164" s="62">
        <f t="shared" si="146"/>
        <v>104.31413437636684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7.2101336189355783E-2</v>
      </c>
      <c r="BQ164" s="23">
        <f>EXP(-LN(2)/25)*BQ163+(1-EXP(-LN(2)/25))/(LN(2)/25)*Calculateur!BL164*Calculateur!BN164*VLOOKUP('Données projet'!$B$11,Paramètres!$A$1:$I$89,3,0)*0.475*44/12</f>
        <v>0.11228168910226807</v>
      </c>
      <c r="BR164" s="23">
        <f>EXP(-LN(2)/2)*BR163+(1-EXP(-LN(2)/2))/(LN(2)/2)*BL164*BO164*VLOOKUP('Données projet'!$B$11,Paramètres!$A$1:$I$89,3,0)*0.475*44/12</f>
        <v>5.6715912880147906E-20</v>
      </c>
      <c r="BS164" s="24">
        <f t="shared" si="169"/>
        <v>0.18438302529162387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304</v>
      </c>
      <c r="BZ164" s="14">
        <f>BY164*VLOOKUP('Données projet'!$B$12,Paramètres!$A$1:$I$89,3,0)*VLOOKUP('Données projet'!$B$12,Paramètres!$A$1:$I$89,5,0)</f>
        <v>189.696</v>
      </c>
      <c r="CA164" s="14">
        <f t="shared" si="170"/>
        <v>47.472736505152469</v>
      </c>
      <c r="CB164" s="22">
        <f t="shared" si="171"/>
        <v>413.06888274647389</v>
      </c>
      <c r="CC164" s="62">
        <f t="shared" si="119"/>
        <v>706.4022160798072</v>
      </c>
      <c r="CD164" s="62">
        <f ca="1">AVERAGE(OFFSET($CC$3,0,0,'Données projet'!$E$12+1,1))-AVERAGE(OFFSET($H$3,0,0,'Données projet'!$E$12+1,1))</f>
        <v>179.44051550872138</v>
      </c>
      <c r="CE164" s="62">
        <f t="shared" si="148"/>
        <v>272.9500808380069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0.37285932988851234</v>
      </c>
      <c r="CL164" s="23">
        <f>EXP(-LN(2)/25)*CL163+(1-EXP(-LN(2)/25))/(LN(2)/25)*Calculateur!CG164*Calculateur!CI164*VLOOKUP('Données projet'!$B$12,Paramètres!$A$1:$I$89,3,0)*0.475*44/12</f>
        <v>0.53094115163084277</v>
      </c>
      <c r="CM164" s="23">
        <f>EXP(-LN(2)/2)*CM163+(1-EXP(-LN(2)/2))/(LN(2)/2)*CG164*CJ164*VLOOKUP('Données projet'!$B$12,Paramètres!$A$1:$I$89,3,0)*0.475*44/12</f>
        <v>3.9497185326122394E-19</v>
      </c>
      <c r="CN164" s="24">
        <f t="shared" si="172"/>
        <v>0.9038004815193551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277.99999999999994</v>
      </c>
      <c r="CU164" s="18">
        <f>CT164*VLOOKUP('Données projet'!$B$13,Paramètres!$A$1:$I$89,3,0)*VLOOKUP('Données projet'!$B$13,Paramètres!$A$1:$I$89,5,0)</f>
        <v>151.78799999999998</v>
      </c>
      <c r="CV164" s="14">
        <f t="shared" si="173"/>
        <v>38.984634390835623</v>
      </c>
      <c r="CW164" s="22">
        <f t="shared" si="174"/>
        <v>332.26233823070532</v>
      </c>
      <c r="CX164" s="62">
        <f t="shared" si="122"/>
        <v>625.59567156403864</v>
      </c>
      <c r="CY164" s="62">
        <f ca="1">AVERAGE(OFFSET($CX$3,0,0,'Données projet'!$E$13+1,1))-AVERAGE(OFFSET($H$3,0,0,'Données projet'!$E$13+1,1))</f>
        <v>159.92263609041913</v>
      </c>
      <c r="CZ164" s="62">
        <f t="shared" si="150"/>
        <v>271.78119133009307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0.48882444065928943</v>
      </c>
      <c r="DG164" s="23">
        <f>EXP(-LN(2)/25)*DG163+(1-EXP(-LN(2)/25))/(LN(2)/25)*Calculateur!DB164*Calculateur!DD164*VLOOKUP('Données projet'!$B$13,Paramètres!$A$1:$I$89,3,0)*0.475*44/12</f>
        <v>0.77429796157503827</v>
      </c>
      <c r="DH164" s="23">
        <f>EXP(-LN(2)/2)*DH163+(1-EXP(-LN(2)/2))/(LN(2)/2)*DB164*DE164*VLOOKUP('Données projet'!$B$13,Paramètres!$A$1:$I$89,3,0)*0.475*44/12</f>
        <v>5.2581762363073622E-19</v>
      </c>
      <c r="DI164" s="24">
        <f t="shared" si="175"/>
        <v>1.2631224022343277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-5.4683368944097308E-14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122.60806128440754</v>
      </c>
      <c r="DU164" s="62">
        <f t="shared" si="152"/>
        <v>73.937252053142004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0</v>
      </c>
      <c r="EP164" s="62">
        <f t="shared" si="154"/>
        <v>0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382.55387448074327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0.16128110382658764</v>
      </c>
      <c r="AA165" s="23">
        <f>EXP(-LN(2)/25)*AA164+(1-EXP(-LN(2)/25))/(LN(2)/25)*Calculateur!V165*Calculateur!X165*VLOOKUP('Données projet'!$B$9,Paramètres!$A$1:$I$89,3,0)*0.475*44/12</f>
        <v>0.27499382047913751</v>
      </c>
      <c r="AB165" s="23">
        <f>EXP(-LN(2)/2)*AB164+(1-EXP(-LN(2)/2))/(LN(2)/2)*V165*Y165*VLOOKUP('Données projet'!$B$9,Paramètres!$A$1:$I$89,3,0)*0.475*44/12</f>
        <v>3.0528963720136717E-19</v>
      </c>
      <c r="AC165" s="24">
        <f t="shared" si="163"/>
        <v>0.43627492430572512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269.64423257646359</v>
      </c>
      <c r="AO165" s="62">
        <f t="shared" si="144"/>
        <v>161.0819079811821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8.5265128291212022E-14</v>
      </c>
      <c r="BE165" s="14">
        <f>BD165*VLOOKUP('Données projet'!$B$11,Paramètres!$A$1:$I$89,3,0)*VLOOKUP('Données projet'!$B$11,Paramètres!$A$1:$I$89,5,0)</f>
        <v>3.990408004028723E-14</v>
      </c>
      <c r="BF165" s="14">
        <f t="shared" si="167"/>
        <v>6.6713074187844705E-13</v>
      </c>
      <c r="BG165" s="22">
        <f t="shared" si="168"/>
        <v>1.2314189815084623E-12</v>
      </c>
      <c r="BH165" s="62">
        <f t="shared" si="116"/>
        <v>293.33333333333456</v>
      </c>
      <c r="BI165" s="62">
        <f ca="1">AVERAGE(OFFSET($BH$3,0,0,'Données projet'!$E$11+1,1))-AVERAGE(OFFSET($H$3,0,0,'Données projet'!$E$11+1,1))</f>
        <v>90.797383835887558</v>
      </c>
      <c r="BJ165" s="62">
        <f t="shared" si="146"/>
        <v>104.31413437636684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7.0687472964155174E-2</v>
      </c>
      <c r="BQ165" s="23">
        <f>EXP(-LN(2)/25)*BQ164+(1-EXP(-LN(2)/25))/(LN(2)/25)*Calculateur!BL165*Calculateur!BN165*VLOOKUP('Données projet'!$B$11,Paramètres!$A$1:$I$89,3,0)*0.475*44/12</f>
        <v>0.10921134040912915</v>
      </c>
      <c r="BR165" s="23">
        <f>EXP(-LN(2)/2)*BR164+(1-EXP(-LN(2)/2))/(LN(2)/2)*BL165*BO165*VLOOKUP('Données projet'!$B$11,Paramètres!$A$1:$I$89,3,0)*0.475*44/12</f>
        <v>4.0104206598738038E-20</v>
      </c>
      <c r="BS165" s="24">
        <f t="shared" si="169"/>
        <v>0.17989881337328434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304</v>
      </c>
      <c r="BZ165" s="14">
        <f>BY165*VLOOKUP('Données projet'!$B$12,Paramètres!$A$1:$I$89,3,0)*VLOOKUP('Données projet'!$B$12,Paramètres!$A$1:$I$89,5,0)</f>
        <v>189.696</v>
      </c>
      <c r="CA165" s="14">
        <f t="shared" si="170"/>
        <v>47.472736505152469</v>
      </c>
      <c r="CB165" s="22">
        <f t="shared" si="171"/>
        <v>413.06888274647389</v>
      </c>
      <c r="CC165" s="62">
        <f t="shared" si="119"/>
        <v>706.4022160798072</v>
      </c>
      <c r="CD165" s="62">
        <f ca="1">AVERAGE(OFFSET($CC$3,0,0,'Données projet'!$E$12+1,1))-AVERAGE(OFFSET($H$3,0,0,'Données projet'!$E$12+1,1))</f>
        <v>179.44051550872138</v>
      </c>
      <c r="CE165" s="62">
        <f t="shared" si="148"/>
        <v>272.9500808380069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0.36554778585113379</v>
      </c>
      <c r="CL165" s="23">
        <f>EXP(-LN(2)/25)*CL164+(1-EXP(-LN(2)/25))/(LN(2)/25)*Calculateur!CG165*Calculateur!CI165*VLOOKUP('Données projet'!$B$12,Paramètres!$A$1:$I$89,3,0)*0.475*44/12</f>
        <v>0.51642253791851567</v>
      </c>
      <c r="CM165" s="23">
        <f>EXP(-LN(2)/2)*CM164+(1-EXP(-LN(2)/2))/(LN(2)/2)*CG165*CJ165*VLOOKUP('Données projet'!$B$12,Paramètres!$A$1:$I$89,3,0)*0.475*44/12</f>
        <v>2.7928727581882943E-19</v>
      </c>
      <c r="CN165" s="24">
        <f t="shared" si="172"/>
        <v>0.88197032376964946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277.99999999999994</v>
      </c>
      <c r="CU165" s="18">
        <f>CT165*VLOOKUP('Données projet'!$B$13,Paramètres!$A$1:$I$89,3,0)*VLOOKUP('Données projet'!$B$13,Paramètres!$A$1:$I$89,5,0)</f>
        <v>151.78799999999998</v>
      </c>
      <c r="CV165" s="14">
        <f t="shared" si="173"/>
        <v>38.984634390835623</v>
      </c>
      <c r="CW165" s="22">
        <f t="shared" si="174"/>
        <v>332.26233823070532</v>
      </c>
      <c r="CX165" s="62">
        <f t="shared" si="122"/>
        <v>625.59567156403864</v>
      </c>
      <c r="CY165" s="62">
        <f ca="1">AVERAGE(OFFSET($CX$3,0,0,'Données projet'!$E$13+1,1))-AVERAGE(OFFSET($H$3,0,0,'Données projet'!$E$13+1,1))</f>
        <v>159.92263609041913</v>
      </c>
      <c r="CZ165" s="62">
        <f t="shared" si="150"/>
        <v>271.78119133009307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0.47923889153142935</v>
      </c>
      <c r="DG165" s="23">
        <f>EXP(-LN(2)/25)*DG164+(1-EXP(-LN(2)/25))/(LN(2)/25)*Calculateur!DB165*Calculateur!DD165*VLOOKUP('Données projet'!$B$13,Paramètres!$A$1:$I$89,3,0)*0.475*44/12</f>
        <v>0.75312474309720878</v>
      </c>
      <c r="DH165" s="23">
        <f>EXP(-LN(2)/2)*DH164+(1-EXP(-LN(2)/2))/(LN(2)/2)*DB165*DE165*VLOOKUP('Données projet'!$B$13,Paramètres!$A$1:$I$89,3,0)*0.475*44/12</f>
        <v>3.718092073366894E-19</v>
      </c>
      <c r="DI165" s="24">
        <f t="shared" si="175"/>
        <v>1.2323636346286382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-5.4683368944097308E-14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122.60806128440754</v>
      </c>
      <c r="DU165" s="62">
        <f t="shared" si="152"/>
        <v>73.937252053142004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0</v>
      </c>
      <c r="EP165" s="62">
        <f t="shared" si="154"/>
        <v>0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382.55387448074327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0.15811847975230819</v>
      </c>
      <c r="AA166" s="23">
        <f>EXP(-LN(2)/25)*AA165+(1-EXP(-LN(2)/25))/(LN(2)/25)*Calculateur!V166*Calculateur!X166*VLOOKUP('Données projet'!$B$9,Paramètres!$A$1:$I$89,3,0)*0.475*44/12</f>
        <v>0.26747409999683897</v>
      </c>
      <c r="AB166" s="23">
        <f>EXP(-LN(2)/2)*AB165+(1-EXP(-LN(2)/2))/(LN(2)/2)*V166*Y166*VLOOKUP('Données projet'!$B$9,Paramètres!$A$1:$I$89,3,0)*0.475*44/12</f>
        <v>2.1587237269106764E-19</v>
      </c>
      <c r="AC166" s="24">
        <f t="shared" si="163"/>
        <v>0.42559257974914716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269.64423257646359</v>
      </c>
      <c r="AO166" s="62">
        <f t="shared" si="144"/>
        <v>161.0819079811821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8.5265128291212022E-14</v>
      </c>
      <c r="BE166" s="14">
        <f>BD166*VLOOKUP('Données projet'!$B$11,Paramètres!$A$1:$I$89,3,0)*VLOOKUP('Données projet'!$B$11,Paramètres!$A$1:$I$89,5,0)</f>
        <v>3.990408004028723E-14</v>
      </c>
      <c r="BF166" s="14">
        <f t="shared" si="167"/>
        <v>6.6713074187844705E-13</v>
      </c>
      <c r="BG166" s="22">
        <f t="shared" si="168"/>
        <v>1.2314189815084623E-12</v>
      </c>
      <c r="BH166" s="62">
        <f t="shared" si="116"/>
        <v>293.33333333333456</v>
      </c>
      <c r="BI166" s="62">
        <f ca="1">AVERAGE(OFFSET($BH$3,0,0,'Données projet'!$E$11+1,1))-AVERAGE(OFFSET($H$3,0,0,'Données projet'!$E$11+1,1))</f>
        <v>90.797383835887558</v>
      </c>
      <c r="BJ166" s="62">
        <f t="shared" si="146"/>
        <v>104.31413437636684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6.9301334734429343E-2</v>
      </c>
      <c r="BQ166" s="23">
        <f>EXP(-LN(2)/25)*BQ165+(1-EXP(-LN(2)/25))/(LN(2)/25)*Calculateur!BL166*Calculateur!BN166*VLOOKUP('Données projet'!$B$11,Paramètres!$A$1:$I$89,3,0)*0.475*44/12</f>
        <v>0.10622495056246672</v>
      </c>
      <c r="BR166" s="23">
        <f>EXP(-LN(2)/2)*BR165+(1-EXP(-LN(2)/2))/(LN(2)/2)*BL166*BO166*VLOOKUP('Données projet'!$B$11,Paramètres!$A$1:$I$89,3,0)*0.475*44/12</f>
        <v>2.8357956440073953E-20</v>
      </c>
      <c r="BS166" s="24">
        <f t="shared" si="169"/>
        <v>0.17552628529689607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304</v>
      </c>
      <c r="BZ166" s="14">
        <f>BY166*VLOOKUP('Données projet'!$B$12,Paramètres!$A$1:$I$89,3,0)*VLOOKUP('Données projet'!$B$12,Paramètres!$A$1:$I$89,5,0)</f>
        <v>189.696</v>
      </c>
      <c r="CA166" s="14">
        <f t="shared" si="170"/>
        <v>47.472736505152469</v>
      </c>
      <c r="CB166" s="22">
        <f t="shared" si="171"/>
        <v>413.06888274647389</v>
      </c>
      <c r="CC166" s="62">
        <f t="shared" si="119"/>
        <v>706.4022160798072</v>
      </c>
      <c r="CD166" s="62">
        <f ca="1">AVERAGE(OFFSET($CC$3,0,0,'Données projet'!$E$12+1,1))-AVERAGE(OFFSET($H$3,0,0,'Données projet'!$E$12+1,1))</f>
        <v>179.44051550872138</v>
      </c>
      <c r="CE166" s="62">
        <f t="shared" si="148"/>
        <v>272.9500808380069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0.35837961673272672</v>
      </c>
      <c r="CL166" s="23">
        <f>EXP(-LN(2)/25)*CL165+(1-EXP(-LN(2)/25))/(LN(2)/25)*Calculateur!CG166*Calculateur!CI166*VLOOKUP('Données projet'!$B$12,Paramètres!$A$1:$I$89,3,0)*0.475*44/12</f>
        <v>0.50230093646165286</v>
      </c>
      <c r="CM166" s="23">
        <f>EXP(-LN(2)/2)*CM165+(1-EXP(-LN(2)/2))/(LN(2)/2)*CG166*CJ166*VLOOKUP('Données projet'!$B$12,Paramètres!$A$1:$I$89,3,0)*0.475*44/12</f>
        <v>1.9748592663061197E-19</v>
      </c>
      <c r="CN166" s="24">
        <f t="shared" si="172"/>
        <v>0.86068055319437953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277.99999999999994</v>
      </c>
      <c r="CU166" s="18">
        <f>CT166*VLOOKUP('Données projet'!$B$13,Paramètres!$A$1:$I$89,3,0)*VLOOKUP('Données projet'!$B$13,Paramètres!$A$1:$I$89,5,0)</f>
        <v>151.78799999999998</v>
      </c>
      <c r="CV166" s="14">
        <f t="shared" si="173"/>
        <v>38.984634390835623</v>
      </c>
      <c r="CW166" s="22">
        <f t="shared" si="174"/>
        <v>332.26233823070532</v>
      </c>
      <c r="CX166" s="62">
        <f t="shared" si="122"/>
        <v>625.59567156403864</v>
      </c>
      <c r="CY166" s="62">
        <f ca="1">AVERAGE(OFFSET($CX$3,0,0,'Données projet'!$E$13+1,1))-AVERAGE(OFFSET($H$3,0,0,'Données projet'!$E$13+1,1))</f>
        <v>159.92263609041913</v>
      </c>
      <c r="CZ166" s="62">
        <f t="shared" si="150"/>
        <v>271.78119133009307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0.46984130917535893</v>
      </c>
      <c r="DG166" s="23">
        <f>EXP(-LN(2)/25)*DG165+(1-EXP(-LN(2)/25))/(LN(2)/25)*Calculateur!DB166*Calculateur!DD166*VLOOKUP('Données projet'!$B$13,Paramètres!$A$1:$I$89,3,0)*0.475*44/12</f>
        <v>0.73253050739210668</v>
      </c>
      <c r="DH166" s="23">
        <f>EXP(-LN(2)/2)*DH165+(1-EXP(-LN(2)/2))/(LN(2)/2)*DB166*DE166*VLOOKUP('Données projet'!$B$13,Paramètres!$A$1:$I$89,3,0)*0.475*44/12</f>
        <v>2.6290881181536811E-19</v>
      </c>
      <c r="DI166" s="24">
        <f t="shared" si="175"/>
        <v>1.2023718165674655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-5.4683368944097308E-14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122.60806128440754</v>
      </c>
      <c r="DU166" s="62">
        <f t="shared" si="152"/>
        <v>73.937252053142004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0</v>
      </c>
      <c r="EP166" s="62">
        <f t="shared" si="154"/>
        <v>0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382.55387448074327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0.15501787280711515</v>
      </c>
      <c r="AA167" s="23">
        <f>EXP(-LN(2)/25)*AA166+(1-EXP(-LN(2)/25))/(LN(2)/25)*Calculateur!V167*Calculateur!X167*VLOOKUP('Données projet'!$B$9,Paramètres!$A$1:$I$89,3,0)*0.475*44/12</f>
        <v>0.2601600066665738</v>
      </c>
      <c r="AB167" s="23">
        <f>EXP(-LN(2)/2)*AB166+(1-EXP(-LN(2)/2))/(LN(2)/2)*V167*Y167*VLOOKUP('Données projet'!$B$9,Paramètres!$A$1:$I$89,3,0)*0.475*44/12</f>
        <v>1.5264481860068361E-19</v>
      </c>
      <c r="AC167" s="24">
        <f t="shared" si="163"/>
        <v>0.41517787947368895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269.64423257646359</v>
      </c>
      <c r="AO167" s="62">
        <f t="shared" si="144"/>
        <v>161.0819079811821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8.5265128291212022E-14</v>
      </c>
      <c r="BE167" s="14">
        <f>BD167*VLOOKUP('Données projet'!$B$11,Paramètres!$A$1:$I$89,3,0)*VLOOKUP('Données projet'!$B$11,Paramètres!$A$1:$I$89,5,0)</f>
        <v>3.990408004028723E-14</v>
      </c>
      <c r="BF167" s="14">
        <f t="shared" si="167"/>
        <v>6.6713074187844705E-13</v>
      </c>
      <c r="BG167" s="22">
        <f t="shared" si="168"/>
        <v>1.2314189815084623E-12</v>
      </c>
      <c r="BH167" s="62">
        <f t="shared" si="116"/>
        <v>293.33333333333456</v>
      </c>
      <c r="BI167" s="62">
        <f ca="1">AVERAGE(OFFSET($BH$3,0,0,'Données projet'!$E$11+1,1))-AVERAGE(OFFSET($H$3,0,0,'Données projet'!$E$11+1,1))</f>
        <v>90.797383835887558</v>
      </c>
      <c r="BJ167" s="62">
        <f t="shared" si="146"/>
        <v>104.31413437636684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6.7942377829927597E-2</v>
      </c>
      <c r="BQ167" s="23">
        <f>EXP(-LN(2)/25)*BQ166+(1-EXP(-LN(2)/25))/(LN(2)/25)*Calculateur!BL167*Calculateur!BN167*VLOOKUP('Données projet'!$B$11,Paramètres!$A$1:$I$89,3,0)*0.475*44/12</f>
        <v>0.1033202237032087</v>
      </c>
      <c r="BR167" s="23">
        <f>EXP(-LN(2)/2)*BR166+(1-EXP(-LN(2)/2))/(LN(2)/2)*BL167*BO167*VLOOKUP('Données projet'!$B$11,Paramètres!$A$1:$I$89,3,0)*0.475*44/12</f>
        <v>2.0052103299369019E-20</v>
      </c>
      <c r="BS167" s="24">
        <f t="shared" si="169"/>
        <v>0.1712626015331363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304</v>
      </c>
      <c r="BZ167" s="14">
        <f>BY167*VLOOKUP('Données projet'!$B$12,Paramètres!$A$1:$I$89,3,0)*VLOOKUP('Données projet'!$B$12,Paramètres!$A$1:$I$89,5,0)</f>
        <v>189.696</v>
      </c>
      <c r="CA167" s="14">
        <f t="shared" si="170"/>
        <v>47.472736505152469</v>
      </c>
      <c r="CB167" s="22">
        <f t="shared" si="171"/>
        <v>413.06888274647389</v>
      </c>
      <c r="CC167" s="62">
        <f t="shared" si="119"/>
        <v>706.4022160798072</v>
      </c>
      <c r="CD167" s="62">
        <f ca="1">AVERAGE(OFFSET($CC$3,0,0,'Données projet'!$E$12+1,1))-AVERAGE(OFFSET($H$3,0,0,'Données projet'!$E$12+1,1))</f>
        <v>179.44051550872138</v>
      </c>
      <c r="CE167" s="62">
        <f t="shared" si="148"/>
        <v>272.9500808380069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0.35135201103858021</v>
      </c>
      <c r="CL167" s="23">
        <f>EXP(-LN(2)/25)*CL166+(1-EXP(-LN(2)/25))/(LN(2)/25)*Calculateur!CG167*Calculateur!CI167*VLOOKUP('Données projet'!$B$12,Paramètres!$A$1:$I$89,3,0)*0.475*44/12</f>
        <v>0.48856549093925072</v>
      </c>
      <c r="CM167" s="23">
        <f>EXP(-LN(2)/2)*CM166+(1-EXP(-LN(2)/2))/(LN(2)/2)*CG167*CJ167*VLOOKUP('Données projet'!$B$12,Paramètres!$A$1:$I$89,3,0)*0.475*44/12</f>
        <v>1.3964363790941472E-19</v>
      </c>
      <c r="CN167" s="24">
        <f t="shared" si="172"/>
        <v>0.83991750197783088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277.99999999999994</v>
      </c>
      <c r="CU167" s="18">
        <f>CT167*VLOOKUP('Données projet'!$B$13,Paramètres!$A$1:$I$89,3,0)*VLOOKUP('Données projet'!$B$13,Paramètres!$A$1:$I$89,5,0)</f>
        <v>151.78799999999998</v>
      </c>
      <c r="CV167" s="14">
        <f t="shared" si="173"/>
        <v>38.984634390835623</v>
      </c>
      <c r="CW167" s="22">
        <f t="shared" si="174"/>
        <v>332.26233823070532</v>
      </c>
      <c r="CX167" s="62">
        <f t="shared" si="122"/>
        <v>625.59567156403864</v>
      </c>
      <c r="CY167" s="62">
        <f ca="1">AVERAGE(OFFSET($CX$3,0,0,'Données projet'!$E$13+1,1))-AVERAGE(OFFSET($H$3,0,0,'Données projet'!$E$13+1,1))</f>
        <v>159.92263609041913</v>
      </c>
      <c r="CZ167" s="62">
        <f t="shared" si="150"/>
        <v>271.78119133009307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0.46062800767733181</v>
      </c>
      <c r="DG167" s="23">
        <f>EXP(-LN(2)/25)*DG166+(1-EXP(-LN(2)/25))/(LN(2)/25)*Calculateur!DB167*Calculateur!DD167*VLOOKUP('Données projet'!$B$13,Paramètres!$A$1:$I$89,3,0)*0.475*44/12</f>
        <v>0.71249942214536433</v>
      </c>
      <c r="DH167" s="23">
        <f>EXP(-LN(2)/2)*DH166+(1-EXP(-LN(2)/2))/(LN(2)/2)*DB167*DE167*VLOOKUP('Données projet'!$B$13,Paramètres!$A$1:$I$89,3,0)*0.475*44/12</f>
        <v>1.859046036683447E-19</v>
      </c>
      <c r="DI167" s="24">
        <f t="shared" si="175"/>
        <v>1.1731274298226961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-5.4683368944097308E-14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122.60806128440754</v>
      </c>
      <c r="DU167" s="62">
        <f t="shared" si="152"/>
        <v>73.937252053142004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0</v>
      </c>
      <c r="EP167" s="62">
        <f t="shared" si="154"/>
        <v>0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382.55387448074327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0.15197806687293386</v>
      </c>
      <c r="AA168" s="23">
        <f>EXP(-LN(2)/25)*AA167+(1-EXP(-LN(2)/25))/(LN(2)/25)*Calculateur!V168*Calculateur!X168*VLOOKUP('Données projet'!$B$9,Paramètres!$A$1:$I$89,3,0)*0.475*44/12</f>
        <v>0.25304591760305617</v>
      </c>
      <c r="AB168" s="23">
        <f>EXP(-LN(2)/2)*AB167+(1-EXP(-LN(2)/2))/(LN(2)/2)*V168*Y168*VLOOKUP('Données projet'!$B$9,Paramètres!$A$1:$I$89,3,0)*0.475*44/12</f>
        <v>1.0793618634553383E-19</v>
      </c>
      <c r="AC168" s="24">
        <f t="shared" si="163"/>
        <v>0.40502398447599003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269.64423257646359</v>
      </c>
      <c r="AO168" s="62">
        <f t="shared" si="144"/>
        <v>161.0819079811821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8.5265128291212022E-14</v>
      </c>
      <c r="BE168" s="14">
        <f>BD168*VLOOKUP('Données projet'!$B$11,Paramètres!$A$1:$I$89,3,0)*VLOOKUP('Données projet'!$B$11,Paramètres!$A$1:$I$89,5,0)</f>
        <v>3.990408004028723E-14</v>
      </c>
      <c r="BF168" s="14">
        <f t="shared" si="167"/>
        <v>6.6713074187844705E-13</v>
      </c>
      <c r="BG168" s="22">
        <f t="shared" si="168"/>
        <v>1.2314189815084623E-12</v>
      </c>
      <c r="BH168" s="62">
        <f t="shared" si="116"/>
        <v>293.33333333333456</v>
      </c>
      <c r="BI168" s="62">
        <f ca="1">AVERAGE(OFFSET($BH$3,0,0,'Données projet'!$E$11+1,1))-AVERAGE(OFFSET($H$3,0,0,'Données projet'!$E$11+1,1))</f>
        <v>90.797383835887558</v>
      </c>
      <c r="BJ168" s="62">
        <f t="shared" si="146"/>
        <v>104.31413437636684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6.6610069241441264E-2</v>
      </c>
      <c r="BQ168" s="23">
        <f>EXP(-LN(2)/25)*BQ167+(1-EXP(-LN(2)/25))/(LN(2)/25)*Calculateur!BL168*Calculateur!BN168*VLOOKUP('Données projet'!$B$11,Paramètres!$A$1:$I$89,3,0)*0.475*44/12</f>
        <v>0.10049492675267004</v>
      </c>
      <c r="BR168" s="23">
        <f>EXP(-LN(2)/2)*BR167+(1-EXP(-LN(2)/2))/(LN(2)/2)*BL168*BO168*VLOOKUP('Données projet'!$B$11,Paramètres!$A$1:$I$89,3,0)*0.475*44/12</f>
        <v>1.4178978220036976E-20</v>
      </c>
      <c r="BS168" s="24">
        <f t="shared" si="169"/>
        <v>0.1671049959941113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304</v>
      </c>
      <c r="BZ168" s="14">
        <f>BY168*VLOOKUP('Données projet'!$B$12,Paramètres!$A$1:$I$89,3,0)*VLOOKUP('Données projet'!$B$12,Paramètres!$A$1:$I$89,5,0)</f>
        <v>189.696</v>
      </c>
      <c r="CA168" s="14">
        <f t="shared" si="170"/>
        <v>47.472736505152469</v>
      </c>
      <c r="CB168" s="22">
        <f t="shared" si="171"/>
        <v>413.06888274647389</v>
      </c>
      <c r="CC168" s="62">
        <f t="shared" si="119"/>
        <v>706.4022160798072</v>
      </c>
      <c r="CD168" s="62">
        <f ca="1">AVERAGE(OFFSET($CC$3,0,0,'Données projet'!$E$12+1,1))-AVERAGE(OFFSET($H$3,0,0,'Données projet'!$E$12+1,1))</f>
        <v>179.44051550872138</v>
      </c>
      <c r="CE168" s="62">
        <f t="shared" si="148"/>
        <v>272.9500808380069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0.34446221240567965</v>
      </c>
      <c r="CL168" s="23">
        <f>EXP(-LN(2)/25)*CL167+(1-EXP(-LN(2)/25))/(LN(2)/25)*Calculateur!CG168*Calculateur!CI168*VLOOKUP('Données projet'!$B$12,Paramètres!$A$1:$I$89,3,0)*0.475*44/12</f>
        <v>0.4752056418969744</v>
      </c>
      <c r="CM168" s="23">
        <f>EXP(-LN(2)/2)*CM167+(1-EXP(-LN(2)/2))/(LN(2)/2)*CG168*CJ168*VLOOKUP('Données projet'!$B$12,Paramètres!$A$1:$I$89,3,0)*0.475*44/12</f>
        <v>9.8742963315305986E-20</v>
      </c>
      <c r="CN168" s="24">
        <f t="shared" si="172"/>
        <v>0.8196678543026541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277.99999999999994</v>
      </c>
      <c r="CU168" s="18">
        <f>CT168*VLOOKUP('Données projet'!$B$13,Paramètres!$A$1:$I$89,3,0)*VLOOKUP('Données projet'!$B$13,Paramètres!$A$1:$I$89,5,0)</f>
        <v>151.78799999999998</v>
      </c>
      <c r="CV168" s="14">
        <f t="shared" si="173"/>
        <v>38.984634390835623</v>
      </c>
      <c r="CW168" s="22">
        <f t="shared" si="174"/>
        <v>332.26233823070532</v>
      </c>
      <c r="CX168" s="62">
        <f t="shared" si="122"/>
        <v>625.59567156403864</v>
      </c>
      <c r="CY168" s="62">
        <f ca="1">AVERAGE(OFFSET($CX$3,0,0,'Données projet'!$E$13+1,1))-AVERAGE(OFFSET($H$3,0,0,'Données projet'!$E$13+1,1))</f>
        <v>159.92263609041913</v>
      </c>
      <c r="CZ168" s="62">
        <f t="shared" si="150"/>
        <v>271.78119133009307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0.45159537340212197</v>
      </c>
      <c r="DG168" s="23">
        <f>EXP(-LN(2)/25)*DG167+(1-EXP(-LN(2)/25))/(LN(2)/25)*Calculateur!DB168*Calculateur!DD168*VLOOKUP('Données projet'!$B$13,Paramètres!$A$1:$I$89,3,0)*0.475*44/12</f>
        <v>0.69301608797808312</v>
      </c>
      <c r="DH168" s="23">
        <f>EXP(-LN(2)/2)*DH167+(1-EXP(-LN(2)/2))/(LN(2)/2)*DB168*DE168*VLOOKUP('Données projet'!$B$13,Paramètres!$A$1:$I$89,3,0)*0.475*44/12</f>
        <v>1.3145440590768405E-19</v>
      </c>
      <c r="DI168" s="24">
        <f t="shared" si="175"/>
        <v>1.144611461380205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-5.4683368944097308E-14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122.60806128440754</v>
      </c>
      <c r="DU168" s="62">
        <f t="shared" si="152"/>
        <v>73.937252053142004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0</v>
      </c>
      <c r="EP168" s="62">
        <f t="shared" si="154"/>
        <v>0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382.55387448074327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0.14899786967902331</v>
      </c>
      <c r="AA169" s="23">
        <f>EXP(-LN(2)/25)*AA168+(1-EXP(-LN(2)/25))/(LN(2)/25)*Calculateur!V169*Calculateur!X169*VLOOKUP('Données projet'!$B$9,Paramètres!$A$1:$I$89,3,0)*0.475*44/12</f>
        <v>0.24612636367909413</v>
      </c>
      <c r="AB169" s="23">
        <f>EXP(-LN(2)/2)*AB168+(1-EXP(-LN(2)/2))/(LN(2)/2)*V169*Y169*VLOOKUP('Données projet'!$B$9,Paramètres!$A$1:$I$89,3,0)*0.475*44/12</f>
        <v>7.6322409300341816E-20</v>
      </c>
      <c r="AC169" s="24">
        <f t="shared" si="163"/>
        <v>0.39512423335811742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269.64423257646359</v>
      </c>
      <c r="AO169" s="62">
        <f t="shared" si="144"/>
        <v>161.0819079811821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8.5265128291212022E-14</v>
      </c>
      <c r="BE169" s="14">
        <f>BD169*VLOOKUP('Données projet'!$B$11,Paramètres!$A$1:$I$89,3,0)*VLOOKUP('Données projet'!$B$11,Paramètres!$A$1:$I$89,5,0)</f>
        <v>3.990408004028723E-14</v>
      </c>
      <c r="BF169" s="14">
        <f t="shared" si="167"/>
        <v>6.6713074187844705E-13</v>
      </c>
      <c r="BG169" s="22">
        <f t="shared" si="168"/>
        <v>1.2314189815084623E-12</v>
      </c>
      <c r="BH169" s="62">
        <f t="shared" si="116"/>
        <v>293.33333333333456</v>
      </c>
      <c r="BI169" s="62">
        <f ca="1">AVERAGE(OFFSET($BH$3,0,0,'Données projet'!$E$11+1,1))-AVERAGE(OFFSET($H$3,0,0,'Données projet'!$E$11+1,1))</f>
        <v>90.797383835887558</v>
      </c>
      <c r="BJ169" s="62">
        <f t="shared" si="146"/>
        <v>104.31413437636684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6.5303886411747142E-2</v>
      </c>
      <c r="BQ169" s="23">
        <f>EXP(-LN(2)/25)*BQ168+(1-EXP(-LN(2)/25))/(LN(2)/25)*Calculateur!BL169*Calculateur!BN169*VLOOKUP('Données projet'!$B$11,Paramètres!$A$1:$I$89,3,0)*0.475*44/12</f>
        <v>9.7746887695819754E-2</v>
      </c>
      <c r="BR169" s="23">
        <f>EXP(-LN(2)/2)*BR168+(1-EXP(-LN(2)/2))/(LN(2)/2)*BL169*BO169*VLOOKUP('Données projet'!$B$11,Paramètres!$A$1:$I$89,3,0)*0.475*44/12</f>
        <v>1.0026051649684509E-20</v>
      </c>
      <c r="BS169" s="24">
        <f t="shared" si="169"/>
        <v>0.16305077410756691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304</v>
      </c>
      <c r="BZ169" s="14">
        <f>BY169*VLOOKUP('Données projet'!$B$12,Paramètres!$A$1:$I$89,3,0)*VLOOKUP('Données projet'!$B$12,Paramètres!$A$1:$I$89,5,0)</f>
        <v>189.696</v>
      </c>
      <c r="CA169" s="14">
        <f t="shared" si="170"/>
        <v>47.472736505152469</v>
      </c>
      <c r="CB169" s="22">
        <f t="shared" si="171"/>
        <v>413.06888274647389</v>
      </c>
      <c r="CC169" s="62">
        <f t="shared" si="119"/>
        <v>706.4022160798072</v>
      </c>
      <c r="CD169" s="62">
        <f ca="1">AVERAGE(OFFSET($CC$3,0,0,'Données projet'!$E$12+1,1))-AVERAGE(OFFSET($H$3,0,0,'Données projet'!$E$12+1,1))</f>
        <v>179.44051550872138</v>
      </c>
      <c r="CE169" s="62">
        <f t="shared" si="148"/>
        <v>272.9500808380069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0.33770751852160807</v>
      </c>
      <c r="CL169" s="23">
        <f>EXP(-LN(2)/25)*CL168+(1-EXP(-LN(2)/25))/(LN(2)/25)*Calculateur!CG169*Calculateur!CI169*VLOOKUP('Données projet'!$B$12,Paramètres!$A$1:$I$89,3,0)*0.475*44/12</f>
        <v>0.46221111862932301</v>
      </c>
      <c r="CM169" s="23">
        <f>EXP(-LN(2)/2)*CM168+(1-EXP(-LN(2)/2))/(LN(2)/2)*CG169*CJ169*VLOOKUP('Données projet'!$B$12,Paramètres!$A$1:$I$89,3,0)*0.475*44/12</f>
        <v>6.9821818954707359E-20</v>
      </c>
      <c r="CN169" s="24">
        <f t="shared" si="172"/>
        <v>0.79991863715093103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277.99999999999994</v>
      </c>
      <c r="CU169" s="18">
        <f>CT169*VLOOKUP('Données projet'!$B$13,Paramètres!$A$1:$I$89,3,0)*VLOOKUP('Données projet'!$B$13,Paramètres!$A$1:$I$89,5,0)</f>
        <v>151.78799999999998</v>
      </c>
      <c r="CV169" s="14">
        <f t="shared" si="173"/>
        <v>38.984634390835623</v>
      </c>
      <c r="CW169" s="22">
        <f t="shared" si="174"/>
        <v>332.26233823070532</v>
      </c>
      <c r="CX169" s="62">
        <f t="shared" si="122"/>
        <v>625.59567156403864</v>
      </c>
      <c r="CY169" s="62">
        <f ca="1">AVERAGE(OFFSET($CX$3,0,0,'Données projet'!$E$13+1,1))-AVERAGE(OFFSET($H$3,0,0,'Données projet'!$E$13+1,1))</f>
        <v>159.92263609041913</v>
      </c>
      <c r="CZ169" s="62">
        <f t="shared" si="150"/>
        <v>271.78119133009307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0.44273986357568612</v>
      </c>
      <c r="DG169" s="23">
        <f>EXP(-LN(2)/25)*DG168+(1-EXP(-LN(2)/25))/(LN(2)/25)*Calculateur!DB169*Calculateur!DD169*VLOOKUP('Données projet'!$B$13,Paramètres!$A$1:$I$89,3,0)*0.475*44/12</f>
        <v>0.6740655266081903</v>
      </c>
      <c r="DH169" s="23">
        <f>EXP(-LN(2)/2)*DH168+(1-EXP(-LN(2)/2))/(LN(2)/2)*DB169*DE169*VLOOKUP('Données projet'!$B$13,Paramètres!$A$1:$I$89,3,0)*0.475*44/12</f>
        <v>9.295230183417235E-20</v>
      </c>
      <c r="DI169" s="24">
        <f t="shared" si="175"/>
        <v>1.1168053901838764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-5.4683368944097308E-14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122.60806128440754</v>
      </c>
      <c r="DU169" s="62">
        <f t="shared" si="152"/>
        <v>73.937252053142004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0</v>
      </c>
      <c r="EP169" s="62">
        <f t="shared" si="154"/>
        <v>0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382.55387448074327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0.14607611233434453</v>
      </c>
      <c r="AA170" s="23">
        <f>EXP(-LN(2)/25)*AA169+(1-EXP(-LN(2)/25))/(LN(2)/25)*Calculateur!V170*Calculateur!X170*VLOOKUP('Données projet'!$B$9,Paramètres!$A$1:$I$89,3,0)*0.475*44/12</f>
        <v>0.23939602532106635</v>
      </c>
      <c r="AB170" s="23">
        <f>EXP(-LN(2)/2)*AB169+(1-EXP(-LN(2)/2))/(LN(2)/2)*V170*Y170*VLOOKUP('Données projet'!$B$9,Paramètres!$A$1:$I$89,3,0)*0.475*44/12</f>
        <v>5.3968093172766927E-20</v>
      </c>
      <c r="AC170" s="24">
        <f t="shared" si="163"/>
        <v>0.38547213765541088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269.64423257646359</v>
      </c>
      <c r="AO170" s="62">
        <f t="shared" si="144"/>
        <v>161.0819079811821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8.5265128291212022E-14</v>
      </c>
      <c r="BE170" s="14">
        <f>BD170*VLOOKUP('Données projet'!$B$11,Paramètres!$A$1:$I$89,3,0)*VLOOKUP('Données projet'!$B$11,Paramètres!$A$1:$I$89,5,0)</f>
        <v>3.990408004028723E-14</v>
      </c>
      <c r="BF170" s="14">
        <f t="shared" si="167"/>
        <v>6.6713074187844705E-13</v>
      </c>
      <c r="BG170" s="22">
        <f t="shared" si="168"/>
        <v>1.2314189815084623E-12</v>
      </c>
      <c r="BH170" s="62">
        <f t="shared" si="116"/>
        <v>293.33333333333456</v>
      </c>
      <c r="BI170" s="62">
        <f ca="1">AVERAGE(OFFSET($BH$3,0,0,'Données projet'!$E$11+1,1))-AVERAGE(OFFSET($H$3,0,0,'Données projet'!$E$11+1,1))</f>
        <v>90.797383835887558</v>
      </c>
      <c r="BJ170" s="62">
        <f t="shared" si="146"/>
        <v>104.31413437636684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6.4023317030650465E-2</v>
      </c>
      <c r="BQ170" s="23">
        <f>EXP(-LN(2)/25)*BQ169+(1-EXP(-LN(2)/25))/(LN(2)/25)*Calculateur!BL170*Calculateur!BN170*VLOOKUP('Données projet'!$B$11,Paramètres!$A$1:$I$89,3,0)*0.475*44/12</f>
        <v>9.5073993911492141E-2</v>
      </c>
      <c r="BR170" s="23">
        <f>EXP(-LN(2)/2)*BR169+(1-EXP(-LN(2)/2))/(LN(2)/2)*BL170*BO170*VLOOKUP('Données projet'!$B$11,Paramètres!$A$1:$I$89,3,0)*0.475*44/12</f>
        <v>7.0894891100184882E-21</v>
      </c>
      <c r="BS170" s="24">
        <f t="shared" si="169"/>
        <v>0.15909731094214261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304</v>
      </c>
      <c r="BZ170" s="14">
        <f>BY170*VLOOKUP('Données projet'!$B$12,Paramètres!$A$1:$I$89,3,0)*VLOOKUP('Données projet'!$B$12,Paramètres!$A$1:$I$89,5,0)</f>
        <v>189.696</v>
      </c>
      <c r="CA170" s="14">
        <f t="shared" si="170"/>
        <v>47.472736505152469</v>
      </c>
      <c r="CB170" s="22">
        <f t="shared" si="171"/>
        <v>413.06888274647389</v>
      </c>
      <c r="CC170" s="62">
        <f t="shared" si="119"/>
        <v>706.4022160798072</v>
      </c>
      <c r="CD170" s="62">
        <f ca="1">AVERAGE(OFFSET($CC$3,0,0,'Données projet'!$E$12+1,1))-AVERAGE(OFFSET($H$3,0,0,'Données projet'!$E$12+1,1))</f>
        <v>179.44051550872138</v>
      </c>
      <c r="CE170" s="62">
        <f t="shared" si="148"/>
        <v>272.9500808380069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0.33108528006464666</v>
      </c>
      <c r="CL170" s="23">
        <f>EXP(-LN(2)/25)*CL169+(1-EXP(-LN(2)/25))/(LN(2)/25)*Calculateur!CG170*Calculateur!CI170*VLOOKUP('Données projet'!$B$12,Paramètres!$A$1:$I$89,3,0)*0.475*44/12</f>
        <v>0.44957193128377787</v>
      </c>
      <c r="CM170" s="23">
        <f>EXP(-LN(2)/2)*CM169+(1-EXP(-LN(2)/2))/(LN(2)/2)*CG170*CJ170*VLOOKUP('Données projet'!$B$12,Paramètres!$A$1:$I$89,3,0)*0.475*44/12</f>
        <v>4.9371481657652993E-20</v>
      </c>
      <c r="CN170" s="24">
        <f t="shared" si="172"/>
        <v>0.78065721134842447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277.99999999999994</v>
      </c>
      <c r="CU170" s="18">
        <f>CT170*VLOOKUP('Données projet'!$B$13,Paramètres!$A$1:$I$89,3,0)*VLOOKUP('Données projet'!$B$13,Paramètres!$A$1:$I$89,5,0)</f>
        <v>151.78799999999998</v>
      </c>
      <c r="CV170" s="14">
        <f t="shared" si="173"/>
        <v>38.984634390835623</v>
      </c>
      <c r="CW170" s="22">
        <f t="shared" si="174"/>
        <v>332.26233823070532</v>
      </c>
      <c r="CX170" s="62">
        <f t="shared" si="122"/>
        <v>625.59567156403864</v>
      </c>
      <c r="CY170" s="62">
        <f ca="1">AVERAGE(OFFSET($CX$3,0,0,'Données projet'!$E$13+1,1))-AVERAGE(OFFSET($H$3,0,0,'Données projet'!$E$13+1,1))</f>
        <v>159.92263609041913</v>
      </c>
      <c r="CZ170" s="62">
        <f t="shared" si="150"/>
        <v>271.78119133009307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0.43405800489561902</v>
      </c>
      <c r="DG170" s="23">
        <f>EXP(-LN(2)/25)*DG169+(1-EXP(-LN(2)/25))/(LN(2)/25)*Calculateur!DB170*Calculateur!DD170*VLOOKUP('Données projet'!$B$13,Paramètres!$A$1:$I$89,3,0)*0.475*44/12</f>
        <v>0.65563316933552385</v>
      </c>
      <c r="DH170" s="23">
        <f>EXP(-LN(2)/2)*DH169+(1-EXP(-LN(2)/2))/(LN(2)/2)*DB170*DE170*VLOOKUP('Données projet'!$B$13,Paramètres!$A$1:$I$89,3,0)*0.475*44/12</f>
        <v>6.5727202953842027E-20</v>
      </c>
      <c r="DI170" s="24">
        <f t="shared" si="175"/>
        <v>1.0896911742311428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-5.4683368944097308E-14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122.60806128440754</v>
      </c>
      <c r="DU170" s="62">
        <f t="shared" si="152"/>
        <v>73.937252053142004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0</v>
      </c>
      <c r="EP170" s="62">
        <f t="shared" si="154"/>
        <v>0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382.55387448074327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0.1432116488690989</v>
      </c>
      <c r="AA171" s="23">
        <f>EXP(-LN(2)/25)*AA170+(1-EXP(-LN(2)/25))/(LN(2)/25)*Calculateur!V171*Calculateur!X171*VLOOKUP('Données projet'!$B$9,Paramètres!$A$1:$I$89,3,0)*0.475*44/12</f>
        <v>0.23284972841937196</v>
      </c>
      <c r="AB171" s="23">
        <f>EXP(-LN(2)/2)*AB170+(1-EXP(-LN(2)/2))/(LN(2)/2)*V171*Y171*VLOOKUP('Données projet'!$B$9,Paramètres!$A$1:$I$89,3,0)*0.475*44/12</f>
        <v>3.8161204650170914E-20</v>
      </c>
      <c r="AC171" s="24">
        <f t="shared" si="163"/>
        <v>0.37606137728847089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269.64423257646359</v>
      </c>
      <c r="AO171" s="62">
        <f t="shared" si="144"/>
        <v>161.0819079811821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8.5265128291212022E-14</v>
      </c>
      <c r="BE171" s="14">
        <f>BD171*VLOOKUP('Données projet'!$B$11,Paramètres!$A$1:$I$89,3,0)*VLOOKUP('Données projet'!$B$11,Paramètres!$A$1:$I$89,5,0)</f>
        <v>3.990408004028723E-14</v>
      </c>
      <c r="BF171" s="14">
        <f t="shared" si="167"/>
        <v>6.6713074187844705E-13</v>
      </c>
      <c r="BG171" s="22">
        <f t="shared" si="168"/>
        <v>1.2314189815084623E-12</v>
      </c>
      <c r="BH171" s="62">
        <f t="shared" si="116"/>
        <v>293.33333333333456</v>
      </c>
      <c r="BI171" s="62">
        <f ca="1">AVERAGE(OFFSET($BH$3,0,0,'Données projet'!$E$11+1,1))-AVERAGE(OFFSET($H$3,0,0,'Données projet'!$E$11+1,1))</f>
        <v>90.797383835887558</v>
      </c>
      <c r="BJ171" s="62">
        <f t="shared" si="146"/>
        <v>104.31413437636684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6.2767858834046897E-2</v>
      </c>
      <c r="BQ171" s="23">
        <f>EXP(-LN(2)/25)*BQ170+(1-EXP(-LN(2)/25))/(LN(2)/25)*Calculateur!BL171*Calculateur!BN171*VLOOKUP('Données projet'!$B$11,Paramètres!$A$1:$I$89,3,0)*0.475*44/12</f>
        <v>9.2474190548258339E-2</v>
      </c>
      <c r="BR171" s="23">
        <f>EXP(-LN(2)/2)*BR170+(1-EXP(-LN(2)/2))/(LN(2)/2)*BL171*BO171*VLOOKUP('Données projet'!$B$11,Paramètres!$A$1:$I$89,3,0)*0.475*44/12</f>
        <v>5.0130258248422547E-21</v>
      </c>
      <c r="BS171" s="24">
        <f t="shared" si="169"/>
        <v>0.15524204938230524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304</v>
      </c>
      <c r="BZ171" s="14">
        <f>BY171*VLOOKUP('Données projet'!$B$12,Paramètres!$A$1:$I$89,3,0)*VLOOKUP('Données projet'!$B$12,Paramètres!$A$1:$I$89,5,0)</f>
        <v>189.696</v>
      </c>
      <c r="CA171" s="14">
        <f t="shared" si="170"/>
        <v>47.472736505152469</v>
      </c>
      <c r="CB171" s="22">
        <f t="shared" si="171"/>
        <v>413.06888274647389</v>
      </c>
      <c r="CC171" s="62">
        <f t="shared" si="119"/>
        <v>706.4022160798072</v>
      </c>
      <c r="CD171" s="62">
        <f ca="1">AVERAGE(OFFSET($CC$3,0,0,'Données projet'!$E$12+1,1))-AVERAGE(OFFSET($H$3,0,0,'Données projet'!$E$12+1,1))</f>
        <v>179.44051550872138</v>
      </c>
      <c r="CE171" s="62">
        <f t="shared" si="148"/>
        <v>272.9500808380069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0.32459289966465965</v>
      </c>
      <c r="CL171" s="23">
        <f>EXP(-LN(2)/25)*CL170+(1-EXP(-LN(2)/25))/(LN(2)/25)*Calculateur!CG171*Calculateur!CI171*VLOOKUP('Données projet'!$B$12,Paramètres!$A$1:$I$89,3,0)*0.475*44/12</f>
        <v>0.43727836318086261</v>
      </c>
      <c r="CM171" s="23">
        <f>EXP(-LN(2)/2)*CM170+(1-EXP(-LN(2)/2))/(LN(2)/2)*CG171*CJ171*VLOOKUP('Données projet'!$B$12,Paramètres!$A$1:$I$89,3,0)*0.475*44/12</f>
        <v>3.4910909477353679E-20</v>
      </c>
      <c r="CN171" s="24">
        <f t="shared" si="172"/>
        <v>0.7618712628455222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277.99999999999994</v>
      </c>
      <c r="CU171" s="18">
        <f>CT171*VLOOKUP('Données projet'!$B$13,Paramètres!$A$1:$I$89,3,0)*VLOOKUP('Données projet'!$B$13,Paramètres!$A$1:$I$89,5,0)</f>
        <v>151.78799999999998</v>
      </c>
      <c r="CV171" s="14">
        <f t="shared" si="173"/>
        <v>38.984634390835623</v>
      </c>
      <c r="CW171" s="22">
        <f t="shared" si="174"/>
        <v>332.26233823070532</v>
      </c>
      <c r="CX171" s="62">
        <f t="shared" si="122"/>
        <v>625.59567156403864</v>
      </c>
      <c r="CY171" s="62">
        <f ca="1">AVERAGE(OFFSET($CX$3,0,0,'Données projet'!$E$13+1,1))-AVERAGE(OFFSET($H$3,0,0,'Données projet'!$E$13+1,1))</f>
        <v>159.92263609041913</v>
      </c>
      <c r="CZ171" s="62">
        <f t="shared" si="150"/>
        <v>271.78119133009307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0.42554639216885709</v>
      </c>
      <c r="DG171" s="23">
        <f>EXP(-LN(2)/25)*DG170+(1-EXP(-LN(2)/25))/(LN(2)/25)*Calculateur!DB171*Calculateur!DD171*VLOOKUP('Données projet'!$B$13,Paramètres!$A$1:$I$89,3,0)*0.475*44/12</f>
        <v>0.63770484584179399</v>
      </c>
      <c r="DH171" s="23">
        <f>EXP(-LN(2)/2)*DH170+(1-EXP(-LN(2)/2))/(LN(2)/2)*DB171*DE171*VLOOKUP('Données projet'!$B$13,Paramètres!$A$1:$I$89,3,0)*0.475*44/12</f>
        <v>4.6476150917086175E-20</v>
      </c>
      <c r="DI171" s="24">
        <f t="shared" si="175"/>
        <v>1.0632512380106511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-5.4683368944097308E-14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122.60806128440754</v>
      </c>
      <c r="DU171" s="62">
        <f t="shared" si="152"/>
        <v>73.937252053142004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0</v>
      </c>
      <c r="EP171" s="62">
        <f t="shared" si="154"/>
        <v>0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382.55387448074327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0.14040335578525653</v>
      </c>
      <c r="AA172" s="23">
        <f>EXP(-LN(2)/25)*AA171+(1-EXP(-LN(2)/25))/(LN(2)/25)*Calculateur!V172*Calculateur!X172*VLOOKUP('Données projet'!$B$9,Paramètres!$A$1:$I$89,3,0)*0.475*44/12</f>
        <v>0.22648244035070919</v>
      </c>
      <c r="AB172" s="23">
        <f>EXP(-LN(2)/2)*AB171+(1-EXP(-LN(2)/2))/(LN(2)/2)*V172*Y172*VLOOKUP('Données projet'!$B$9,Paramètres!$A$1:$I$89,3,0)*0.475*44/12</f>
        <v>2.6984046586383467E-20</v>
      </c>
      <c r="AC172" s="24">
        <f t="shared" si="163"/>
        <v>0.36688579613596572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269.64423257646359</v>
      </c>
      <c r="AO172" s="62">
        <f t="shared" si="144"/>
        <v>161.0819079811821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8.5265128291212022E-14</v>
      </c>
      <c r="BE172" s="14">
        <f>BD172*VLOOKUP('Données projet'!$B$11,Paramètres!$A$1:$I$89,3,0)*VLOOKUP('Données projet'!$B$11,Paramètres!$A$1:$I$89,5,0)</f>
        <v>3.990408004028723E-14</v>
      </c>
      <c r="BF172" s="14">
        <f t="shared" si="167"/>
        <v>6.6713074187844705E-13</v>
      </c>
      <c r="BG172" s="22">
        <f t="shared" si="168"/>
        <v>1.2314189815084623E-12</v>
      </c>
      <c r="BH172" s="62">
        <f t="shared" si="116"/>
        <v>293.33333333333456</v>
      </c>
      <c r="BI172" s="62">
        <f ca="1">AVERAGE(OFFSET($BH$3,0,0,'Données projet'!$E$11+1,1))-AVERAGE(OFFSET($H$3,0,0,'Données projet'!$E$11+1,1))</f>
        <v>90.797383835887558</v>
      </c>
      <c r="BJ172" s="62">
        <f t="shared" si="146"/>
        <v>104.31413437636684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6.1537019406924832E-2</v>
      </c>
      <c r="BQ172" s="23">
        <f>EXP(-LN(2)/25)*BQ171+(1-EXP(-LN(2)/25))/(LN(2)/25)*Calculateur!BL172*Calculateur!BN172*VLOOKUP('Données projet'!$B$11,Paramètres!$A$1:$I$89,3,0)*0.475*44/12</f>
        <v>8.9945478944709889E-2</v>
      </c>
      <c r="BR172" s="23">
        <f>EXP(-LN(2)/2)*BR171+(1-EXP(-LN(2)/2))/(LN(2)/2)*BL172*BO172*VLOOKUP('Données projet'!$B$11,Paramètres!$A$1:$I$89,3,0)*0.475*44/12</f>
        <v>3.5447445550092441E-21</v>
      </c>
      <c r="BS172" s="24">
        <f t="shared" si="169"/>
        <v>0.15148249835163471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304</v>
      </c>
      <c r="BZ172" s="14">
        <f>BY172*VLOOKUP('Données projet'!$B$12,Paramètres!$A$1:$I$89,3,0)*VLOOKUP('Données projet'!$B$12,Paramètres!$A$1:$I$89,5,0)</f>
        <v>189.696</v>
      </c>
      <c r="CA172" s="14">
        <f t="shared" si="170"/>
        <v>47.472736505152469</v>
      </c>
      <c r="CB172" s="22">
        <f t="shared" si="171"/>
        <v>413.06888274647389</v>
      </c>
      <c r="CC172" s="62">
        <f t="shared" si="119"/>
        <v>706.4022160798072</v>
      </c>
      <c r="CD172" s="62">
        <f ca="1">AVERAGE(OFFSET($CC$3,0,0,'Données projet'!$E$12+1,1))-AVERAGE(OFFSET($H$3,0,0,'Données projet'!$E$12+1,1))</f>
        <v>179.44051550872138</v>
      </c>
      <c r="CE172" s="62">
        <f t="shared" si="148"/>
        <v>272.9500808380069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0.31822783088435536</v>
      </c>
      <c r="CL172" s="23">
        <f>EXP(-LN(2)/25)*CL171+(1-EXP(-LN(2)/25))/(LN(2)/25)*Calculateur!CG172*Calculateur!CI172*VLOOKUP('Données projet'!$B$12,Paramètres!$A$1:$I$89,3,0)*0.475*44/12</f>
        <v>0.42532096334421221</v>
      </c>
      <c r="CM172" s="23">
        <f>EXP(-LN(2)/2)*CM171+(1-EXP(-LN(2)/2))/(LN(2)/2)*CG172*CJ172*VLOOKUP('Données projet'!$B$12,Paramètres!$A$1:$I$89,3,0)*0.475*44/12</f>
        <v>2.4685740828826497E-20</v>
      </c>
      <c r="CN172" s="24">
        <f t="shared" si="172"/>
        <v>0.74354879422856757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277.99999999999994</v>
      </c>
      <c r="CU172" s="18">
        <f>CT172*VLOOKUP('Données projet'!$B$13,Paramètres!$A$1:$I$89,3,0)*VLOOKUP('Données projet'!$B$13,Paramètres!$A$1:$I$89,5,0)</f>
        <v>151.78799999999998</v>
      </c>
      <c r="CV172" s="14">
        <f t="shared" si="173"/>
        <v>38.984634390835623</v>
      </c>
      <c r="CW172" s="22">
        <f t="shared" si="174"/>
        <v>332.26233823070532</v>
      </c>
      <c r="CX172" s="62">
        <f t="shared" si="122"/>
        <v>625.59567156403864</v>
      </c>
      <c r="CY172" s="62">
        <f ca="1">AVERAGE(OFFSET($CX$3,0,0,'Données projet'!$E$13+1,1))-AVERAGE(OFFSET($H$3,0,0,'Données projet'!$E$13+1,1))</f>
        <v>159.92263609041913</v>
      </c>
      <c r="CZ172" s="62">
        <f t="shared" si="150"/>
        <v>271.78119133009307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0.41720168697609583</v>
      </c>
      <c r="DG172" s="23">
        <f>EXP(-LN(2)/25)*DG171+(1-EXP(-LN(2)/25))/(LN(2)/25)*Calculateur!DB172*Calculateur!DD172*VLOOKUP('Données projet'!$B$13,Paramètres!$A$1:$I$89,3,0)*0.475*44/12</f>
        <v>0.62026677329680979</v>
      </c>
      <c r="DH172" s="23">
        <f>EXP(-LN(2)/2)*DH171+(1-EXP(-LN(2)/2))/(LN(2)/2)*DB172*DE172*VLOOKUP('Données projet'!$B$13,Paramètres!$A$1:$I$89,3,0)*0.475*44/12</f>
        <v>3.2863601476921014E-20</v>
      </c>
      <c r="DI172" s="24">
        <f t="shared" si="175"/>
        <v>1.0374684602729056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-5.4683368944097308E-14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122.60806128440754</v>
      </c>
      <c r="DU172" s="62">
        <f t="shared" si="152"/>
        <v>73.937252053142004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0</v>
      </c>
      <c r="EP172" s="62">
        <f t="shared" si="154"/>
        <v>0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382.55387448074327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0.13765013161589867</v>
      </c>
      <c r="AA173" s="23">
        <f>EXP(-LN(2)/25)*AA172+(1-EXP(-LN(2)/25))/(LN(2)/25)*Calculateur!V173*Calculateur!X173*VLOOKUP('Données projet'!$B$9,Paramètres!$A$1:$I$89,3,0)*0.475*44/12</f>
        <v>0.22028926610912514</v>
      </c>
      <c r="AB173" s="23">
        <f>EXP(-LN(2)/2)*AB172+(1-EXP(-LN(2)/2))/(LN(2)/2)*V173*Y173*VLOOKUP('Données projet'!$B$9,Paramètres!$A$1:$I$89,3,0)*0.475*44/12</f>
        <v>1.908060232508546E-20</v>
      </c>
      <c r="AC173" s="24">
        <f t="shared" si="163"/>
        <v>0.35793939772502381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269.64423257646359</v>
      </c>
      <c r="AO173" s="62">
        <f t="shared" si="144"/>
        <v>161.0819079811821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8.5265128291212022E-14</v>
      </c>
      <c r="BE173" s="14">
        <f>BD173*VLOOKUP('Données projet'!$B$11,Paramètres!$A$1:$I$89,3,0)*VLOOKUP('Données projet'!$B$11,Paramètres!$A$1:$I$89,5,0)</f>
        <v>3.990408004028723E-14</v>
      </c>
      <c r="BF173" s="14">
        <f t="shared" si="167"/>
        <v>6.6713074187844705E-13</v>
      </c>
      <c r="BG173" s="22">
        <f t="shared" si="168"/>
        <v>1.2314189815084623E-12</v>
      </c>
      <c r="BH173" s="62">
        <f t="shared" si="116"/>
        <v>293.33333333333456</v>
      </c>
      <c r="BI173" s="62">
        <f ca="1">AVERAGE(OFFSET($BH$3,0,0,'Données projet'!$E$11+1,1))-AVERAGE(OFFSET($H$3,0,0,'Données projet'!$E$11+1,1))</f>
        <v>90.797383835887558</v>
      </c>
      <c r="BJ173" s="62">
        <f t="shared" si="146"/>
        <v>104.31413437636684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6.0330315990230712E-2</v>
      </c>
      <c r="BQ173" s="23">
        <f>EXP(-LN(2)/25)*BQ172+(1-EXP(-LN(2)/25))/(LN(2)/25)*Calculateur!BL173*Calculateur!BN173*VLOOKUP('Données projet'!$B$11,Paramètres!$A$1:$I$89,3,0)*0.475*44/12</f>
        <v>8.7485915092939626E-2</v>
      </c>
      <c r="BR173" s="23">
        <f>EXP(-LN(2)/2)*BR172+(1-EXP(-LN(2)/2))/(LN(2)/2)*BL173*BO173*VLOOKUP('Données projet'!$B$11,Paramètres!$A$1:$I$89,3,0)*0.475*44/12</f>
        <v>2.5065129124211274E-21</v>
      </c>
      <c r="BS173" s="24">
        <f t="shared" si="169"/>
        <v>0.14781623108317032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304</v>
      </c>
      <c r="BZ173" s="14">
        <f>BY173*VLOOKUP('Données projet'!$B$12,Paramètres!$A$1:$I$89,3,0)*VLOOKUP('Données projet'!$B$12,Paramètres!$A$1:$I$89,5,0)</f>
        <v>189.696</v>
      </c>
      <c r="CA173" s="14">
        <f t="shared" si="170"/>
        <v>47.472736505152469</v>
      </c>
      <c r="CB173" s="22">
        <f t="shared" si="171"/>
        <v>413.06888274647389</v>
      </c>
      <c r="CC173" s="62">
        <f t="shared" si="119"/>
        <v>706.4022160798072</v>
      </c>
      <c r="CD173" s="62">
        <f ca="1">AVERAGE(OFFSET($CC$3,0,0,'Données projet'!$E$12+1,1))-AVERAGE(OFFSET($H$3,0,0,'Données projet'!$E$12+1,1))</f>
        <v>179.44051550872138</v>
      </c>
      <c r="CE173" s="62">
        <f t="shared" si="148"/>
        <v>272.9500808380069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0.31198757722052423</v>
      </c>
      <c r="CL173" s="23">
        <f>EXP(-LN(2)/25)*CL172+(1-EXP(-LN(2)/25))/(LN(2)/25)*Calculateur!CG173*Calculateur!CI173*VLOOKUP('Données projet'!$B$12,Paramètres!$A$1:$I$89,3,0)*0.475*44/12</f>
        <v>0.41369053923490734</v>
      </c>
      <c r="CM173" s="23">
        <f>EXP(-LN(2)/2)*CM172+(1-EXP(-LN(2)/2))/(LN(2)/2)*CG173*CJ173*VLOOKUP('Données projet'!$B$12,Paramètres!$A$1:$I$89,3,0)*0.475*44/12</f>
        <v>1.745545473867684E-20</v>
      </c>
      <c r="CN173" s="24">
        <f t="shared" si="172"/>
        <v>0.72567811645543157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277.99999999999994</v>
      </c>
      <c r="CU173" s="18">
        <f>CT173*VLOOKUP('Données projet'!$B$13,Paramètres!$A$1:$I$89,3,0)*VLOOKUP('Données projet'!$B$13,Paramètres!$A$1:$I$89,5,0)</f>
        <v>151.78799999999998</v>
      </c>
      <c r="CV173" s="14">
        <f t="shared" si="173"/>
        <v>38.984634390835623</v>
      </c>
      <c r="CW173" s="22">
        <f t="shared" si="174"/>
        <v>332.26233823070532</v>
      </c>
      <c r="CX173" s="62">
        <f t="shared" si="122"/>
        <v>625.59567156403864</v>
      </c>
      <c r="CY173" s="62">
        <f ca="1">AVERAGE(OFFSET($CX$3,0,0,'Données projet'!$E$13+1,1))-AVERAGE(OFFSET($H$3,0,0,'Données projet'!$E$13+1,1))</f>
        <v>159.92263609041913</v>
      </c>
      <c r="CZ173" s="62">
        <f t="shared" si="150"/>
        <v>271.78119133009307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0.409020616362397</v>
      </c>
      <c r="DG173" s="23">
        <f>EXP(-LN(2)/25)*DG172+(1-EXP(-LN(2)/25))/(LN(2)/25)*Calculateur!DB173*Calculateur!DD173*VLOOKUP('Données projet'!$B$13,Paramètres!$A$1:$I$89,3,0)*0.475*44/12</f>
        <v>0.60330554576259654</v>
      </c>
      <c r="DH173" s="23">
        <f>EXP(-LN(2)/2)*DH172+(1-EXP(-LN(2)/2))/(LN(2)/2)*DB173*DE173*VLOOKUP('Données projet'!$B$13,Paramètres!$A$1:$I$89,3,0)*0.475*44/12</f>
        <v>2.3238075458543087E-20</v>
      </c>
      <c r="DI173" s="24">
        <f t="shared" si="175"/>
        <v>1.0123261621249935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-5.4683368944097308E-14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122.60806128440754</v>
      </c>
      <c r="DU173" s="62">
        <f t="shared" si="152"/>
        <v>73.937252053142004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0</v>
      </c>
      <c r="EP173" s="62">
        <f t="shared" si="154"/>
        <v>0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382.55387448074327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0.13495089649320099</v>
      </c>
      <c r="AA174" s="23">
        <f>EXP(-LN(2)/25)*AA173+(1-EXP(-LN(2)/25))/(LN(2)/25)*Calculateur!V174*Calculateur!X174*VLOOKUP('Données projet'!$B$9,Paramètres!$A$1:$I$89,3,0)*0.475*44/12</f>
        <v>0.21426544454286209</v>
      </c>
      <c r="AB174" s="23">
        <f>EXP(-LN(2)/2)*AB173+(1-EXP(-LN(2)/2))/(LN(2)/2)*V174*Y174*VLOOKUP('Données projet'!$B$9,Paramètres!$A$1:$I$89,3,0)*0.475*44/12</f>
        <v>1.3492023293191735E-20</v>
      </c>
      <c r="AC174" s="24">
        <f t="shared" si="163"/>
        <v>0.34921634103606308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269.64423257646359</v>
      </c>
      <c r="AO174" s="62">
        <f t="shared" si="144"/>
        <v>161.0819079811821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8.5265128291212022E-14</v>
      </c>
      <c r="BE174" s="14">
        <f>BD174*VLOOKUP('Données projet'!$B$11,Paramètres!$A$1:$I$89,3,0)*VLOOKUP('Données projet'!$B$11,Paramètres!$A$1:$I$89,5,0)</f>
        <v>3.990408004028723E-14</v>
      </c>
      <c r="BF174" s="14">
        <f t="shared" si="167"/>
        <v>6.6713074187844705E-13</v>
      </c>
      <c r="BG174" s="22">
        <f t="shared" si="168"/>
        <v>1.2314189815084623E-12</v>
      </c>
      <c r="BH174" s="62">
        <f t="shared" si="116"/>
        <v>293.33333333333456</v>
      </c>
      <c r="BI174" s="62">
        <f ca="1">AVERAGE(OFFSET($BH$3,0,0,'Données projet'!$E$11+1,1))-AVERAGE(OFFSET($H$3,0,0,'Données projet'!$E$11+1,1))</f>
        <v>90.797383835887558</v>
      </c>
      <c r="BJ174" s="62">
        <f t="shared" si="146"/>
        <v>104.31413437636684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5.9147275291521556E-2</v>
      </c>
      <c r="BQ174" s="23">
        <f>EXP(-LN(2)/25)*BQ173+(1-EXP(-LN(2)/25))/(LN(2)/25)*Calculateur!BL174*Calculateur!BN174*VLOOKUP('Données projet'!$B$11,Paramètres!$A$1:$I$89,3,0)*0.475*44/12</f>
        <v>8.5093608144038865E-2</v>
      </c>
      <c r="BR174" s="23">
        <f>EXP(-LN(2)/2)*BR173+(1-EXP(-LN(2)/2))/(LN(2)/2)*BL174*BO174*VLOOKUP('Données projet'!$B$11,Paramètres!$A$1:$I$89,3,0)*0.475*44/12</f>
        <v>1.772372277504622E-21</v>
      </c>
      <c r="BS174" s="24">
        <f t="shared" si="169"/>
        <v>0.14424088343556041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304</v>
      </c>
      <c r="BZ174" s="14">
        <f>BY174*VLOOKUP('Données projet'!$B$12,Paramètres!$A$1:$I$89,3,0)*VLOOKUP('Données projet'!$B$12,Paramètres!$A$1:$I$89,5,0)</f>
        <v>189.696</v>
      </c>
      <c r="CA174" s="14">
        <f t="shared" si="170"/>
        <v>47.472736505152469</v>
      </c>
      <c r="CB174" s="22">
        <f t="shared" si="171"/>
        <v>413.06888274647389</v>
      </c>
      <c r="CC174" s="62">
        <f t="shared" si="119"/>
        <v>706.4022160798072</v>
      </c>
      <c r="CD174" s="62">
        <f ca="1">AVERAGE(OFFSET($CC$3,0,0,'Données projet'!$E$12+1,1))-AVERAGE(OFFSET($H$3,0,0,'Données projet'!$E$12+1,1))</f>
        <v>179.44051550872138</v>
      </c>
      <c r="CE174" s="62">
        <f t="shared" si="148"/>
        <v>272.9500808380069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0.3058696911248619</v>
      </c>
      <c r="CL174" s="23">
        <f>EXP(-LN(2)/25)*CL173+(1-EXP(-LN(2)/25))/(LN(2)/25)*Calculateur!CG174*Calculateur!CI174*VLOOKUP('Données projet'!$B$12,Paramètres!$A$1:$I$89,3,0)*0.475*44/12</f>
        <v>0.40237814968448882</v>
      </c>
      <c r="CM174" s="23">
        <f>EXP(-LN(2)/2)*CM173+(1-EXP(-LN(2)/2))/(LN(2)/2)*CG174*CJ174*VLOOKUP('Données projet'!$B$12,Paramètres!$A$1:$I$89,3,0)*0.475*44/12</f>
        <v>1.2342870414413248E-20</v>
      </c>
      <c r="CN174" s="24">
        <f t="shared" si="172"/>
        <v>0.70824784080935066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277.99999999999994</v>
      </c>
      <c r="CU174" s="18">
        <f>CT174*VLOOKUP('Données projet'!$B$13,Paramètres!$A$1:$I$89,3,0)*VLOOKUP('Données projet'!$B$13,Paramètres!$A$1:$I$89,5,0)</f>
        <v>151.78799999999998</v>
      </c>
      <c r="CV174" s="14">
        <f t="shared" si="173"/>
        <v>38.984634390835623</v>
      </c>
      <c r="CW174" s="22">
        <f t="shared" si="174"/>
        <v>332.26233823070532</v>
      </c>
      <c r="CX174" s="62">
        <f t="shared" si="122"/>
        <v>625.59567156403864</v>
      </c>
      <c r="CY174" s="62">
        <f ca="1">AVERAGE(OFFSET($CX$3,0,0,'Données projet'!$E$13+1,1))-AVERAGE(OFFSET($H$3,0,0,'Données projet'!$E$13+1,1))</f>
        <v>159.92263609041913</v>
      </c>
      <c r="CZ174" s="62">
        <f t="shared" si="150"/>
        <v>271.78119133009307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0.4009999715534725</v>
      </c>
      <c r="DG174" s="23">
        <f>EXP(-LN(2)/25)*DG173+(1-EXP(-LN(2)/25))/(LN(2)/25)*Calculateur!DB174*Calculateur!DD174*VLOOKUP('Données projet'!$B$13,Paramètres!$A$1:$I$89,3,0)*0.475*44/12</f>
        <v>0.58680812388725856</v>
      </c>
      <c r="DH174" s="23">
        <f>EXP(-LN(2)/2)*DH173+(1-EXP(-LN(2)/2))/(LN(2)/2)*DB174*DE174*VLOOKUP('Données projet'!$B$13,Paramètres!$A$1:$I$89,3,0)*0.475*44/12</f>
        <v>1.6431800738460507E-20</v>
      </c>
      <c r="DI174" s="24">
        <f t="shared" si="175"/>
        <v>0.98780809544073112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-5.4683368944097308E-14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122.60806128440754</v>
      </c>
      <c r="DU174" s="62">
        <f t="shared" si="152"/>
        <v>73.937252053142004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0</v>
      </c>
      <c r="EP174" s="62">
        <f t="shared" si="154"/>
        <v>0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382.55387448074327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0.13230459172488857</v>
      </c>
      <c r="AA175" s="23">
        <f>EXP(-LN(2)/25)*AA174+(1-EXP(-LN(2)/25))/(LN(2)/25)*Calculateur!V175*Calculateur!X175*VLOOKUP('Données projet'!$B$9,Paramètres!$A$1:$I$89,3,0)*0.475*44/12</f>
        <v>0.20840634469410751</v>
      </c>
      <c r="AB175" s="23">
        <f>EXP(-LN(2)/2)*AB174+(1-EXP(-LN(2)/2))/(LN(2)/2)*V175*Y175*VLOOKUP('Données projet'!$B$9,Paramètres!$A$1:$I$89,3,0)*0.475*44/12</f>
        <v>9.5403011625427316E-21</v>
      </c>
      <c r="AC175" s="24">
        <f t="shared" si="163"/>
        <v>0.34071093641899608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269.64423257646359</v>
      </c>
      <c r="AO175" s="62">
        <f t="shared" si="144"/>
        <v>161.0819079811821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8.5265128291212022E-14</v>
      </c>
      <c r="BE175" s="14">
        <f>BD175*VLOOKUP('Données projet'!$B$11,Paramètres!$A$1:$I$89,3,0)*VLOOKUP('Données projet'!$B$11,Paramètres!$A$1:$I$89,5,0)</f>
        <v>3.990408004028723E-14</v>
      </c>
      <c r="BF175" s="14">
        <f t="shared" si="167"/>
        <v>6.6713074187844705E-13</v>
      </c>
      <c r="BG175" s="22">
        <f t="shared" si="168"/>
        <v>1.2314189815084623E-12</v>
      </c>
      <c r="BH175" s="62">
        <f t="shared" si="116"/>
        <v>293.33333333333456</v>
      </c>
      <c r="BI175" s="62">
        <f ca="1">AVERAGE(OFFSET($BH$3,0,0,'Données projet'!$E$11+1,1))-AVERAGE(OFFSET($H$3,0,0,'Données projet'!$E$11+1,1))</f>
        <v>90.797383835887558</v>
      </c>
      <c r="BJ175" s="62">
        <f t="shared" si="146"/>
        <v>104.31413437636684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5.798743329933051E-2</v>
      </c>
      <c r="BQ175" s="23">
        <f>EXP(-LN(2)/25)*BQ174+(1-EXP(-LN(2)/25))/(LN(2)/25)*Calculateur!BL175*Calculateur!BN175*VLOOKUP('Données projet'!$B$11,Paramètres!$A$1:$I$89,3,0)*0.475*44/12</f>
        <v>8.2766718954461749E-2</v>
      </c>
      <c r="BR175" s="23">
        <f>EXP(-LN(2)/2)*BR174+(1-EXP(-LN(2)/2))/(LN(2)/2)*BL175*BO175*VLOOKUP('Données projet'!$B$11,Paramètres!$A$1:$I$89,3,0)*0.475*44/12</f>
        <v>1.2532564562105637E-21</v>
      </c>
      <c r="BS175" s="24">
        <f t="shared" si="169"/>
        <v>0.14075415225379226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304</v>
      </c>
      <c r="BZ175" s="14">
        <f>BY175*VLOOKUP('Données projet'!$B$12,Paramètres!$A$1:$I$89,3,0)*VLOOKUP('Données projet'!$B$12,Paramètres!$A$1:$I$89,5,0)</f>
        <v>189.696</v>
      </c>
      <c r="CA175" s="14">
        <f t="shared" si="170"/>
        <v>47.472736505152469</v>
      </c>
      <c r="CB175" s="22">
        <f t="shared" si="171"/>
        <v>413.06888274647389</v>
      </c>
      <c r="CC175" s="62">
        <f t="shared" si="119"/>
        <v>706.4022160798072</v>
      </c>
      <c r="CD175" s="62">
        <f ca="1">AVERAGE(OFFSET($CC$3,0,0,'Données projet'!$E$12+1,1))-AVERAGE(OFFSET($H$3,0,0,'Données projet'!$E$12+1,1))</f>
        <v>179.44051550872138</v>
      </c>
      <c r="CE175" s="62">
        <f t="shared" si="148"/>
        <v>272.9500808380069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0.29987177304399348</v>
      </c>
      <c r="CL175" s="23">
        <f>EXP(-LN(2)/25)*CL174+(1-EXP(-LN(2)/25))/(LN(2)/25)*Calculateur!CG175*Calculateur!CI175*VLOOKUP('Données projet'!$B$12,Paramètres!$A$1:$I$89,3,0)*0.475*44/12</f>
        <v>0.39137509802121923</v>
      </c>
      <c r="CM175" s="23">
        <f>EXP(-LN(2)/2)*CM174+(1-EXP(-LN(2)/2))/(LN(2)/2)*CG175*CJ175*VLOOKUP('Données projet'!$B$12,Paramètres!$A$1:$I$89,3,0)*0.475*44/12</f>
        <v>8.7277273693384198E-21</v>
      </c>
      <c r="CN175" s="24">
        <f t="shared" si="172"/>
        <v>0.69124687106521265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277.99999999999994</v>
      </c>
      <c r="CU175" s="18">
        <f>CT175*VLOOKUP('Données projet'!$B$13,Paramètres!$A$1:$I$89,3,0)*VLOOKUP('Données projet'!$B$13,Paramètres!$A$1:$I$89,5,0)</f>
        <v>151.78799999999998</v>
      </c>
      <c r="CV175" s="14">
        <f t="shared" si="173"/>
        <v>38.984634390835623</v>
      </c>
      <c r="CW175" s="22">
        <f t="shared" si="174"/>
        <v>332.26233823070532</v>
      </c>
      <c r="CX175" s="62">
        <f t="shared" si="122"/>
        <v>625.59567156403864</v>
      </c>
      <c r="CY175" s="62">
        <f ca="1">AVERAGE(OFFSET($CX$3,0,0,'Données projet'!$E$13+1,1))-AVERAGE(OFFSET($H$3,0,0,'Données projet'!$E$13+1,1))</f>
        <v>159.92263609041913</v>
      </c>
      <c r="CZ175" s="62">
        <f t="shared" si="150"/>
        <v>271.78119133009307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0.39313660669714073</v>
      </c>
      <c r="DG175" s="23">
        <f>EXP(-LN(2)/25)*DG174+(1-EXP(-LN(2)/25))/(LN(2)/25)*Calculateur!DB175*Calculateur!DD175*VLOOKUP('Données projet'!$B$13,Paramètres!$A$1:$I$89,3,0)*0.475*44/12</f>
        <v>0.5707618248806634</v>
      </c>
      <c r="DH175" s="23">
        <f>EXP(-LN(2)/2)*DH174+(1-EXP(-LN(2)/2))/(LN(2)/2)*DB175*DE175*VLOOKUP('Données projet'!$B$13,Paramètres!$A$1:$I$89,3,0)*0.475*44/12</f>
        <v>1.1619037729271544E-20</v>
      </c>
      <c r="DI175" s="24">
        <f t="shared" si="175"/>
        <v>0.96389843157780408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-5.4683368944097308E-14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122.60806128440754</v>
      </c>
      <c r="DU175" s="62">
        <f t="shared" si="152"/>
        <v>73.937252053142004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0</v>
      </c>
      <c r="EP175" s="62">
        <f t="shared" si="154"/>
        <v>0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382.55387448074327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0.1297101793789962</v>
      </c>
      <c r="AA176" s="23">
        <f>EXP(-LN(2)/25)*AA175+(1-EXP(-LN(2)/25))/(LN(2)/25)*Calculateur!V176*Calculateur!X176*VLOOKUP('Données projet'!$B$9,Paramètres!$A$1:$I$89,3,0)*0.475*44/12</f>
        <v>0.20270746223883379</v>
      </c>
      <c r="AB176" s="23">
        <f>EXP(-LN(2)/2)*AB175+(1-EXP(-LN(2)/2))/(LN(2)/2)*V176*Y176*VLOOKUP('Données projet'!$B$9,Paramètres!$A$1:$I$89,3,0)*0.475*44/12</f>
        <v>6.7460116465958689E-21</v>
      </c>
      <c r="AC176" s="24">
        <f t="shared" si="163"/>
        <v>0.33241764161783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269.64423257646359</v>
      </c>
      <c r="AO176" s="62">
        <f t="shared" si="144"/>
        <v>161.0819079811821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8.5265128291212022E-14</v>
      </c>
      <c r="BE176" s="14">
        <f>BD176*VLOOKUP('Données projet'!$B$11,Paramètres!$A$1:$I$89,3,0)*VLOOKUP('Données projet'!$B$11,Paramètres!$A$1:$I$89,5,0)</f>
        <v>3.990408004028723E-14</v>
      </c>
      <c r="BF176" s="14">
        <f t="shared" si="167"/>
        <v>6.6713074187844705E-13</v>
      </c>
      <c r="BG176" s="22">
        <f t="shared" si="168"/>
        <v>1.2314189815084623E-12</v>
      </c>
      <c r="BH176" s="62">
        <f t="shared" si="116"/>
        <v>293.33333333333456</v>
      </c>
      <c r="BI176" s="62">
        <f ca="1">AVERAGE(OFFSET($BH$3,0,0,'Données projet'!$E$11+1,1))-AVERAGE(OFFSET($H$3,0,0,'Données projet'!$E$11+1,1))</f>
        <v>90.797383835887558</v>
      </c>
      <c r="BJ176" s="62">
        <f t="shared" si="146"/>
        <v>104.31413437636684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5.6850335101172565E-2</v>
      </c>
      <c r="BQ176" s="23">
        <f>EXP(-LN(2)/25)*BQ175+(1-EXP(-LN(2)/25))/(LN(2)/25)*Calculateur!BL176*Calculateur!BN176*VLOOKUP('Données projet'!$B$11,Paramètres!$A$1:$I$89,3,0)*0.475*44/12</f>
        <v>8.0503458672139414E-2</v>
      </c>
      <c r="BR176" s="23">
        <f>EXP(-LN(2)/2)*BR175+(1-EXP(-LN(2)/2))/(LN(2)/2)*BL176*BO176*VLOOKUP('Données projet'!$B$11,Paramètres!$A$1:$I$89,3,0)*0.475*44/12</f>
        <v>8.8618613875231102E-22</v>
      </c>
      <c r="BS176" s="24">
        <f t="shared" si="169"/>
        <v>0.13735379377331197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304</v>
      </c>
      <c r="BZ176" s="14">
        <f>BY176*VLOOKUP('Données projet'!$B$12,Paramètres!$A$1:$I$89,3,0)*VLOOKUP('Données projet'!$B$12,Paramètres!$A$1:$I$89,5,0)</f>
        <v>189.696</v>
      </c>
      <c r="CA176" s="14">
        <f t="shared" si="170"/>
        <v>47.472736505152469</v>
      </c>
      <c r="CB176" s="22">
        <f t="shared" si="171"/>
        <v>413.06888274647389</v>
      </c>
      <c r="CC176" s="62">
        <f t="shared" si="119"/>
        <v>706.4022160798072</v>
      </c>
      <c r="CD176" s="62">
        <f ca="1">AVERAGE(OFFSET($CC$3,0,0,'Données projet'!$E$12+1,1))-AVERAGE(OFFSET($H$3,0,0,'Données projet'!$E$12+1,1))</f>
        <v>179.44051550872138</v>
      </c>
      <c r="CE176" s="62">
        <f t="shared" si="148"/>
        <v>272.9500808380069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0.29399147047832208</v>
      </c>
      <c r="CL176" s="23">
        <f>EXP(-LN(2)/25)*CL175+(1-EXP(-LN(2)/25))/(LN(2)/25)*Calculateur!CG176*Calculateur!CI176*VLOOKUP('Données projet'!$B$12,Paramètres!$A$1:$I$89,3,0)*0.475*44/12</f>
        <v>0.38067292538430708</v>
      </c>
      <c r="CM176" s="23">
        <f>EXP(-LN(2)/2)*CM175+(1-EXP(-LN(2)/2))/(LN(2)/2)*CG176*CJ176*VLOOKUP('Données projet'!$B$12,Paramètres!$A$1:$I$89,3,0)*0.475*44/12</f>
        <v>6.1714352072066241E-21</v>
      </c>
      <c r="CN176" s="24">
        <f t="shared" si="172"/>
        <v>0.67466439586262916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277.99999999999994</v>
      </c>
      <c r="CU176" s="18">
        <f>CT176*VLOOKUP('Données projet'!$B$13,Paramètres!$A$1:$I$89,3,0)*VLOOKUP('Données projet'!$B$13,Paramètres!$A$1:$I$89,5,0)</f>
        <v>151.78799999999998</v>
      </c>
      <c r="CV176" s="14">
        <f t="shared" si="173"/>
        <v>38.984634390835623</v>
      </c>
      <c r="CW176" s="22">
        <f t="shared" si="174"/>
        <v>332.26233823070532</v>
      </c>
      <c r="CX176" s="62">
        <f t="shared" si="122"/>
        <v>625.59567156403864</v>
      </c>
      <c r="CY176" s="62">
        <f ca="1">AVERAGE(OFFSET($CX$3,0,0,'Données projet'!$E$13+1,1))-AVERAGE(OFFSET($H$3,0,0,'Données projet'!$E$13+1,1))</f>
        <v>159.92263609041913</v>
      </c>
      <c r="CZ176" s="62">
        <f t="shared" si="150"/>
        <v>271.78119133009307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0.38542743762946263</v>
      </c>
      <c r="DG176" s="23">
        <f>EXP(-LN(2)/25)*DG175+(1-EXP(-LN(2)/25))/(LN(2)/25)*Calculateur!DB176*Calculateur!DD176*VLOOKUP('Données projet'!$B$13,Paramètres!$A$1:$I$89,3,0)*0.475*44/12</f>
        <v>0.55515431276424176</v>
      </c>
      <c r="DH176" s="23">
        <f>EXP(-LN(2)/2)*DH175+(1-EXP(-LN(2)/2))/(LN(2)/2)*DB176*DE176*VLOOKUP('Données projet'!$B$13,Paramètres!$A$1:$I$89,3,0)*0.475*44/12</f>
        <v>8.2159003692302534E-21</v>
      </c>
      <c r="DI176" s="24">
        <f t="shared" si="175"/>
        <v>0.9405817503937044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-5.4683368944097308E-14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122.60806128440754</v>
      </c>
      <c r="DU176" s="62">
        <f t="shared" si="152"/>
        <v>73.937252053142004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0</v>
      </c>
      <c r="EP176" s="62">
        <f t="shared" si="154"/>
        <v>0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382.55387448074327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0.12716664187677151</v>
      </c>
      <c r="AA177" s="23">
        <f>EXP(-LN(2)/25)*AA176+(1-EXP(-LN(2)/25))/(LN(2)/25)*Calculateur!V177*Calculateur!X177*VLOOKUP('Données projet'!$B$9,Paramètres!$A$1:$I$89,3,0)*0.475*44/12</f>
        <v>0.19716441602399074</v>
      </c>
      <c r="AB177" s="23">
        <f>EXP(-LN(2)/2)*AB176+(1-EXP(-LN(2)/2))/(LN(2)/2)*V177*Y177*VLOOKUP('Données projet'!$B$9,Paramètres!$A$1:$I$89,3,0)*0.475*44/12</f>
        <v>4.7701505812713665E-21</v>
      </c>
      <c r="AC177" s="24">
        <f t="shared" si="163"/>
        <v>0.32433105790076222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269.64423257646359</v>
      </c>
      <c r="AO177" s="62">
        <f t="shared" si="144"/>
        <v>161.0819079811821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8.5265128291212022E-14</v>
      </c>
      <c r="BE177" s="14">
        <f>BD177*VLOOKUP('Données projet'!$B$11,Paramètres!$A$1:$I$89,3,0)*VLOOKUP('Données projet'!$B$11,Paramètres!$A$1:$I$89,5,0)</f>
        <v>3.990408004028723E-14</v>
      </c>
      <c r="BF177" s="14">
        <f t="shared" si="167"/>
        <v>6.6713074187844705E-13</v>
      </c>
      <c r="BG177" s="22">
        <f t="shared" si="168"/>
        <v>1.2314189815084623E-12</v>
      </c>
      <c r="BH177" s="62">
        <f t="shared" si="116"/>
        <v>293.33333333333456</v>
      </c>
      <c r="BI177" s="62">
        <f ca="1">AVERAGE(OFFSET($BH$3,0,0,'Données projet'!$E$11+1,1))-AVERAGE(OFFSET($H$3,0,0,'Données projet'!$E$11+1,1))</f>
        <v>90.797383835887558</v>
      </c>
      <c r="BJ177" s="62">
        <f t="shared" si="146"/>
        <v>104.31413437636684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5.5735534705119084E-2</v>
      </c>
      <c r="BQ177" s="23">
        <f>EXP(-LN(2)/25)*BQ176+(1-EXP(-LN(2)/25))/(LN(2)/25)*Calculateur!BL177*Calculateur!BN177*VLOOKUP('Données projet'!$B$11,Paramètres!$A$1:$I$89,3,0)*0.475*44/12</f>
        <v>7.8302087361256864E-2</v>
      </c>
      <c r="BR177" s="23">
        <f>EXP(-LN(2)/2)*BR176+(1-EXP(-LN(2)/2))/(LN(2)/2)*BL177*BO177*VLOOKUP('Données projet'!$B$11,Paramètres!$A$1:$I$89,3,0)*0.475*44/12</f>
        <v>6.2662822810528184E-22</v>
      </c>
      <c r="BS177" s="24">
        <f t="shared" si="169"/>
        <v>0.13403762206637596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304</v>
      </c>
      <c r="BZ177" s="14">
        <f>BY177*VLOOKUP('Données projet'!$B$12,Paramètres!$A$1:$I$89,3,0)*VLOOKUP('Données projet'!$B$12,Paramètres!$A$1:$I$89,5,0)</f>
        <v>189.696</v>
      </c>
      <c r="CA177" s="14">
        <f t="shared" si="170"/>
        <v>47.472736505152469</v>
      </c>
      <c r="CB177" s="22">
        <f t="shared" si="171"/>
        <v>413.06888274647389</v>
      </c>
      <c r="CC177" s="62">
        <f t="shared" si="119"/>
        <v>706.4022160798072</v>
      </c>
      <c r="CD177" s="62">
        <f ca="1">AVERAGE(OFFSET($CC$3,0,0,'Données projet'!$E$12+1,1))-AVERAGE(OFFSET($H$3,0,0,'Données projet'!$E$12+1,1))</f>
        <v>179.44051550872138</v>
      </c>
      <c r="CE177" s="62">
        <f t="shared" si="148"/>
        <v>272.9500808380069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0.28822647705933307</v>
      </c>
      <c r="CL177" s="23">
        <f>EXP(-LN(2)/25)*CL176+(1-EXP(-LN(2)/25))/(LN(2)/25)*Calculateur!CG177*Calculateur!CI177*VLOOKUP('Données projet'!$B$12,Paramètres!$A$1:$I$89,3,0)*0.475*44/12</f>
        <v>0.37026340422095411</v>
      </c>
      <c r="CM177" s="23">
        <f>EXP(-LN(2)/2)*CM176+(1-EXP(-LN(2)/2))/(LN(2)/2)*CG177*CJ177*VLOOKUP('Données projet'!$B$12,Paramètres!$A$1:$I$89,3,0)*0.475*44/12</f>
        <v>4.3638636846692099E-21</v>
      </c>
      <c r="CN177" s="24">
        <f t="shared" si="172"/>
        <v>0.65848988128028718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277.99999999999994</v>
      </c>
      <c r="CU177" s="18">
        <f>CT177*VLOOKUP('Données projet'!$B$13,Paramètres!$A$1:$I$89,3,0)*VLOOKUP('Données projet'!$B$13,Paramètres!$A$1:$I$89,5,0)</f>
        <v>151.78799999999998</v>
      </c>
      <c r="CV177" s="14">
        <f t="shared" si="173"/>
        <v>38.984634390835623</v>
      </c>
      <c r="CW177" s="22">
        <f t="shared" si="174"/>
        <v>332.26233823070532</v>
      </c>
      <c r="CX177" s="62">
        <f t="shared" si="122"/>
        <v>625.59567156403864</v>
      </c>
      <c r="CY177" s="62">
        <f ca="1">AVERAGE(OFFSET($CX$3,0,0,'Données projet'!$E$13+1,1))-AVERAGE(OFFSET($H$3,0,0,'Données projet'!$E$13+1,1))</f>
        <v>159.92263609041913</v>
      </c>
      <c r="CZ177" s="62">
        <f t="shared" si="150"/>
        <v>271.78119133009307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0.37786944066507289</v>
      </c>
      <c r="DG177" s="23">
        <f>EXP(-LN(2)/25)*DG176+(1-EXP(-LN(2)/25))/(LN(2)/25)*Calculateur!DB177*Calculateur!DD177*VLOOKUP('Données projet'!$B$13,Paramètres!$A$1:$I$89,3,0)*0.475*44/12</f>
        <v>0.5399735888874071</v>
      </c>
      <c r="DH177" s="23">
        <f>EXP(-LN(2)/2)*DH176+(1-EXP(-LN(2)/2))/(LN(2)/2)*DB177*DE177*VLOOKUP('Données projet'!$B$13,Paramètres!$A$1:$I$89,3,0)*0.475*44/12</f>
        <v>5.8095188646357719E-21</v>
      </c>
      <c r="DI177" s="24">
        <f t="shared" si="175"/>
        <v>0.91784302955247998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-5.4683368944097308E-14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122.60806128440754</v>
      </c>
      <c r="DU177" s="62">
        <f t="shared" si="152"/>
        <v>73.937252053142004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0</v>
      </c>
      <c r="EP177" s="62">
        <f t="shared" si="154"/>
        <v>0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382.55387448074327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0.12467298159356076</v>
      </c>
      <c r="AA178" s="23">
        <f>EXP(-LN(2)/25)*AA177+(1-EXP(-LN(2)/25))/(LN(2)/25)*Calculateur!V178*Calculateur!X178*VLOOKUP('Données projet'!$B$9,Paramètres!$A$1:$I$89,3,0)*0.475*44/12</f>
        <v>0.19177294469938869</v>
      </c>
      <c r="AB178" s="23">
        <f>EXP(-LN(2)/2)*AB177+(1-EXP(-LN(2)/2))/(LN(2)/2)*V178*Y178*VLOOKUP('Données projet'!$B$9,Paramètres!$A$1:$I$89,3,0)*0.475*44/12</f>
        <v>3.3730058232979348E-21</v>
      </c>
      <c r="AC178" s="24">
        <f t="shared" si="163"/>
        <v>0.31644592629294943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269.64423257646359</v>
      </c>
      <c r="AO178" s="62">
        <f t="shared" si="144"/>
        <v>161.0819079811821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8.5265128291212022E-14</v>
      </c>
      <c r="BE178" s="14">
        <f>BD178*VLOOKUP('Données projet'!$B$11,Paramètres!$A$1:$I$89,3,0)*VLOOKUP('Données projet'!$B$11,Paramètres!$A$1:$I$89,5,0)</f>
        <v>3.990408004028723E-14</v>
      </c>
      <c r="BF178" s="14">
        <f t="shared" si="167"/>
        <v>6.6713074187844705E-13</v>
      </c>
      <c r="BG178" s="22">
        <f t="shared" si="168"/>
        <v>1.2314189815084623E-12</v>
      </c>
      <c r="BH178" s="62">
        <f t="shared" si="116"/>
        <v>293.33333333333456</v>
      </c>
      <c r="BI178" s="62">
        <f ca="1">AVERAGE(OFFSET($BH$3,0,0,'Données projet'!$E$11+1,1))-AVERAGE(OFFSET($H$3,0,0,'Données projet'!$E$11+1,1))</f>
        <v>90.797383835887558</v>
      </c>
      <c r="BJ178" s="62">
        <f t="shared" si="146"/>
        <v>104.31413437636684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5.4642594864871108E-2</v>
      </c>
      <c r="BQ178" s="23">
        <f>EXP(-LN(2)/25)*BQ177+(1-EXP(-LN(2)/25))/(LN(2)/25)*Calculateur!BL178*Calculateur!BN178*VLOOKUP('Données projet'!$B$11,Paramètres!$A$1:$I$89,3,0)*0.475*44/12</f>
        <v>7.6160912664635483E-2</v>
      </c>
      <c r="BR178" s="23">
        <f>EXP(-LN(2)/2)*BR177+(1-EXP(-LN(2)/2))/(LN(2)/2)*BL178*BO178*VLOOKUP('Données projet'!$B$11,Paramètres!$A$1:$I$89,3,0)*0.475*44/12</f>
        <v>4.4309306937615551E-22</v>
      </c>
      <c r="BS178" s="24">
        <f t="shared" si="169"/>
        <v>0.13080350752950659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304</v>
      </c>
      <c r="BZ178" s="14">
        <f>BY178*VLOOKUP('Données projet'!$B$12,Paramètres!$A$1:$I$89,3,0)*VLOOKUP('Données projet'!$B$12,Paramètres!$A$1:$I$89,5,0)</f>
        <v>189.696</v>
      </c>
      <c r="CA178" s="14">
        <f t="shared" si="170"/>
        <v>47.472736505152469</v>
      </c>
      <c r="CB178" s="22">
        <f t="shared" si="171"/>
        <v>413.06888274647389</v>
      </c>
      <c r="CC178" s="62">
        <f t="shared" si="119"/>
        <v>706.4022160798072</v>
      </c>
      <c r="CD178" s="62">
        <f ca="1">AVERAGE(OFFSET($CC$3,0,0,'Données projet'!$E$12+1,1))-AVERAGE(OFFSET($H$3,0,0,'Données projet'!$E$12+1,1))</f>
        <v>179.44051550872138</v>
      </c>
      <c r="CE178" s="62">
        <f t="shared" si="148"/>
        <v>272.9500808380069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0.28257453164499169</v>
      </c>
      <c r="CL178" s="23">
        <f>EXP(-LN(2)/25)*CL177+(1-EXP(-LN(2)/25))/(LN(2)/25)*Calculateur!CG178*Calculateur!CI178*VLOOKUP('Données projet'!$B$12,Paramètres!$A$1:$I$89,3,0)*0.475*44/12</f>
        <v>0.36013853196122592</v>
      </c>
      <c r="CM178" s="23">
        <f>EXP(-LN(2)/2)*CM177+(1-EXP(-LN(2)/2))/(LN(2)/2)*CG178*CJ178*VLOOKUP('Données projet'!$B$12,Paramètres!$A$1:$I$89,3,0)*0.475*44/12</f>
        <v>3.0857176036033121E-21</v>
      </c>
      <c r="CN178" s="24">
        <f t="shared" si="172"/>
        <v>0.64271306360621761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277.99999999999994</v>
      </c>
      <c r="CU178" s="18">
        <f>CT178*VLOOKUP('Données projet'!$B$13,Paramètres!$A$1:$I$89,3,0)*VLOOKUP('Données projet'!$B$13,Paramètres!$A$1:$I$89,5,0)</f>
        <v>151.78799999999998</v>
      </c>
      <c r="CV178" s="14">
        <f t="shared" si="173"/>
        <v>38.984634390835623</v>
      </c>
      <c r="CW178" s="22">
        <f t="shared" si="174"/>
        <v>332.26233823070532</v>
      </c>
      <c r="CX178" s="62">
        <f t="shared" si="122"/>
        <v>625.59567156403864</v>
      </c>
      <c r="CY178" s="62">
        <f ca="1">AVERAGE(OFFSET($CX$3,0,0,'Données projet'!$E$13+1,1))-AVERAGE(OFFSET($H$3,0,0,'Données projet'!$E$13+1,1))</f>
        <v>159.92263609041913</v>
      </c>
      <c r="CZ178" s="62">
        <f t="shared" si="150"/>
        <v>271.78119133009307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0.37045965141123183</v>
      </c>
      <c r="DG178" s="23">
        <f>EXP(-LN(2)/25)*DG177+(1-EXP(-LN(2)/25))/(LN(2)/25)*Calculateur!DB178*Calculateur!DD178*VLOOKUP('Données projet'!$B$13,Paramètres!$A$1:$I$89,3,0)*0.475*44/12</f>
        <v>0.52520798270330404</v>
      </c>
      <c r="DH178" s="23">
        <f>EXP(-LN(2)/2)*DH177+(1-EXP(-LN(2)/2))/(LN(2)/2)*DB178*DE178*VLOOKUP('Données projet'!$B$13,Paramètres!$A$1:$I$89,3,0)*0.475*44/12</f>
        <v>4.1079501846151267E-21</v>
      </c>
      <c r="DI178" s="24">
        <f t="shared" si="175"/>
        <v>0.89566763411453587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-5.4683368944097308E-14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122.60806128440754</v>
      </c>
      <c r="DU178" s="62">
        <f t="shared" si="152"/>
        <v>73.937252053142004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0</v>
      </c>
      <c r="EP178" s="62">
        <f t="shared" si="154"/>
        <v>0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382.55387448074327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0.12222822046752119</v>
      </c>
      <c r="AA179" s="23">
        <f>EXP(-LN(2)/25)*AA178+(1-EXP(-LN(2)/25))/(LN(2)/25)*Calculateur!V179*Calculateur!X179*VLOOKUP('Données projet'!$B$9,Paramètres!$A$1:$I$89,3,0)*0.475*44/12</f>
        <v>0.18652890344168305</v>
      </c>
      <c r="AB179" s="23">
        <f>EXP(-LN(2)/2)*AB178+(1-EXP(-LN(2)/2))/(LN(2)/2)*V179*Y179*VLOOKUP('Données projet'!$B$9,Paramètres!$A$1:$I$89,3,0)*0.475*44/12</f>
        <v>2.3850752906356836E-21</v>
      </c>
      <c r="AC179" s="24">
        <f t="shared" si="163"/>
        <v>0.30875712390920423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269.64423257646359</v>
      </c>
      <c r="AO179" s="62">
        <f t="shared" si="144"/>
        <v>161.0819079811821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8.5265128291212022E-14</v>
      </c>
      <c r="BE179" s="14">
        <f>BD179*VLOOKUP('Données projet'!$B$11,Paramètres!$A$1:$I$89,3,0)*VLOOKUP('Données projet'!$B$11,Paramètres!$A$1:$I$89,5,0)</f>
        <v>3.990408004028723E-14</v>
      </c>
      <c r="BF179" s="14">
        <f t="shared" si="167"/>
        <v>6.6713074187844705E-13</v>
      </c>
      <c r="BG179" s="22">
        <f t="shared" si="168"/>
        <v>1.2314189815084623E-12</v>
      </c>
      <c r="BH179" s="62">
        <f t="shared" si="116"/>
        <v>293.33333333333456</v>
      </c>
      <c r="BI179" s="62">
        <f ca="1">AVERAGE(OFFSET($BH$3,0,0,'Données projet'!$E$11+1,1))-AVERAGE(OFFSET($H$3,0,0,'Données projet'!$E$11+1,1))</f>
        <v>90.797383835887558</v>
      </c>
      <c r="BJ179" s="62">
        <f t="shared" si="146"/>
        <v>104.31413437636684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5.357108690826292E-2</v>
      </c>
      <c r="BQ179" s="23">
        <f>EXP(-LN(2)/25)*BQ178+(1-EXP(-LN(2)/25))/(LN(2)/25)*Calculateur!BL179*Calculateur!BN179*VLOOKUP('Données projet'!$B$11,Paramètres!$A$1:$I$89,3,0)*0.475*44/12</f>
        <v>7.4078288502692699E-2</v>
      </c>
      <c r="BR179" s="23">
        <f>EXP(-LN(2)/2)*BR178+(1-EXP(-LN(2)/2))/(LN(2)/2)*BL179*BO179*VLOOKUP('Données projet'!$B$11,Paramètres!$A$1:$I$89,3,0)*0.475*44/12</f>
        <v>3.1331411405264092E-22</v>
      </c>
      <c r="BS179" s="24">
        <f t="shared" si="169"/>
        <v>0.12764937541095561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304</v>
      </c>
      <c r="BZ179" s="14">
        <f>BY179*VLOOKUP('Données projet'!$B$12,Paramètres!$A$1:$I$89,3,0)*VLOOKUP('Données projet'!$B$12,Paramètres!$A$1:$I$89,5,0)</f>
        <v>189.696</v>
      </c>
      <c r="CA179" s="14">
        <f t="shared" si="170"/>
        <v>47.472736505152469</v>
      </c>
      <c r="CB179" s="22">
        <f t="shared" si="171"/>
        <v>413.06888274647389</v>
      </c>
      <c r="CC179" s="62">
        <f t="shared" si="119"/>
        <v>706.4022160798072</v>
      </c>
      <c r="CD179" s="62">
        <f ca="1">AVERAGE(OFFSET($CC$3,0,0,'Données projet'!$E$12+1,1))-AVERAGE(OFFSET($H$3,0,0,'Données projet'!$E$12+1,1))</f>
        <v>179.44051550872138</v>
      </c>
      <c r="CE179" s="62">
        <f t="shared" si="148"/>
        <v>272.9500808380069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0.27703341743287924</v>
      </c>
      <c r="CL179" s="23">
        <f>EXP(-LN(2)/25)*CL178+(1-EXP(-LN(2)/25))/(LN(2)/25)*Calculateur!CG179*Calculateur!CI179*VLOOKUP('Données projet'!$B$12,Paramètres!$A$1:$I$89,3,0)*0.475*44/12</f>
        <v>0.35029052486588391</v>
      </c>
      <c r="CM179" s="23">
        <f>EXP(-LN(2)/2)*CM178+(1-EXP(-LN(2)/2))/(LN(2)/2)*CG179*CJ179*VLOOKUP('Données projet'!$B$12,Paramètres!$A$1:$I$89,3,0)*0.475*44/12</f>
        <v>2.181931842334605E-21</v>
      </c>
      <c r="CN179" s="24">
        <f t="shared" si="172"/>
        <v>0.62732394229876309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277.99999999999994</v>
      </c>
      <c r="CU179" s="18">
        <f>CT179*VLOOKUP('Données projet'!$B$13,Paramètres!$A$1:$I$89,3,0)*VLOOKUP('Données projet'!$B$13,Paramètres!$A$1:$I$89,5,0)</f>
        <v>151.78799999999998</v>
      </c>
      <c r="CV179" s="14">
        <f t="shared" si="173"/>
        <v>38.984634390835623</v>
      </c>
      <c r="CW179" s="22">
        <f t="shared" si="174"/>
        <v>332.26233823070532</v>
      </c>
      <c r="CX179" s="62">
        <f t="shared" si="122"/>
        <v>625.59567156403864</v>
      </c>
      <c r="CY179" s="62">
        <f ca="1">AVERAGE(OFFSET($CX$3,0,0,'Données projet'!$E$13+1,1))-AVERAGE(OFFSET($H$3,0,0,'Données projet'!$E$13+1,1))</f>
        <v>159.92263609041913</v>
      </c>
      <c r="CZ179" s="62">
        <f t="shared" si="150"/>
        <v>271.78119133009307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0.36319516360513343</v>
      </c>
      <c r="DG179" s="23">
        <f>EXP(-LN(2)/25)*DG178+(1-EXP(-LN(2)/25))/(LN(2)/25)*Calculateur!DB179*Calculateur!DD179*VLOOKUP('Données projet'!$B$13,Paramètres!$A$1:$I$89,3,0)*0.475*44/12</f>
        <v>0.51084614279679474</v>
      </c>
      <c r="DH179" s="23">
        <f>EXP(-LN(2)/2)*DH178+(1-EXP(-LN(2)/2))/(LN(2)/2)*DB179*DE179*VLOOKUP('Données projet'!$B$13,Paramètres!$A$1:$I$89,3,0)*0.475*44/12</f>
        <v>2.9047594323178859E-21</v>
      </c>
      <c r="DI179" s="24">
        <f t="shared" si="175"/>
        <v>0.87404130640192812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-5.4683368944097308E-14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122.60806128440754</v>
      </c>
      <c r="DU179" s="62">
        <f t="shared" si="152"/>
        <v>73.937252053142004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0</v>
      </c>
      <c r="EP179" s="62">
        <f t="shared" si="154"/>
        <v>0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382.55387448074327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0.1198313996160062</v>
      </c>
      <c r="AA180" s="23">
        <f>EXP(-LN(2)/25)*AA179+(1-EXP(-LN(2)/25))/(LN(2)/25)*Calculateur!V180*Calculateur!X180*VLOOKUP('Données projet'!$B$9,Paramètres!$A$1:$I$89,3,0)*0.475*44/12</f>
        <v>0.1814282607679415</v>
      </c>
      <c r="AB180" s="23">
        <f>EXP(-LN(2)/2)*AB179+(1-EXP(-LN(2)/2))/(LN(2)/2)*V180*Y180*VLOOKUP('Données projet'!$B$9,Paramètres!$A$1:$I$89,3,0)*0.475*44/12</f>
        <v>1.6865029116489678E-21</v>
      </c>
      <c r="AC180" s="24">
        <f t="shared" si="163"/>
        <v>0.30125966038394769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269.64423257646359</v>
      </c>
      <c r="AO180" s="62">
        <f t="shared" si="144"/>
        <v>161.0819079811821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8.5265128291212022E-14</v>
      </c>
      <c r="BE180" s="14">
        <f>BD180*VLOOKUP('Données projet'!$B$11,Paramètres!$A$1:$I$89,3,0)*VLOOKUP('Données projet'!$B$11,Paramètres!$A$1:$I$89,5,0)</f>
        <v>3.990408004028723E-14</v>
      </c>
      <c r="BF180" s="14">
        <f t="shared" si="167"/>
        <v>6.6713074187844705E-13</v>
      </c>
      <c r="BG180" s="22">
        <f t="shared" si="168"/>
        <v>1.2314189815084623E-12</v>
      </c>
      <c r="BH180" s="62">
        <f t="shared" si="116"/>
        <v>293.33333333333456</v>
      </c>
      <c r="BI180" s="62">
        <f ca="1">AVERAGE(OFFSET($BH$3,0,0,'Données projet'!$E$11+1,1))-AVERAGE(OFFSET($H$3,0,0,'Données projet'!$E$11+1,1))</f>
        <v>90.797383835887558</v>
      </c>
      <c r="BJ180" s="62">
        <f t="shared" si="146"/>
        <v>104.31413437636684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5.2520590569128493E-2</v>
      </c>
      <c r="BQ180" s="23">
        <f>EXP(-LN(2)/25)*BQ179+(1-EXP(-LN(2)/25))/(LN(2)/25)*Calculateur!BL180*Calculateur!BN180*VLOOKUP('Données projet'!$B$11,Paramètres!$A$1:$I$89,3,0)*0.475*44/12</f>
        <v>7.2052613807978685E-2</v>
      </c>
      <c r="BR180" s="23">
        <f>EXP(-LN(2)/2)*BR179+(1-EXP(-LN(2)/2))/(LN(2)/2)*BL180*BO180*VLOOKUP('Données projet'!$B$11,Paramètres!$A$1:$I$89,3,0)*0.475*44/12</f>
        <v>2.2154653468807776E-22</v>
      </c>
      <c r="BS180" s="24">
        <f t="shared" si="169"/>
        <v>0.12457320437710717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304</v>
      </c>
      <c r="BZ180" s="14">
        <f>BY180*VLOOKUP('Données projet'!$B$12,Paramètres!$A$1:$I$89,3,0)*VLOOKUP('Données projet'!$B$12,Paramètres!$A$1:$I$89,5,0)</f>
        <v>189.696</v>
      </c>
      <c r="CA180" s="14">
        <f t="shared" si="170"/>
        <v>47.472736505152469</v>
      </c>
      <c r="CB180" s="22">
        <f t="shared" si="171"/>
        <v>413.06888274647389</v>
      </c>
      <c r="CC180" s="62">
        <f t="shared" si="119"/>
        <v>706.4022160798072</v>
      </c>
      <c r="CD180" s="62">
        <f ca="1">AVERAGE(OFFSET($CC$3,0,0,'Données projet'!$E$12+1,1))-AVERAGE(OFFSET($H$3,0,0,'Données projet'!$E$12+1,1))</f>
        <v>179.44051550872138</v>
      </c>
      <c r="CE180" s="62">
        <f t="shared" si="148"/>
        <v>272.9500808380069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0.27160096109072035</v>
      </c>
      <c r="CL180" s="23">
        <f>EXP(-LN(2)/25)*CL179+(1-EXP(-LN(2)/25))/(LN(2)/25)*Calculateur!CG180*Calculateur!CI180*VLOOKUP('Données projet'!$B$12,Paramètres!$A$1:$I$89,3,0)*0.475*44/12</f>
        <v>0.34071181204244821</v>
      </c>
      <c r="CM180" s="23">
        <f>EXP(-LN(2)/2)*CM179+(1-EXP(-LN(2)/2))/(LN(2)/2)*CG180*CJ180*VLOOKUP('Données projet'!$B$12,Paramètres!$A$1:$I$89,3,0)*0.475*44/12</f>
        <v>1.542858801801656E-21</v>
      </c>
      <c r="CN180" s="24">
        <f t="shared" si="172"/>
        <v>0.61231277313316856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277.99999999999994</v>
      </c>
      <c r="CU180" s="18">
        <f>CT180*VLOOKUP('Données projet'!$B$13,Paramètres!$A$1:$I$89,3,0)*VLOOKUP('Données projet'!$B$13,Paramètres!$A$1:$I$89,5,0)</f>
        <v>151.78799999999998</v>
      </c>
      <c r="CV180" s="14">
        <f t="shared" si="173"/>
        <v>38.984634390835623</v>
      </c>
      <c r="CW180" s="22">
        <f t="shared" si="174"/>
        <v>332.26233823070532</v>
      </c>
      <c r="CX180" s="62">
        <f t="shared" si="122"/>
        <v>625.59567156403864</v>
      </c>
      <c r="CY180" s="62">
        <f ca="1">AVERAGE(OFFSET($CX$3,0,0,'Données projet'!$E$13+1,1))-AVERAGE(OFFSET($H$3,0,0,'Données projet'!$E$13+1,1))</f>
        <v>159.92263609041913</v>
      </c>
      <c r="CZ180" s="62">
        <f t="shared" si="150"/>
        <v>271.78119133009307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0.35607312797401258</v>
      </c>
      <c r="DG180" s="23">
        <f>EXP(-LN(2)/25)*DG179+(1-EXP(-LN(2)/25))/(LN(2)/25)*Calculateur!DB180*Calculateur!DD180*VLOOKUP('Données projet'!$B$13,Paramètres!$A$1:$I$89,3,0)*0.475*44/12</f>
        <v>0.49687702815778528</v>
      </c>
      <c r="DH180" s="23">
        <f>EXP(-LN(2)/2)*DH179+(1-EXP(-LN(2)/2))/(LN(2)/2)*DB180*DE180*VLOOKUP('Données projet'!$B$13,Paramètres!$A$1:$I$89,3,0)*0.475*44/12</f>
        <v>2.0539750923075633E-21</v>
      </c>
      <c r="DI180" s="24">
        <f t="shared" si="175"/>
        <v>0.85295015613179781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-5.4683368944097308E-14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122.60806128440754</v>
      </c>
      <c r="DU180" s="62">
        <f t="shared" si="152"/>
        <v>73.937252053142004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0</v>
      </c>
      <c r="EP180" s="62">
        <f t="shared" si="154"/>
        <v>0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382.55387448074327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0.11748157895947305</v>
      </c>
      <c r="AA181" s="23">
        <f>EXP(-LN(2)/25)*AA180+(1-EXP(-LN(2)/25))/(LN(2)/25)*Calculateur!V181*Calculateur!X181*VLOOKUP('Données projet'!$B$9,Paramètres!$A$1:$I$89,3,0)*0.475*44/12</f>
        <v>0.17646709543634456</v>
      </c>
      <c r="AB181" s="23">
        <f>EXP(-LN(2)/2)*AB180+(1-EXP(-LN(2)/2))/(LN(2)/2)*V181*Y181*VLOOKUP('Données projet'!$B$9,Paramètres!$A$1:$I$89,3,0)*0.475*44/12</f>
        <v>1.192537645317842E-21</v>
      </c>
      <c r="AC181" s="24">
        <f t="shared" si="163"/>
        <v>0.29394867439581762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269.64423257646359</v>
      </c>
      <c r="AO181" s="62">
        <f t="shared" si="144"/>
        <v>161.0819079811821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8.5265128291212022E-14</v>
      </c>
      <c r="BE181" s="14">
        <f>BD181*VLOOKUP('Données projet'!$B$11,Paramètres!$A$1:$I$89,3,0)*VLOOKUP('Données projet'!$B$11,Paramètres!$A$1:$I$89,5,0)</f>
        <v>3.990408004028723E-14</v>
      </c>
      <c r="BF181" s="14">
        <f t="shared" si="167"/>
        <v>6.6713074187844705E-13</v>
      </c>
      <c r="BG181" s="22">
        <f t="shared" si="168"/>
        <v>1.2314189815084623E-12</v>
      </c>
      <c r="BH181" s="62">
        <f t="shared" si="116"/>
        <v>293.33333333333456</v>
      </c>
      <c r="BI181" s="62">
        <f ca="1">AVERAGE(OFFSET($BH$3,0,0,'Données projet'!$E$11+1,1))-AVERAGE(OFFSET($H$3,0,0,'Données projet'!$E$11+1,1))</f>
        <v>90.797383835887558</v>
      </c>
      <c r="BJ181" s="62">
        <f t="shared" si="146"/>
        <v>104.31413437636684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5.1490693822464996E-2</v>
      </c>
      <c r="BQ181" s="23">
        <f>EXP(-LN(2)/25)*BQ180+(1-EXP(-LN(2)/25))/(LN(2)/25)*Calculateur!BL181*Calculateur!BN181*VLOOKUP('Données projet'!$B$11,Paramètres!$A$1:$I$89,3,0)*0.475*44/12</f>
        <v>7.0082331294317221E-2</v>
      </c>
      <c r="BR181" s="23">
        <f>EXP(-LN(2)/2)*BR180+(1-EXP(-LN(2)/2))/(LN(2)/2)*BL181*BO181*VLOOKUP('Données projet'!$B$11,Paramètres!$A$1:$I$89,3,0)*0.475*44/12</f>
        <v>1.5665705702632046E-22</v>
      </c>
      <c r="BS181" s="24">
        <f t="shared" si="169"/>
        <v>0.12157302511678222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304</v>
      </c>
      <c r="BZ181" s="14">
        <f>BY181*VLOOKUP('Données projet'!$B$12,Paramètres!$A$1:$I$89,3,0)*VLOOKUP('Données projet'!$B$12,Paramètres!$A$1:$I$89,5,0)</f>
        <v>189.696</v>
      </c>
      <c r="CA181" s="14">
        <f t="shared" si="170"/>
        <v>47.472736505152469</v>
      </c>
      <c r="CB181" s="22">
        <f t="shared" si="171"/>
        <v>413.06888274647389</v>
      </c>
      <c r="CC181" s="62">
        <f t="shared" si="119"/>
        <v>706.4022160798072</v>
      </c>
      <c r="CD181" s="62">
        <f ca="1">AVERAGE(OFFSET($CC$3,0,0,'Données projet'!$E$12+1,1))-AVERAGE(OFFSET($H$3,0,0,'Données projet'!$E$12+1,1))</f>
        <v>179.44051550872138</v>
      </c>
      <c r="CE181" s="62">
        <f t="shared" si="148"/>
        <v>272.9500808380069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0.26627503190396001</v>
      </c>
      <c r="CL181" s="23">
        <f>EXP(-LN(2)/25)*CL180+(1-EXP(-LN(2)/25))/(LN(2)/25)*Calculateur!CG181*Calculateur!CI181*VLOOKUP('Données projet'!$B$12,Paramètres!$A$1:$I$89,3,0)*0.475*44/12</f>
        <v>0.33139502962489198</v>
      </c>
      <c r="CM181" s="23">
        <f>EXP(-LN(2)/2)*CM180+(1-EXP(-LN(2)/2))/(LN(2)/2)*CG181*CJ181*VLOOKUP('Données projet'!$B$12,Paramètres!$A$1:$I$89,3,0)*0.475*44/12</f>
        <v>1.0909659211673025E-21</v>
      </c>
      <c r="CN181" s="24">
        <f t="shared" si="172"/>
        <v>0.59767006152885194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277.99999999999994</v>
      </c>
      <c r="CU181" s="18">
        <f>CT181*VLOOKUP('Données projet'!$B$13,Paramètres!$A$1:$I$89,3,0)*VLOOKUP('Données projet'!$B$13,Paramètres!$A$1:$I$89,5,0)</f>
        <v>151.78799999999998</v>
      </c>
      <c r="CV181" s="14">
        <f t="shared" si="173"/>
        <v>38.984634390835623</v>
      </c>
      <c r="CW181" s="22">
        <f t="shared" si="174"/>
        <v>332.26233823070532</v>
      </c>
      <c r="CX181" s="62">
        <f t="shared" si="122"/>
        <v>625.59567156403864</v>
      </c>
      <c r="CY181" s="62">
        <f ca="1">AVERAGE(OFFSET($CX$3,0,0,'Données projet'!$E$13+1,1))-AVERAGE(OFFSET($H$3,0,0,'Données projet'!$E$13+1,1))</f>
        <v>159.92263609041913</v>
      </c>
      <c r="CZ181" s="62">
        <f t="shared" si="150"/>
        <v>271.78119133009307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0.34909075111760518</v>
      </c>
      <c r="DG181" s="23">
        <f>EXP(-LN(2)/25)*DG180+(1-EXP(-LN(2)/25))/(LN(2)/25)*Calculateur!DB181*Calculateur!DD181*VLOOKUP('Données projet'!$B$13,Paramètres!$A$1:$I$89,3,0)*0.475*44/12</f>
        <v>0.48328989969318337</v>
      </c>
      <c r="DH181" s="23">
        <f>EXP(-LN(2)/2)*DH180+(1-EXP(-LN(2)/2))/(LN(2)/2)*DB181*DE181*VLOOKUP('Données projet'!$B$13,Paramètres!$A$1:$I$89,3,0)*0.475*44/12</f>
        <v>1.452379716158943E-21</v>
      </c>
      <c r="DI181" s="24">
        <f t="shared" si="175"/>
        <v>0.83238065081078849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-5.4683368944097308E-14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122.60806128440754</v>
      </c>
      <c r="DU181" s="62">
        <f t="shared" si="152"/>
        <v>73.937252053142004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0</v>
      </c>
      <c r="EP181" s="62">
        <f t="shared" si="154"/>
        <v>0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382.55387448074327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0.11517783685276543</v>
      </c>
      <c r="AA182" s="23">
        <f>EXP(-LN(2)/25)*AA181+(1-EXP(-LN(2)/25))/(LN(2)/25)*Calculateur!V182*Calculateur!X182*VLOOKUP('Données projet'!$B$9,Paramètres!$A$1:$I$89,3,0)*0.475*44/12</f>
        <v>0.17164159343163649</v>
      </c>
      <c r="AB182" s="23">
        <f>EXP(-LN(2)/2)*AB181+(1-EXP(-LN(2)/2))/(LN(2)/2)*V182*Y182*VLOOKUP('Données projet'!$B$9,Paramètres!$A$1:$I$89,3,0)*0.475*44/12</f>
        <v>8.4325145582448399E-22</v>
      </c>
      <c r="AC182" s="24">
        <f t="shared" si="163"/>
        <v>0.28681943028440193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269.64423257646359</v>
      </c>
      <c r="AO182" s="62">
        <f t="shared" si="144"/>
        <v>161.0819079811821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8.5265128291212022E-14</v>
      </c>
      <c r="BE182" s="14">
        <f>BD182*VLOOKUP('Données projet'!$B$11,Paramètres!$A$1:$I$89,3,0)*VLOOKUP('Données projet'!$B$11,Paramètres!$A$1:$I$89,5,0)</f>
        <v>3.990408004028723E-14</v>
      </c>
      <c r="BF182" s="14">
        <f t="shared" si="167"/>
        <v>6.6713074187844705E-13</v>
      </c>
      <c r="BG182" s="22">
        <f t="shared" si="168"/>
        <v>1.2314189815084623E-12</v>
      </c>
      <c r="BH182" s="62">
        <f t="shared" si="116"/>
        <v>293.33333333333456</v>
      </c>
      <c r="BI182" s="62">
        <f ca="1">AVERAGE(OFFSET($BH$3,0,0,'Données projet'!$E$11+1,1))-AVERAGE(OFFSET($H$3,0,0,'Données projet'!$E$11+1,1))</f>
        <v>90.797383835887558</v>
      </c>
      <c r="BJ182" s="62">
        <f t="shared" si="146"/>
        <v>104.31413437636684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5.0480992722828584E-2</v>
      </c>
      <c r="BQ182" s="23">
        <f>EXP(-LN(2)/25)*BQ181+(1-EXP(-LN(2)/25))/(LN(2)/25)*Calculateur!BL182*Calculateur!BN182*VLOOKUP('Données projet'!$B$11,Paramètres!$A$1:$I$89,3,0)*0.475*44/12</f>
        <v>6.8165926259604492E-2</v>
      </c>
      <c r="BR182" s="23">
        <f>EXP(-LN(2)/2)*BR181+(1-EXP(-LN(2)/2))/(LN(2)/2)*BL182*BO182*VLOOKUP('Données projet'!$B$11,Paramètres!$A$1:$I$89,3,0)*0.475*44/12</f>
        <v>1.1077326734403888E-22</v>
      </c>
      <c r="BS182" s="24">
        <f t="shared" si="169"/>
        <v>0.11864691898243307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304</v>
      </c>
      <c r="BZ182" s="14">
        <f>BY182*VLOOKUP('Données projet'!$B$12,Paramètres!$A$1:$I$89,3,0)*VLOOKUP('Données projet'!$B$12,Paramètres!$A$1:$I$89,5,0)</f>
        <v>189.696</v>
      </c>
      <c r="CA182" s="14">
        <f t="shared" si="170"/>
        <v>47.472736505152469</v>
      </c>
      <c r="CB182" s="22">
        <f t="shared" si="171"/>
        <v>413.06888274647389</v>
      </c>
      <c r="CC182" s="62">
        <f t="shared" si="119"/>
        <v>706.4022160798072</v>
      </c>
      <c r="CD182" s="62">
        <f ca="1">AVERAGE(OFFSET($CC$3,0,0,'Données projet'!$E$12+1,1))-AVERAGE(OFFSET($H$3,0,0,'Données projet'!$E$12+1,1))</f>
        <v>179.44051550872138</v>
      </c>
      <c r="CE182" s="62">
        <f t="shared" si="148"/>
        <v>272.9500808380069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0.26105354094005601</v>
      </c>
      <c r="CL182" s="23">
        <f>EXP(-LN(2)/25)*CL181+(1-EXP(-LN(2)/25))/(LN(2)/25)*Calculateur!CG182*Calculateur!CI182*VLOOKUP('Données projet'!$B$12,Paramètres!$A$1:$I$89,3,0)*0.475*44/12</f>
        <v>0.32233301511249213</v>
      </c>
      <c r="CM182" s="23">
        <f>EXP(-LN(2)/2)*CM181+(1-EXP(-LN(2)/2))/(LN(2)/2)*CG182*CJ182*VLOOKUP('Données projet'!$B$12,Paramètres!$A$1:$I$89,3,0)*0.475*44/12</f>
        <v>7.7142940090082802E-22</v>
      </c>
      <c r="CN182" s="24">
        <f t="shared" si="172"/>
        <v>0.58338655605254819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277.99999999999994</v>
      </c>
      <c r="CU182" s="18">
        <f>CT182*VLOOKUP('Données projet'!$B$13,Paramètres!$A$1:$I$89,3,0)*VLOOKUP('Données projet'!$B$13,Paramètres!$A$1:$I$89,5,0)</f>
        <v>151.78799999999998</v>
      </c>
      <c r="CV182" s="14">
        <f t="shared" si="173"/>
        <v>38.984634390835623</v>
      </c>
      <c r="CW182" s="22">
        <f t="shared" si="174"/>
        <v>332.26233823070532</v>
      </c>
      <c r="CX182" s="62">
        <f t="shared" si="122"/>
        <v>625.59567156403864</v>
      </c>
      <c r="CY182" s="62">
        <f ca="1">AVERAGE(OFFSET($CX$3,0,0,'Données projet'!$E$13+1,1))-AVERAGE(OFFSET($H$3,0,0,'Données projet'!$E$13+1,1))</f>
        <v>159.92263609041913</v>
      </c>
      <c r="CZ182" s="62">
        <f t="shared" si="150"/>
        <v>271.78119133009307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0.3422452944125226</v>
      </c>
      <c r="DG182" s="23">
        <f>EXP(-LN(2)/25)*DG181+(1-EXP(-LN(2)/25))/(LN(2)/25)*Calculateur!DB182*Calculateur!DD182*VLOOKUP('Données projet'!$B$13,Paramètres!$A$1:$I$89,3,0)*0.475*44/12</f>
        <v>0.470074311970962</v>
      </c>
      <c r="DH182" s="23">
        <f>EXP(-LN(2)/2)*DH181+(1-EXP(-LN(2)/2))/(LN(2)/2)*DB182*DE182*VLOOKUP('Données projet'!$B$13,Paramètres!$A$1:$I$89,3,0)*0.475*44/12</f>
        <v>1.0269875461537817E-21</v>
      </c>
      <c r="DI182" s="24">
        <f t="shared" si="175"/>
        <v>0.81231960638348455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-5.4683368944097308E-14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122.60806128440754</v>
      </c>
      <c r="DU182" s="62">
        <f t="shared" si="152"/>
        <v>73.937252053142004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0</v>
      </c>
      <c r="EP182" s="62">
        <f t="shared" si="154"/>
        <v>0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382.55387448074327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0.11291926972362643</v>
      </c>
      <c r="AA183" s="23">
        <f>EXP(-LN(2)/25)*AA182+(1-EXP(-LN(2)/25))/(LN(2)/25)*Calculateur!V183*Calculateur!X183*VLOOKUP('Données projet'!$B$9,Paramètres!$A$1:$I$89,3,0)*0.475*44/12</f>
        <v>0.16694804503300928</v>
      </c>
      <c r="AB183" s="23">
        <f>EXP(-LN(2)/2)*AB182+(1-EXP(-LN(2)/2))/(LN(2)/2)*V183*Y183*VLOOKUP('Données projet'!$B$9,Paramètres!$A$1:$I$89,3,0)*0.475*44/12</f>
        <v>5.962688226589211E-22</v>
      </c>
      <c r="AC183" s="24">
        <f t="shared" si="163"/>
        <v>0.27986731475663573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269.64423257646359</v>
      </c>
      <c r="AO183" s="62">
        <f t="shared" si="144"/>
        <v>161.0819079811821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8.5265128291212022E-14</v>
      </c>
      <c r="BE183" s="14">
        <f>BD183*VLOOKUP('Données projet'!$B$11,Paramètres!$A$1:$I$89,3,0)*VLOOKUP('Données projet'!$B$11,Paramètres!$A$1:$I$89,5,0)</f>
        <v>3.990408004028723E-14</v>
      </c>
      <c r="BF183" s="14">
        <f t="shared" si="167"/>
        <v>6.6713074187844705E-13</v>
      </c>
      <c r="BG183" s="22">
        <f t="shared" si="168"/>
        <v>1.2314189815084623E-12</v>
      </c>
      <c r="BH183" s="62">
        <f t="shared" si="116"/>
        <v>293.33333333333456</v>
      </c>
      <c r="BI183" s="62">
        <f ca="1">AVERAGE(OFFSET($BH$3,0,0,'Données projet'!$E$11+1,1))-AVERAGE(OFFSET($H$3,0,0,'Données projet'!$E$11+1,1))</f>
        <v>90.797383835887558</v>
      </c>
      <c r="BJ183" s="62">
        <f t="shared" si="146"/>
        <v>104.31413437636684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4.9491091245899177E-2</v>
      </c>
      <c r="BQ183" s="23">
        <f>EXP(-LN(2)/25)*BQ182+(1-EXP(-LN(2)/25))/(LN(2)/25)*Calculateur!BL183*Calculateur!BN183*VLOOKUP('Données projet'!$B$11,Paramètres!$A$1:$I$89,3,0)*0.475*44/12</f>
        <v>6.6301925421345345E-2</v>
      </c>
      <c r="BR183" s="23">
        <f>EXP(-LN(2)/2)*BR182+(1-EXP(-LN(2)/2))/(LN(2)/2)*BL183*BO183*VLOOKUP('Données projet'!$B$11,Paramètres!$A$1:$I$89,3,0)*0.475*44/12</f>
        <v>7.832852851316023E-23</v>
      </c>
      <c r="BS183" s="24">
        <f t="shared" si="169"/>
        <v>0.11579301666724452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304</v>
      </c>
      <c r="BZ183" s="14">
        <f>BY183*VLOOKUP('Données projet'!$B$12,Paramètres!$A$1:$I$89,3,0)*VLOOKUP('Données projet'!$B$12,Paramètres!$A$1:$I$89,5,0)</f>
        <v>189.696</v>
      </c>
      <c r="CA183" s="14">
        <f t="shared" si="170"/>
        <v>47.472736505152469</v>
      </c>
      <c r="CB183" s="22">
        <f t="shared" si="171"/>
        <v>413.06888274647389</v>
      </c>
      <c r="CC183" s="62">
        <f t="shared" si="119"/>
        <v>706.4022160798072</v>
      </c>
      <c r="CD183" s="62">
        <f ca="1">AVERAGE(OFFSET($CC$3,0,0,'Données projet'!$E$12+1,1))-AVERAGE(OFFSET($H$3,0,0,'Données projet'!$E$12+1,1))</f>
        <v>179.44051550872138</v>
      </c>
      <c r="CE183" s="62">
        <f t="shared" si="148"/>
        <v>272.9500808380069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0.25593444022915912</v>
      </c>
      <c r="CL183" s="23">
        <f>EXP(-LN(2)/25)*CL182+(1-EXP(-LN(2)/25))/(LN(2)/25)*Calculateur!CG183*Calculateur!CI183*VLOOKUP('Données projet'!$B$12,Paramètres!$A$1:$I$89,3,0)*0.475*44/12</f>
        <v>0.31351880186348446</v>
      </c>
      <c r="CM183" s="23">
        <f>EXP(-LN(2)/2)*CM182+(1-EXP(-LN(2)/2))/(LN(2)/2)*CG183*CJ183*VLOOKUP('Données projet'!$B$12,Paramètres!$A$1:$I$89,3,0)*0.475*44/12</f>
        <v>5.4548296058365124E-22</v>
      </c>
      <c r="CN183" s="24">
        <f t="shared" si="172"/>
        <v>0.56945324209264359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277.99999999999994</v>
      </c>
      <c r="CU183" s="18">
        <f>CT183*VLOOKUP('Données projet'!$B$13,Paramètres!$A$1:$I$89,3,0)*VLOOKUP('Données projet'!$B$13,Paramètres!$A$1:$I$89,5,0)</f>
        <v>151.78799999999998</v>
      </c>
      <c r="CV183" s="14">
        <f t="shared" si="173"/>
        <v>38.984634390835623</v>
      </c>
      <c r="CW183" s="22">
        <f t="shared" si="174"/>
        <v>332.26233823070532</v>
      </c>
      <c r="CX183" s="62">
        <f t="shared" si="122"/>
        <v>625.59567156403864</v>
      </c>
      <c r="CY183" s="62">
        <f ca="1">AVERAGE(OFFSET($CX$3,0,0,'Données projet'!$E$13+1,1))-AVERAGE(OFFSET($H$3,0,0,'Données projet'!$E$13+1,1))</f>
        <v>159.92263609041913</v>
      </c>
      <c r="CZ183" s="62">
        <f t="shared" si="150"/>
        <v>271.78119133009307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0.33553407293811038</v>
      </c>
      <c r="DG183" s="23">
        <f>EXP(-LN(2)/25)*DG182+(1-EXP(-LN(2)/25))/(LN(2)/25)*Calculateur!DB183*Calculateur!DD183*VLOOKUP('Données projet'!$B$13,Paramètres!$A$1:$I$89,3,0)*0.475*44/12</f>
        <v>0.45722010518998235</v>
      </c>
      <c r="DH183" s="23">
        <f>EXP(-LN(2)/2)*DH182+(1-EXP(-LN(2)/2))/(LN(2)/2)*DB183*DE183*VLOOKUP('Données projet'!$B$13,Paramètres!$A$1:$I$89,3,0)*0.475*44/12</f>
        <v>7.2618985807947148E-22</v>
      </c>
      <c r="DI183" s="24">
        <f t="shared" si="175"/>
        <v>0.79275417812809268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-5.4683368944097308E-14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122.60806128440754</v>
      </c>
      <c r="DU183" s="62">
        <f t="shared" si="152"/>
        <v>73.937252053142004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0</v>
      </c>
      <c r="EP183" s="62">
        <f t="shared" si="154"/>
        <v>0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382.55387448074327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0.11070499171829991</v>
      </c>
      <c r="AA184" s="23">
        <f>EXP(-LN(2)/25)*AA183+(1-EXP(-LN(2)/25))/(LN(2)/25)*Calculateur!V184*Calculateur!X184*VLOOKUP('Données projet'!$B$9,Paramètres!$A$1:$I$89,3,0)*0.475*44/12</f>
        <v>0.16238284196216551</v>
      </c>
      <c r="AB184" s="23">
        <f>EXP(-LN(2)/2)*AB183+(1-EXP(-LN(2)/2))/(LN(2)/2)*V184*Y184*VLOOKUP('Données projet'!$B$9,Paramètres!$A$1:$I$89,3,0)*0.475*44/12</f>
        <v>4.2162572791224204E-22</v>
      </c>
      <c r="AC184" s="24">
        <f t="shared" si="163"/>
        <v>0.27308783368046541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269.64423257646359</v>
      </c>
      <c r="AO184" s="62">
        <f t="shared" si="144"/>
        <v>161.0819079811821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8.5265128291212022E-14</v>
      </c>
      <c r="BE184" s="14">
        <f>BD184*VLOOKUP('Données projet'!$B$11,Paramètres!$A$1:$I$89,3,0)*VLOOKUP('Données projet'!$B$11,Paramètres!$A$1:$I$89,5,0)</f>
        <v>3.990408004028723E-14</v>
      </c>
      <c r="BF184" s="14">
        <f t="shared" si="167"/>
        <v>6.6713074187844705E-13</v>
      </c>
      <c r="BG184" s="22">
        <f t="shared" si="168"/>
        <v>1.2314189815084623E-12</v>
      </c>
      <c r="BH184" s="62">
        <f t="shared" si="116"/>
        <v>293.33333333333456</v>
      </c>
      <c r="BI184" s="62">
        <f ca="1">AVERAGE(OFFSET($BH$3,0,0,'Données projet'!$E$11+1,1))-AVERAGE(OFFSET($H$3,0,0,'Données projet'!$E$11+1,1))</f>
        <v>90.797383835887558</v>
      </c>
      <c r="BJ184" s="62">
        <f t="shared" si="146"/>
        <v>104.31413437636684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4.8520601133152076E-2</v>
      </c>
      <c r="BQ184" s="23">
        <f>EXP(-LN(2)/25)*BQ183+(1-EXP(-LN(2)/25))/(LN(2)/25)*Calculateur!BL184*Calculateur!BN184*VLOOKUP('Données projet'!$B$11,Paramètres!$A$1:$I$89,3,0)*0.475*44/12</f>
        <v>6.4488895784031927E-2</v>
      </c>
      <c r="BR184" s="23">
        <f>EXP(-LN(2)/2)*BR183+(1-EXP(-LN(2)/2))/(LN(2)/2)*BL184*BO184*VLOOKUP('Données projet'!$B$11,Paramètres!$A$1:$I$89,3,0)*0.475*44/12</f>
        <v>5.5386633672019439E-23</v>
      </c>
      <c r="BS184" s="24">
        <f t="shared" si="169"/>
        <v>0.11300949691718401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304</v>
      </c>
      <c r="BZ184" s="14">
        <f>BY184*VLOOKUP('Données projet'!$B$12,Paramètres!$A$1:$I$89,3,0)*VLOOKUP('Données projet'!$B$12,Paramètres!$A$1:$I$89,5,0)</f>
        <v>189.696</v>
      </c>
      <c r="CA184" s="14">
        <f t="shared" si="170"/>
        <v>47.472736505152469</v>
      </c>
      <c r="CB184" s="22">
        <f t="shared" si="171"/>
        <v>413.06888274647389</v>
      </c>
      <c r="CC184" s="62">
        <f t="shared" si="119"/>
        <v>706.4022160798072</v>
      </c>
      <c r="CD184" s="62">
        <f ca="1">AVERAGE(OFFSET($CC$3,0,0,'Données projet'!$E$12+1,1))-AVERAGE(OFFSET($H$3,0,0,'Données projet'!$E$12+1,1))</f>
        <v>179.44051550872138</v>
      </c>
      <c r="CE184" s="62">
        <f t="shared" si="148"/>
        <v>272.9500808380069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0.25091572196085982</v>
      </c>
      <c r="CL184" s="23">
        <f>EXP(-LN(2)/25)*CL183+(1-EXP(-LN(2)/25))/(LN(2)/25)*Calculateur!CG184*Calculateur!CI184*VLOOKUP('Données projet'!$B$12,Paramètres!$A$1:$I$89,3,0)*0.475*44/12</f>
        <v>0.30494561373929024</v>
      </c>
      <c r="CM184" s="23">
        <f>EXP(-LN(2)/2)*CM183+(1-EXP(-LN(2)/2))/(LN(2)/2)*CG184*CJ184*VLOOKUP('Données projet'!$B$12,Paramètres!$A$1:$I$89,3,0)*0.475*44/12</f>
        <v>3.8571470045041401E-22</v>
      </c>
      <c r="CN184" s="24">
        <f t="shared" si="172"/>
        <v>0.55586133570015006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277.99999999999994</v>
      </c>
      <c r="CU184" s="18">
        <f>CT184*VLOOKUP('Données projet'!$B$13,Paramètres!$A$1:$I$89,3,0)*VLOOKUP('Données projet'!$B$13,Paramètres!$A$1:$I$89,5,0)</f>
        <v>151.78799999999998</v>
      </c>
      <c r="CV184" s="14">
        <f t="shared" si="173"/>
        <v>38.984634390835623</v>
      </c>
      <c r="CW184" s="22">
        <f t="shared" si="174"/>
        <v>332.26233823070532</v>
      </c>
      <c r="CX184" s="62">
        <f t="shared" si="122"/>
        <v>625.59567156403864</v>
      </c>
      <c r="CY184" s="62">
        <f ca="1">AVERAGE(OFFSET($CX$3,0,0,'Données projet'!$E$13+1,1))-AVERAGE(OFFSET($H$3,0,0,'Données projet'!$E$13+1,1))</f>
        <v>159.92263609041913</v>
      </c>
      <c r="CZ184" s="62">
        <f t="shared" si="150"/>
        <v>271.78119133009307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0.32895445442337046</v>
      </c>
      <c r="DG184" s="23">
        <f>EXP(-LN(2)/25)*DG183+(1-EXP(-LN(2)/25))/(LN(2)/25)*Calculateur!DB184*Calculateur!DD184*VLOOKUP('Données projet'!$B$13,Paramètres!$A$1:$I$89,3,0)*0.475*44/12</f>
        <v>0.44471739736940197</v>
      </c>
      <c r="DH184" s="23">
        <f>EXP(-LN(2)/2)*DH183+(1-EXP(-LN(2)/2))/(LN(2)/2)*DB184*DE184*VLOOKUP('Données projet'!$B$13,Paramètres!$A$1:$I$89,3,0)*0.475*44/12</f>
        <v>5.1349377307689084E-22</v>
      </c>
      <c r="DI184" s="24">
        <f t="shared" si="175"/>
        <v>0.77367185179277242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-5.4683368944097308E-14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122.60806128440754</v>
      </c>
      <c r="DU184" s="62">
        <f t="shared" si="152"/>
        <v>73.937252053142004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0</v>
      </c>
      <c r="EP184" s="62">
        <f t="shared" si="154"/>
        <v>0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382.55387448074327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0.10853413435408162</v>
      </c>
      <c r="AA185" s="23">
        <f>EXP(-LN(2)/25)*AA184+(1-EXP(-LN(2)/25))/(LN(2)/25)*Calculateur!V185*Calculateur!X185*VLOOKUP('Données projet'!$B$9,Paramètres!$A$1:$I$89,3,0)*0.475*44/12</f>
        <v>0.15794247460936758</v>
      </c>
      <c r="AB185" s="23">
        <f>EXP(-LN(2)/2)*AB184+(1-EXP(-LN(2)/2))/(LN(2)/2)*V185*Y185*VLOOKUP('Données projet'!$B$9,Paramètres!$A$1:$I$89,3,0)*0.475*44/12</f>
        <v>2.981344113294606E-22</v>
      </c>
      <c r="AC185" s="24">
        <f t="shared" si="163"/>
        <v>0.26647660896344921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269.64423257646359</v>
      </c>
      <c r="AO185" s="62">
        <f t="shared" si="144"/>
        <v>161.0819079811821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8.5265128291212022E-14</v>
      </c>
      <c r="BE185" s="14">
        <f>BD185*VLOOKUP('Données projet'!$B$11,Paramètres!$A$1:$I$89,3,0)*VLOOKUP('Données projet'!$B$11,Paramètres!$A$1:$I$89,5,0)</f>
        <v>3.990408004028723E-14</v>
      </c>
      <c r="BF185" s="14">
        <f t="shared" si="167"/>
        <v>6.6713074187844705E-13</v>
      </c>
      <c r="BG185" s="22">
        <f t="shared" si="168"/>
        <v>1.2314189815084623E-12</v>
      </c>
      <c r="BH185" s="62">
        <f t="shared" si="116"/>
        <v>293.33333333333456</v>
      </c>
      <c r="BI185" s="62">
        <f ca="1">AVERAGE(OFFSET($BH$3,0,0,'Données projet'!$E$11+1,1))-AVERAGE(OFFSET($H$3,0,0,'Données projet'!$E$11+1,1))</f>
        <v>90.797383835887558</v>
      </c>
      <c r="BJ185" s="62">
        <f t="shared" si="146"/>
        <v>104.31413437636684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4.7569141739575424E-2</v>
      </c>
      <c r="BQ185" s="23">
        <f>EXP(-LN(2)/25)*BQ184+(1-EXP(-LN(2)/25))/(LN(2)/25)*Calculateur!BL185*Calculateur!BN185*VLOOKUP('Données projet'!$B$11,Paramètres!$A$1:$I$89,3,0)*0.475*44/12</f>
        <v>6.272544353749393E-2</v>
      </c>
      <c r="BR185" s="23">
        <f>EXP(-LN(2)/2)*BR184+(1-EXP(-LN(2)/2))/(LN(2)/2)*BL185*BO185*VLOOKUP('Données projet'!$B$11,Paramètres!$A$1:$I$89,3,0)*0.475*44/12</f>
        <v>3.9164264256580115E-23</v>
      </c>
      <c r="BS185" s="24">
        <f t="shared" si="169"/>
        <v>0.11029458527706935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304</v>
      </c>
      <c r="BZ185" s="14">
        <f>BY185*VLOOKUP('Données projet'!$B$12,Paramètres!$A$1:$I$89,3,0)*VLOOKUP('Données projet'!$B$12,Paramètres!$A$1:$I$89,5,0)</f>
        <v>189.696</v>
      </c>
      <c r="CA185" s="14">
        <f t="shared" si="170"/>
        <v>47.472736505152469</v>
      </c>
      <c r="CB185" s="22">
        <f t="shared" si="171"/>
        <v>413.06888274647389</v>
      </c>
      <c r="CC185" s="62">
        <f t="shared" si="119"/>
        <v>706.4022160798072</v>
      </c>
      <c r="CD185" s="62">
        <f ca="1">AVERAGE(OFFSET($CC$3,0,0,'Données projet'!$E$12+1,1))-AVERAGE(OFFSET($H$3,0,0,'Données projet'!$E$12+1,1))</f>
        <v>179.44051550872138</v>
      </c>
      <c r="CE185" s="62">
        <f t="shared" si="148"/>
        <v>272.9500808380069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0.24599541769668595</v>
      </c>
      <c r="CL185" s="23">
        <f>EXP(-LN(2)/25)*CL184+(1-EXP(-LN(2)/25))/(LN(2)/25)*Calculateur!CG185*Calculateur!CI185*VLOOKUP('Données projet'!$B$12,Paramètres!$A$1:$I$89,3,0)*0.475*44/12</f>
        <v>0.29660685989519647</v>
      </c>
      <c r="CM185" s="23">
        <f>EXP(-LN(2)/2)*CM184+(1-EXP(-LN(2)/2))/(LN(2)/2)*CG185*CJ185*VLOOKUP('Données projet'!$B$12,Paramètres!$A$1:$I$89,3,0)*0.475*44/12</f>
        <v>2.7274148029182562E-22</v>
      </c>
      <c r="CN185" s="24">
        <f t="shared" si="172"/>
        <v>0.5426022775918824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277.99999999999994</v>
      </c>
      <c r="CU185" s="18">
        <f>CT185*VLOOKUP('Données projet'!$B$13,Paramètres!$A$1:$I$89,3,0)*VLOOKUP('Données projet'!$B$13,Paramètres!$A$1:$I$89,5,0)</f>
        <v>151.78799999999998</v>
      </c>
      <c r="CV185" s="14">
        <f t="shared" si="173"/>
        <v>38.984634390835623</v>
      </c>
      <c r="CW185" s="22">
        <f t="shared" si="174"/>
        <v>332.26233823070532</v>
      </c>
      <c r="CX185" s="62">
        <f t="shared" si="122"/>
        <v>625.59567156403864</v>
      </c>
      <c r="CY185" s="62">
        <f ca="1">AVERAGE(OFFSET($CX$3,0,0,'Données projet'!$E$13+1,1))-AVERAGE(OFFSET($H$3,0,0,'Données projet'!$E$13+1,1))</f>
        <v>159.92263609041913</v>
      </c>
      <c r="CZ185" s="62">
        <f t="shared" si="150"/>
        <v>271.78119133009307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0.32250385821453359</v>
      </c>
      <c r="DG185" s="23">
        <f>EXP(-LN(2)/25)*DG184+(1-EXP(-LN(2)/25))/(LN(2)/25)*Calculateur!DB185*Calculateur!DD185*VLOOKUP('Données projet'!$B$13,Paramètres!$A$1:$I$89,3,0)*0.475*44/12</f>
        <v>0.43255657675166415</v>
      </c>
      <c r="DH185" s="23">
        <f>EXP(-LN(2)/2)*DH184+(1-EXP(-LN(2)/2))/(LN(2)/2)*DB185*DE185*VLOOKUP('Données projet'!$B$13,Paramètres!$A$1:$I$89,3,0)*0.475*44/12</f>
        <v>3.6309492903973574E-22</v>
      </c>
      <c r="DI185" s="24">
        <f t="shared" si="175"/>
        <v>0.75506043496619779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-5.4683368944097308E-14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122.60806128440754</v>
      </c>
      <c r="DU185" s="62">
        <f t="shared" si="152"/>
        <v>73.937252053142004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0</v>
      </c>
      <c r="EP185" s="62">
        <f t="shared" si="154"/>
        <v>0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382.55387448074327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0.1064058461786834</v>
      </c>
      <c r="AA186" s="23">
        <f>EXP(-LN(2)/25)*AA185+(1-EXP(-LN(2)/25))/(LN(2)/25)*Calculateur!V186*Calculateur!X186*VLOOKUP('Données projet'!$B$9,Paramètres!$A$1:$I$89,3,0)*0.475*44/12</f>
        <v>0.15362352933534068</v>
      </c>
      <c r="AB186" s="23">
        <f>EXP(-LN(2)/2)*AB185+(1-EXP(-LN(2)/2))/(LN(2)/2)*V186*Y186*VLOOKUP('Données projet'!$B$9,Paramètres!$A$1:$I$89,3,0)*0.475*44/12</f>
        <v>2.1081286395612107E-22</v>
      </c>
      <c r="AC186" s="24">
        <f t="shared" si="163"/>
        <v>0.26002937551402405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269.64423257646359</v>
      </c>
      <c r="AO186" s="62">
        <f t="shared" si="144"/>
        <v>161.0819079811821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8.5265128291212022E-14</v>
      </c>
      <c r="BE186" s="14">
        <f>BD186*VLOOKUP('Données projet'!$B$11,Paramètres!$A$1:$I$89,3,0)*VLOOKUP('Données projet'!$B$11,Paramètres!$A$1:$I$89,5,0)</f>
        <v>3.990408004028723E-14</v>
      </c>
      <c r="BF186" s="14">
        <f t="shared" si="167"/>
        <v>6.6713074187844705E-13</v>
      </c>
      <c r="BG186" s="22">
        <f t="shared" si="168"/>
        <v>1.2314189815084623E-12</v>
      </c>
      <c r="BH186" s="62">
        <f t="shared" si="116"/>
        <v>293.33333333333456</v>
      </c>
      <c r="BI186" s="62">
        <f ca="1">AVERAGE(OFFSET($BH$3,0,0,'Données projet'!$E$11+1,1))-AVERAGE(OFFSET($H$3,0,0,'Données projet'!$E$11+1,1))</f>
        <v>90.797383835887558</v>
      </c>
      <c r="BJ186" s="62">
        <f t="shared" si="146"/>
        <v>104.31413437636684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4.6636339884373886E-2</v>
      </c>
      <c r="BQ186" s="23">
        <f>EXP(-LN(2)/25)*BQ185+(1-EXP(-LN(2)/25))/(LN(2)/25)*Calculateur!BL186*Calculateur!BN186*VLOOKUP('Données projet'!$B$11,Paramètres!$A$1:$I$89,3,0)*0.475*44/12</f>
        <v>6.1010212985373444E-2</v>
      </c>
      <c r="BR186" s="23">
        <f>EXP(-LN(2)/2)*BR185+(1-EXP(-LN(2)/2))/(LN(2)/2)*BL186*BO186*VLOOKUP('Données projet'!$B$11,Paramètres!$A$1:$I$89,3,0)*0.475*44/12</f>
        <v>2.7693316836009719E-23</v>
      </c>
      <c r="BS186" s="24">
        <f t="shared" si="169"/>
        <v>0.10764655286974734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304</v>
      </c>
      <c r="BZ186" s="14">
        <f>BY186*VLOOKUP('Données projet'!$B$12,Paramètres!$A$1:$I$89,3,0)*VLOOKUP('Données projet'!$B$12,Paramètres!$A$1:$I$89,5,0)</f>
        <v>189.696</v>
      </c>
      <c r="CA186" s="14">
        <f t="shared" si="170"/>
        <v>47.472736505152469</v>
      </c>
      <c r="CB186" s="22">
        <f t="shared" si="171"/>
        <v>413.06888274647389</v>
      </c>
      <c r="CC186" s="62">
        <f t="shared" si="119"/>
        <v>706.4022160798072</v>
      </c>
      <c r="CD186" s="62">
        <f ca="1">AVERAGE(OFFSET($CC$3,0,0,'Données projet'!$E$12+1,1))-AVERAGE(OFFSET($H$3,0,0,'Données projet'!$E$12+1,1))</f>
        <v>179.44051550872138</v>
      </c>
      <c r="CE186" s="62">
        <f t="shared" si="148"/>
        <v>272.9500808380069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0.24117159759804327</v>
      </c>
      <c r="CL186" s="23">
        <f>EXP(-LN(2)/25)*CL185+(1-EXP(-LN(2)/25))/(LN(2)/25)*Calculateur!CG186*Calculateur!CI186*VLOOKUP('Données projet'!$B$12,Paramètres!$A$1:$I$89,3,0)*0.475*44/12</f>
        <v>0.28849612971348548</v>
      </c>
      <c r="CM186" s="23">
        <f>EXP(-LN(2)/2)*CM185+(1-EXP(-LN(2)/2))/(LN(2)/2)*CG186*CJ186*VLOOKUP('Données projet'!$B$12,Paramètres!$A$1:$I$89,3,0)*0.475*44/12</f>
        <v>1.92857350225207E-22</v>
      </c>
      <c r="CN186" s="24">
        <f t="shared" si="172"/>
        <v>0.52966772731152878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277.99999999999994</v>
      </c>
      <c r="CU186" s="18">
        <f>CT186*VLOOKUP('Données projet'!$B$13,Paramètres!$A$1:$I$89,3,0)*VLOOKUP('Données projet'!$B$13,Paramètres!$A$1:$I$89,5,0)</f>
        <v>151.78799999999998</v>
      </c>
      <c r="CV186" s="14">
        <f t="shared" si="173"/>
        <v>38.984634390835623</v>
      </c>
      <c r="CW186" s="22">
        <f t="shared" si="174"/>
        <v>332.26233823070532</v>
      </c>
      <c r="CX186" s="62">
        <f t="shared" si="122"/>
        <v>625.59567156403864</v>
      </c>
      <c r="CY186" s="62">
        <f ca="1">AVERAGE(OFFSET($CX$3,0,0,'Données projet'!$E$13+1,1))-AVERAGE(OFFSET($H$3,0,0,'Données projet'!$E$13+1,1))</f>
        <v>159.92263609041913</v>
      </c>
      <c r="CZ186" s="62">
        <f t="shared" si="150"/>
        <v>271.78119133009307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0.31617975426287681</v>
      </c>
      <c r="DG186" s="23">
        <f>EXP(-LN(2)/25)*DG185+(1-EXP(-LN(2)/25))/(LN(2)/25)*Calculateur!DB186*Calculateur!DD186*VLOOKUP('Données projet'!$B$13,Paramètres!$A$1:$I$89,3,0)*0.475*44/12</f>
        <v>0.42072829441322812</v>
      </c>
      <c r="DH186" s="23">
        <f>EXP(-LN(2)/2)*DH185+(1-EXP(-LN(2)/2))/(LN(2)/2)*DB186*DE186*VLOOKUP('Données projet'!$B$13,Paramètres!$A$1:$I$89,3,0)*0.475*44/12</f>
        <v>2.5674688653844542E-22</v>
      </c>
      <c r="DI186" s="24">
        <f t="shared" si="175"/>
        <v>0.73690804867610493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-5.4683368944097308E-14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122.60806128440754</v>
      </c>
      <c r="DU186" s="62">
        <f t="shared" si="152"/>
        <v>73.937252053142004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0</v>
      </c>
      <c r="EP186" s="62">
        <f t="shared" si="154"/>
        <v>0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382.55387448074327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0.10431929243627713</v>
      </c>
      <c r="AA187" s="23">
        <f>EXP(-LN(2)/25)*AA186+(1-EXP(-LN(2)/25))/(LN(2)/25)*Calculateur!V187*Calculateur!X187*VLOOKUP('Données projet'!$B$9,Paramètres!$A$1:$I$89,3,0)*0.475*44/12</f>
        <v>0.14942268584695551</v>
      </c>
      <c r="AB187" s="23">
        <f>EXP(-LN(2)/2)*AB186+(1-EXP(-LN(2)/2))/(LN(2)/2)*V187*Y187*VLOOKUP('Données projet'!$B$9,Paramètres!$A$1:$I$89,3,0)*0.475*44/12</f>
        <v>1.4906720566473032E-22</v>
      </c>
      <c r="AC187" s="24">
        <f t="shared" si="163"/>
        <v>0.25374197828323264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269.64423257646359</v>
      </c>
      <c r="AO187" s="62">
        <f t="shared" si="144"/>
        <v>161.0819079811821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8.5265128291212022E-14</v>
      </c>
      <c r="BE187" s="14">
        <f>BD187*VLOOKUP('Données projet'!$B$11,Paramètres!$A$1:$I$89,3,0)*VLOOKUP('Données projet'!$B$11,Paramètres!$A$1:$I$89,5,0)</f>
        <v>3.990408004028723E-14</v>
      </c>
      <c r="BF187" s="14">
        <f t="shared" si="167"/>
        <v>6.6713074187844705E-13</v>
      </c>
      <c r="BG187" s="22">
        <f t="shared" si="168"/>
        <v>1.2314189815084623E-12</v>
      </c>
      <c r="BH187" s="62">
        <f t="shared" si="116"/>
        <v>293.33333333333456</v>
      </c>
      <c r="BI187" s="62">
        <f ca="1">AVERAGE(OFFSET($BH$3,0,0,'Données projet'!$E$11+1,1))-AVERAGE(OFFSET($H$3,0,0,'Données projet'!$E$11+1,1))</f>
        <v>90.797383835887558</v>
      </c>
      <c r="BJ187" s="62">
        <f t="shared" si="146"/>
        <v>104.31413437636684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4.5721829704599898E-2</v>
      </c>
      <c r="BQ187" s="23">
        <f>EXP(-LN(2)/25)*BQ186+(1-EXP(-LN(2)/25))/(LN(2)/25)*Calculateur!BL187*Calculateur!BN187*VLOOKUP('Données projet'!$B$11,Paramètres!$A$1:$I$89,3,0)*0.475*44/12</f>
        <v>5.9341885502900746E-2</v>
      </c>
      <c r="BR187" s="23">
        <f>EXP(-LN(2)/2)*BR186+(1-EXP(-LN(2)/2))/(LN(2)/2)*BL187*BO187*VLOOKUP('Données projet'!$B$11,Paramètres!$A$1:$I$89,3,0)*0.475*44/12</f>
        <v>1.9582132128290058E-23</v>
      </c>
      <c r="BS187" s="24">
        <f t="shared" si="169"/>
        <v>0.10506371520750064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304</v>
      </c>
      <c r="BZ187" s="14">
        <f>BY187*VLOOKUP('Données projet'!$B$12,Paramètres!$A$1:$I$89,3,0)*VLOOKUP('Données projet'!$B$12,Paramètres!$A$1:$I$89,5,0)</f>
        <v>189.696</v>
      </c>
      <c r="CA187" s="14">
        <f t="shared" si="170"/>
        <v>47.472736505152469</v>
      </c>
      <c r="CB187" s="22">
        <f t="shared" si="171"/>
        <v>413.06888274647389</v>
      </c>
      <c r="CC187" s="62">
        <f t="shared" si="119"/>
        <v>706.4022160798072</v>
      </c>
      <c r="CD187" s="62">
        <f ca="1">AVERAGE(OFFSET($CC$3,0,0,'Données projet'!$E$12+1,1))-AVERAGE(OFFSET($H$3,0,0,'Données projet'!$E$12+1,1))</f>
        <v>179.44051550872138</v>
      </c>
      <c r="CE187" s="62">
        <f t="shared" si="148"/>
        <v>272.9500808380069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0.23644236966929524</v>
      </c>
      <c r="CL187" s="23">
        <f>EXP(-LN(2)/25)*CL186+(1-EXP(-LN(2)/25))/(LN(2)/25)*Calculateur!CG187*Calculateur!CI187*VLOOKUP('Données projet'!$B$12,Paramètres!$A$1:$I$89,3,0)*0.475*44/12</f>
        <v>0.28060718787511812</v>
      </c>
      <c r="CM187" s="23">
        <f>EXP(-LN(2)/2)*CM186+(1-EXP(-LN(2)/2))/(LN(2)/2)*CG187*CJ187*VLOOKUP('Données projet'!$B$12,Paramètres!$A$1:$I$89,3,0)*0.475*44/12</f>
        <v>1.3637074014591281E-22</v>
      </c>
      <c r="CN187" s="24">
        <f t="shared" si="172"/>
        <v>0.5170495575444134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277.99999999999994</v>
      </c>
      <c r="CU187" s="18">
        <f>CT187*VLOOKUP('Données projet'!$B$13,Paramètres!$A$1:$I$89,3,0)*VLOOKUP('Données projet'!$B$13,Paramètres!$A$1:$I$89,5,0)</f>
        <v>151.78799999999998</v>
      </c>
      <c r="CV187" s="14">
        <f t="shared" si="173"/>
        <v>38.984634390835623</v>
      </c>
      <c r="CW187" s="22">
        <f t="shared" si="174"/>
        <v>332.26233823070532</v>
      </c>
      <c r="CX187" s="62">
        <f t="shared" si="122"/>
        <v>625.59567156403864</v>
      </c>
      <c r="CY187" s="62">
        <f ca="1">AVERAGE(OFFSET($CX$3,0,0,'Données projet'!$E$13+1,1))-AVERAGE(OFFSET($H$3,0,0,'Données projet'!$E$13+1,1))</f>
        <v>159.92263609041913</v>
      </c>
      <c r="CZ187" s="62">
        <f t="shared" si="150"/>
        <v>271.78119133009307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0.30997966213238948</v>
      </c>
      <c r="DG187" s="23">
        <f>EXP(-LN(2)/25)*DG186+(1-EXP(-LN(2)/25))/(LN(2)/25)*Calculateur!DB187*Calculateur!DD187*VLOOKUP('Données projet'!$B$13,Paramètres!$A$1:$I$89,3,0)*0.475*44/12</f>
        <v>0.40922345707735897</v>
      </c>
      <c r="DH187" s="23">
        <f>EXP(-LN(2)/2)*DH186+(1-EXP(-LN(2)/2))/(LN(2)/2)*DB187*DE187*VLOOKUP('Données projet'!$B$13,Paramètres!$A$1:$I$89,3,0)*0.475*44/12</f>
        <v>1.8154746451986787E-22</v>
      </c>
      <c r="DI187" s="24">
        <f t="shared" si="175"/>
        <v>0.71920311920974844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-5.4683368944097308E-14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122.60806128440754</v>
      </c>
      <c r="DU187" s="62">
        <f t="shared" si="152"/>
        <v>73.937252053142004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0</v>
      </c>
      <c r="EP187" s="62">
        <f t="shared" si="154"/>
        <v>0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382.55387448074327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0.10227365474008733</v>
      </c>
      <c r="AA188" s="23">
        <f>EXP(-LN(2)/25)*AA187+(1-EXP(-LN(2)/25))/(LN(2)/25)*Calculateur!V188*Calculateur!X188*VLOOKUP('Données projet'!$B$9,Paramètres!$A$1:$I$89,3,0)*0.475*44/12</f>
        <v>0.14533671464467296</v>
      </c>
      <c r="AB188" s="23">
        <f>EXP(-LN(2)/2)*AB187+(1-EXP(-LN(2)/2))/(LN(2)/2)*V188*Y188*VLOOKUP('Données projet'!$B$9,Paramètres!$A$1:$I$89,3,0)*0.475*44/12</f>
        <v>1.0540643197806055E-22</v>
      </c>
      <c r="AC188" s="24">
        <f t="shared" si="163"/>
        <v>0.24761036938476028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269.64423257646359</v>
      </c>
      <c r="AO188" s="62">
        <f t="shared" si="144"/>
        <v>161.0819079811821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8.5265128291212022E-14</v>
      </c>
      <c r="BE188" s="14">
        <f>BD188*VLOOKUP('Données projet'!$B$11,Paramètres!$A$1:$I$89,3,0)*VLOOKUP('Données projet'!$B$11,Paramètres!$A$1:$I$89,5,0)</f>
        <v>3.990408004028723E-14</v>
      </c>
      <c r="BF188" s="14">
        <f t="shared" si="167"/>
        <v>6.6713074187844705E-13</v>
      </c>
      <c r="BG188" s="22">
        <f t="shared" si="168"/>
        <v>1.2314189815084623E-12</v>
      </c>
      <c r="BH188" s="62">
        <f t="shared" si="116"/>
        <v>293.33333333333456</v>
      </c>
      <c r="BI188" s="62">
        <f ca="1">AVERAGE(OFFSET($BH$3,0,0,'Données projet'!$E$11+1,1))-AVERAGE(OFFSET($H$3,0,0,'Données projet'!$E$11+1,1))</f>
        <v>90.797383835887558</v>
      </c>
      <c r="BJ188" s="62">
        <f t="shared" si="146"/>
        <v>104.31413437636684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4.4825252511655145E-2</v>
      </c>
      <c r="BQ188" s="23">
        <f>EXP(-LN(2)/25)*BQ187+(1-EXP(-LN(2)/25))/(LN(2)/25)*Calculateur!BL188*Calculateur!BN188*VLOOKUP('Données projet'!$B$11,Paramètres!$A$1:$I$89,3,0)*0.475*44/12</f>
        <v>5.7719178523169795E-2</v>
      </c>
      <c r="BR188" s="23">
        <f>EXP(-LN(2)/2)*BR187+(1-EXP(-LN(2)/2))/(LN(2)/2)*BL188*BO188*VLOOKUP('Données projet'!$B$11,Paramètres!$A$1:$I$89,3,0)*0.475*44/12</f>
        <v>1.384665841800486E-23</v>
      </c>
      <c r="BS188" s="24">
        <f t="shared" si="169"/>
        <v>0.10254443103482494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304</v>
      </c>
      <c r="BZ188" s="14">
        <f>BY188*VLOOKUP('Données projet'!$B$12,Paramètres!$A$1:$I$89,3,0)*VLOOKUP('Données projet'!$B$12,Paramètres!$A$1:$I$89,5,0)</f>
        <v>189.696</v>
      </c>
      <c r="CA188" s="14">
        <f t="shared" si="170"/>
        <v>47.472736505152469</v>
      </c>
      <c r="CB188" s="22">
        <f t="shared" si="171"/>
        <v>413.06888274647389</v>
      </c>
      <c r="CC188" s="62">
        <f t="shared" si="119"/>
        <v>706.4022160798072</v>
      </c>
      <c r="CD188" s="62">
        <f ca="1">AVERAGE(OFFSET($CC$3,0,0,'Données projet'!$E$12+1,1))-AVERAGE(OFFSET($H$3,0,0,'Données projet'!$E$12+1,1))</f>
        <v>179.44051550872138</v>
      </c>
      <c r="CE188" s="62">
        <f t="shared" si="148"/>
        <v>272.9500808380069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0.23180587901568575</v>
      </c>
      <c r="CL188" s="23">
        <f>EXP(-LN(2)/25)*CL187+(1-EXP(-LN(2)/25))/(LN(2)/25)*Calculateur!CG188*Calculateur!CI188*VLOOKUP('Données projet'!$B$12,Paramètres!$A$1:$I$89,3,0)*0.475*44/12</f>
        <v>0.27293396956618232</v>
      </c>
      <c r="CM188" s="23">
        <f>EXP(-LN(2)/2)*CM187+(1-EXP(-LN(2)/2))/(LN(2)/2)*CG188*CJ188*VLOOKUP('Données projet'!$B$12,Paramètres!$A$1:$I$89,3,0)*0.475*44/12</f>
        <v>9.6428675112603502E-23</v>
      </c>
      <c r="CN188" s="24">
        <f t="shared" si="172"/>
        <v>0.50473984858186804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277.99999999999994</v>
      </c>
      <c r="CU188" s="18">
        <f>CT188*VLOOKUP('Données projet'!$B$13,Paramètres!$A$1:$I$89,3,0)*VLOOKUP('Données projet'!$B$13,Paramètres!$A$1:$I$89,5,0)</f>
        <v>151.78799999999998</v>
      </c>
      <c r="CV188" s="14">
        <f t="shared" si="173"/>
        <v>38.984634390835623</v>
      </c>
      <c r="CW188" s="22">
        <f t="shared" si="174"/>
        <v>332.26233823070532</v>
      </c>
      <c r="CX188" s="62">
        <f t="shared" si="122"/>
        <v>625.59567156403864</v>
      </c>
      <c r="CY188" s="62">
        <f ca="1">AVERAGE(OFFSET($CX$3,0,0,'Données projet'!$E$13+1,1))-AVERAGE(OFFSET($H$3,0,0,'Données projet'!$E$13+1,1))</f>
        <v>159.92263609041913</v>
      </c>
      <c r="CZ188" s="62">
        <f t="shared" si="150"/>
        <v>271.78119133009307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0.30390115002689821</v>
      </c>
      <c r="DG188" s="23">
        <f>EXP(-LN(2)/25)*DG187+(1-EXP(-LN(2)/25))/(LN(2)/25)*Calculateur!DB188*Calculateur!DD188*VLOOKUP('Données projet'!$B$13,Paramètres!$A$1:$I$89,3,0)*0.475*44/12</f>
        <v>0.39803322012345227</v>
      </c>
      <c r="DH188" s="23">
        <f>EXP(-LN(2)/2)*DH187+(1-EXP(-LN(2)/2))/(LN(2)/2)*DB188*DE188*VLOOKUP('Données projet'!$B$13,Paramètres!$A$1:$I$89,3,0)*0.475*44/12</f>
        <v>1.2837344326922271E-22</v>
      </c>
      <c r="DI188" s="24">
        <f t="shared" si="175"/>
        <v>0.70193437015035043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-5.4683368944097308E-14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122.60806128440754</v>
      </c>
      <c r="DU188" s="62">
        <f t="shared" si="152"/>
        <v>73.937252053142004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0</v>
      </c>
      <c r="EP188" s="62">
        <f t="shared" si="154"/>
        <v>0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382.55387448074327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0.10026813075140402</v>
      </c>
      <c r="AA189" s="23">
        <f>EXP(-LN(2)/25)*AA188+(1-EXP(-LN(2)/25))/(LN(2)/25)*Calculateur!V189*Calculateur!X189*VLOOKUP('Données projet'!$B$9,Paramètres!$A$1:$I$89,3,0)*0.475*44/12</f>
        <v>0.14136247453978873</v>
      </c>
      <c r="AB189" s="23">
        <f>EXP(-LN(2)/2)*AB188+(1-EXP(-LN(2)/2))/(LN(2)/2)*V189*Y189*VLOOKUP('Données projet'!$B$9,Paramètres!$A$1:$I$89,3,0)*0.475*44/12</f>
        <v>7.4533602832365173E-23</v>
      </c>
      <c r="AC189" s="24">
        <f t="shared" si="163"/>
        <v>0.24163060529119273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269.64423257646359</v>
      </c>
      <c r="AO189" s="62">
        <f t="shared" si="144"/>
        <v>161.0819079811821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8.5265128291212022E-14</v>
      </c>
      <c r="BE189" s="14">
        <f>BD189*VLOOKUP('Données projet'!$B$11,Paramètres!$A$1:$I$89,3,0)*VLOOKUP('Données projet'!$B$11,Paramètres!$A$1:$I$89,5,0)</f>
        <v>3.990408004028723E-14</v>
      </c>
      <c r="BF189" s="14">
        <f t="shared" si="167"/>
        <v>6.6713074187844705E-13</v>
      </c>
      <c r="BG189" s="22">
        <f t="shared" si="168"/>
        <v>1.2314189815084623E-12</v>
      </c>
      <c r="BH189" s="62">
        <f t="shared" si="116"/>
        <v>293.33333333333456</v>
      </c>
      <c r="BI189" s="62">
        <f ca="1">AVERAGE(OFFSET($BH$3,0,0,'Données projet'!$E$11+1,1))-AVERAGE(OFFSET($H$3,0,0,'Données projet'!$E$11+1,1))</f>
        <v>90.797383835887558</v>
      </c>
      <c r="BJ189" s="62">
        <f t="shared" si="146"/>
        <v>104.31413437636684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4.3946256650605947E-2</v>
      </c>
      <c r="BQ189" s="23">
        <f>EXP(-LN(2)/25)*BQ188+(1-EXP(-LN(2)/25))/(LN(2)/25)*Calculateur!BL189*Calculateur!BN189*VLOOKUP('Données projet'!$B$11,Paramètres!$A$1:$I$89,3,0)*0.475*44/12</f>
        <v>5.6140844551134036E-2</v>
      </c>
      <c r="BR189" s="23">
        <f>EXP(-LN(2)/2)*BR188+(1-EXP(-LN(2)/2))/(LN(2)/2)*BL189*BO189*VLOOKUP('Données projet'!$B$11,Paramètres!$A$1:$I$89,3,0)*0.475*44/12</f>
        <v>9.7910660641450288E-24</v>
      </c>
      <c r="BS189" s="24">
        <f t="shared" si="169"/>
        <v>0.10008710120173998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304</v>
      </c>
      <c r="BZ189" s="14">
        <f>BY189*VLOOKUP('Données projet'!$B$12,Paramètres!$A$1:$I$89,3,0)*VLOOKUP('Données projet'!$B$12,Paramètres!$A$1:$I$89,5,0)</f>
        <v>189.696</v>
      </c>
      <c r="CA189" s="14">
        <f t="shared" si="170"/>
        <v>47.472736505152469</v>
      </c>
      <c r="CB189" s="22">
        <f t="shared" si="171"/>
        <v>413.06888274647389</v>
      </c>
      <c r="CC189" s="62">
        <f t="shared" si="119"/>
        <v>706.4022160798072</v>
      </c>
      <c r="CD189" s="62">
        <f ca="1">AVERAGE(OFFSET($CC$3,0,0,'Données projet'!$E$12+1,1))-AVERAGE(OFFSET($H$3,0,0,'Données projet'!$E$12+1,1))</f>
        <v>179.44051550872138</v>
      </c>
      <c r="CE189" s="62">
        <f t="shared" si="148"/>
        <v>272.9500808380069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0.22726030711581349</v>
      </c>
      <c r="CL189" s="23">
        <f>EXP(-LN(2)/25)*CL188+(1-EXP(-LN(2)/25))/(LN(2)/25)*Calculateur!CG189*Calculateur!CI189*VLOOKUP('Données projet'!$B$12,Paramètres!$A$1:$I$89,3,0)*0.475*44/12</f>
        <v>0.26547057581542138</v>
      </c>
      <c r="CM189" s="23">
        <f>EXP(-LN(2)/2)*CM188+(1-EXP(-LN(2)/2))/(LN(2)/2)*CG189*CJ189*VLOOKUP('Données projet'!$B$12,Paramètres!$A$1:$I$89,3,0)*0.475*44/12</f>
        <v>6.8185370072956405E-23</v>
      </c>
      <c r="CN189" s="24">
        <f t="shared" si="172"/>
        <v>0.4927308829312349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277.99999999999994</v>
      </c>
      <c r="CU189" s="18">
        <f>CT189*VLOOKUP('Données projet'!$B$13,Paramètres!$A$1:$I$89,3,0)*VLOOKUP('Données projet'!$B$13,Paramètres!$A$1:$I$89,5,0)</f>
        <v>151.78799999999998</v>
      </c>
      <c r="CV189" s="14">
        <f t="shared" si="173"/>
        <v>38.984634390835623</v>
      </c>
      <c r="CW189" s="22">
        <f t="shared" si="174"/>
        <v>332.26233823070532</v>
      </c>
      <c r="CX189" s="62">
        <f t="shared" si="122"/>
        <v>625.59567156403864</v>
      </c>
      <c r="CY189" s="62">
        <f ca="1">AVERAGE(OFFSET($CX$3,0,0,'Données projet'!$E$13+1,1))-AVERAGE(OFFSET($H$3,0,0,'Données projet'!$E$13+1,1))</f>
        <v>159.92263609041913</v>
      </c>
      <c r="CZ189" s="62">
        <f t="shared" si="150"/>
        <v>271.78119133009307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0.29794183383626932</v>
      </c>
      <c r="DG189" s="23">
        <f>EXP(-LN(2)/25)*DG188+(1-EXP(-LN(2)/25))/(LN(2)/25)*Calculateur!DB189*Calculateur!DD189*VLOOKUP('Données projet'!$B$13,Paramètres!$A$1:$I$89,3,0)*0.475*44/12</f>
        <v>0.38714898078751914</v>
      </c>
      <c r="DH189" s="23">
        <f>EXP(-LN(2)/2)*DH188+(1-EXP(-LN(2)/2))/(LN(2)/2)*DB189*DE189*VLOOKUP('Données projet'!$B$13,Paramètres!$A$1:$I$89,3,0)*0.475*44/12</f>
        <v>9.0773732259933935E-23</v>
      </c>
      <c r="DI189" s="24">
        <f t="shared" si="175"/>
        <v>0.6850908146237884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-5.4683368944097308E-14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122.60806128440754</v>
      </c>
      <c r="DU189" s="62">
        <f t="shared" si="152"/>
        <v>73.937252053142004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0</v>
      </c>
      <c r="EP189" s="62">
        <f t="shared" si="154"/>
        <v>0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382.55387448074327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9.8301933864889945E-2</v>
      </c>
      <c r="AA190" s="23">
        <f>EXP(-LN(2)/25)*AA189+(1-EXP(-LN(2)/25))/(LN(2)/25)*Calculateur!V190*Calculateur!X190*VLOOKUP('Données projet'!$B$9,Paramètres!$A$1:$I$89,3,0)*0.475*44/12</f>
        <v>0.13749691023956875</v>
      </c>
      <c r="AB190" s="23">
        <f>EXP(-LN(2)/2)*AB189+(1-EXP(-LN(2)/2))/(LN(2)/2)*V190*Y190*VLOOKUP('Données projet'!$B$9,Paramètres!$A$1:$I$89,3,0)*0.475*44/12</f>
        <v>5.2703215989030284E-23</v>
      </c>
      <c r="AC190" s="24">
        <f t="shared" si="163"/>
        <v>0.2357988441044587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269.64423257646359</v>
      </c>
      <c r="AO190" s="62">
        <f t="shared" si="144"/>
        <v>161.0819079811821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8.5265128291212022E-14</v>
      </c>
      <c r="BE190" s="14">
        <f>BD190*VLOOKUP('Données projet'!$B$11,Paramètres!$A$1:$I$89,3,0)*VLOOKUP('Données projet'!$B$11,Paramètres!$A$1:$I$89,5,0)</f>
        <v>3.990408004028723E-14</v>
      </c>
      <c r="BF190" s="14">
        <f t="shared" si="167"/>
        <v>6.6713074187844705E-13</v>
      </c>
      <c r="BG190" s="22">
        <f t="shared" si="168"/>
        <v>1.2314189815084623E-12</v>
      </c>
      <c r="BH190" s="62">
        <f t="shared" si="116"/>
        <v>293.33333333333456</v>
      </c>
      <c r="BI190" s="62">
        <f ca="1">AVERAGE(OFFSET($BH$3,0,0,'Données projet'!$E$11+1,1))-AVERAGE(OFFSET($H$3,0,0,'Données projet'!$E$11+1,1))</f>
        <v>90.797383835887558</v>
      </c>
      <c r="BJ190" s="62">
        <f t="shared" si="146"/>
        <v>104.31413437636684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4.308449736225739E-2</v>
      </c>
      <c r="BQ190" s="23">
        <f>EXP(-LN(2)/25)*BQ189+(1-EXP(-LN(2)/25))/(LN(2)/25)*Calculateur!BL190*Calculateur!BN190*VLOOKUP('Données projet'!$B$11,Paramètres!$A$1:$I$89,3,0)*0.475*44/12</f>
        <v>5.4605670204564576E-2</v>
      </c>
      <c r="BR190" s="23">
        <f>EXP(-LN(2)/2)*BR189+(1-EXP(-LN(2)/2))/(LN(2)/2)*BL190*BO190*VLOOKUP('Données projet'!$B$11,Paramètres!$A$1:$I$89,3,0)*0.475*44/12</f>
        <v>6.9233292090024299E-24</v>
      </c>
      <c r="BS190" s="24">
        <f t="shared" si="169"/>
        <v>9.7690167566821973E-2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304</v>
      </c>
      <c r="BZ190" s="14">
        <f>BY190*VLOOKUP('Données projet'!$B$12,Paramètres!$A$1:$I$89,3,0)*VLOOKUP('Données projet'!$B$12,Paramètres!$A$1:$I$89,5,0)</f>
        <v>189.696</v>
      </c>
      <c r="CA190" s="14">
        <f t="shared" si="170"/>
        <v>47.472736505152469</v>
      </c>
      <c r="CB190" s="22">
        <f t="shared" si="171"/>
        <v>413.06888274647389</v>
      </c>
      <c r="CC190" s="62">
        <f t="shared" si="119"/>
        <v>706.4022160798072</v>
      </c>
      <c r="CD190" s="62">
        <f ca="1">AVERAGE(OFFSET($CC$3,0,0,'Données projet'!$E$12+1,1))-AVERAGE(OFFSET($H$3,0,0,'Données projet'!$E$12+1,1))</f>
        <v>179.44051550872138</v>
      </c>
      <c r="CE190" s="62">
        <f t="shared" si="148"/>
        <v>272.9500808380069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0.22280387110837263</v>
      </c>
      <c r="CL190" s="23">
        <f>EXP(-LN(2)/25)*CL189+(1-EXP(-LN(2)/25))/(LN(2)/25)*Calculateur!CG190*Calculateur!CI190*VLOOKUP('Données projet'!$B$12,Paramètres!$A$1:$I$89,3,0)*0.475*44/12</f>
        <v>0.25821126895925783</v>
      </c>
      <c r="CM190" s="23">
        <f>EXP(-LN(2)/2)*CM189+(1-EXP(-LN(2)/2))/(LN(2)/2)*CG190*CJ190*VLOOKUP('Données projet'!$B$12,Paramètres!$A$1:$I$89,3,0)*0.475*44/12</f>
        <v>4.8214337556301751E-23</v>
      </c>
      <c r="CN190" s="24">
        <f t="shared" si="172"/>
        <v>0.48101514006763046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277.99999999999994</v>
      </c>
      <c r="CU190" s="18">
        <f>CT190*VLOOKUP('Données projet'!$B$13,Paramètres!$A$1:$I$89,3,0)*VLOOKUP('Données projet'!$B$13,Paramètres!$A$1:$I$89,5,0)</f>
        <v>151.78799999999998</v>
      </c>
      <c r="CV190" s="14">
        <f t="shared" si="173"/>
        <v>38.984634390835623</v>
      </c>
      <c r="CW190" s="22">
        <f t="shared" si="174"/>
        <v>332.26233823070532</v>
      </c>
      <c r="CX190" s="62">
        <f t="shared" si="122"/>
        <v>625.59567156403864</v>
      </c>
      <c r="CY190" s="62">
        <f ca="1">AVERAGE(OFFSET($CX$3,0,0,'Données projet'!$E$13+1,1))-AVERAGE(OFFSET($H$3,0,0,'Données projet'!$E$13+1,1))</f>
        <v>159.92263609041913</v>
      </c>
      <c r="CZ190" s="62">
        <f t="shared" si="150"/>
        <v>271.78119133009307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0.29209937620131471</v>
      </c>
      <c r="DG190" s="23">
        <f>EXP(-LN(2)/25)*DG189+(1-EXP(-LN(2)/25))/(LN(2)/25)*Calculateur!DB190*Calculateur!DD190*VLOOKUP('Données projet'!$B$13,Paramètres!$A$1:$I$89,3,0)*0.475*44/12</f>
        <v>0.37656237154860439</v>
      </c>
      <c r="DH190" s="23">
        <f>EXP(-LN(2)/2)*DH189+(1-EXP(-LN(2)/2))/(LN(2)/2)*DB190*DE190*VLOOKUP('Données projet'!$B$13,Paramètres!$A$1:$I$89,3,0)*0.475*44/12</f>
        <v>6.4186721634611355E-23</v>
      </c>
      <c r="DI190" s="24">
        <f t="shared" si="175"/>
        <v>0.66866174774991904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-5.4683368944097308E-14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122.60806128440754</v>
      </c>
      <c r="DU190" s="62">
        <f t="shared" si="152"/>
        <v>73.937252053142004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0</v>
      </c>
      <c r="EP190" s="62">
        <f t="shared" si="154"/>
        <v>0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382.55387448074327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9.6374292900058722E-2</v>
      </c>
      <c r="AA191" s="23">
        <f>EXP(-LN(2)/25)*AA190+(1-EXP(-LN(2)/25))/(LN(2)/25)*Calculateur!V191*Calculateur!X191*VLOOKUP('Données projet'!$B$9,Paramètres!$A$1:$I$89,3,0)*0.475*44/12</f>
        <v>0.13373704999841948</v>
      </c>
      <c r="AB191" s="23">
        <f>EXP(-LN(2)/2)*AB190+(1-EXP(-LN(2)/2))/(LN(2)/2)*V191*Y191*VLOOKUP('Données projet'!$B$9,Paramètres!$A$1:$I$89,3,0)*0.475*44/12</f>
        <v>3.7266801416182592E-23</v>
      </c>
      <c r="AC191" s="24">
        <f t="shared" si="163"/>
        <v>0.2301113428984782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269.64423257646359</v>
      </c>
      <c r="AO191" s="62">
        <f t="shared" si="144"/>
        <v>161.0819079811821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8.5265128291212022E-14</v>
      </c>
      <c r="BE191" s="14">
        <f>BD191*VLOOKUP('Données projet'!$B$11,Paramètres!$A$1:$I$89,3,0)*VLOOKUP('Données projet'!$B$11,Paramètres!$A$1:$I$89,5,0)</f>
        <v>3.990408004028723E-14</v>
      </c>
      <c r="BF191" s="14">
        <f t="shared" si="167"/>
        <v>6.6713074187844705E-13</v>
      </c>
      <c r="BG191" s="22">
        <f t="shared" si="168"/>
        <v>1.2314189815084623E-12</v>
      </c>
      <c r="BH191" s="62">
        <f t="shared" si="116"/>
        <v>293.33333333333456</v>
      </c>
      <c r="BI191" s="62">
        <f ca="1">AVERAGE(OFFSET($BH$3,0,0,'Données projet'!$E$11+1,1))-AVERAGE(OFFSET($H$3,0,0,'Données projet'!$E$11+1,1))</f>
        <v>90.797383835887558</v>
      </c>
      <c r="BJ191" s="62">
        <f t="shared" si="146"/>
        <v>104.31413437636684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4.223963664793208E-2</v>
      </c>
      <c r="BQ191" s="23">
        <f>EXP(-LN(2)/25)*BQ190+(1-EXP(-LN(2)/25))/(LN(2)/25)*Calculateur!BL191*Calculateur!BN191*VLOOKUP('Données projet'!$B$11,Paramètres!$A$1:$I$89,3,0)*0.475*44/12</f>
        <v>5.3112475281233362E-2</v>
      </c>
      <c r="BR191" s="23">
        <f>EXP(-LN(2)/2)*BR190+(1-EXP(-LN(2)/2))/(LN(2)/2)*BL191*BO191*VLOOKUP('Données projet'!$B$11,Paramètres!$A$1:$I$89,3,0)*0.475*44/12</f>
        <v>4.8955330320725144E-24</v>
      </c>
      <c r="BS191" s="24">
        <f t="shared" si="169"/>
        <v>9.5352111929165442E-2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304</v>
      </c>
      <c r="BZ191" s="14">
        <f>BY191*VLOOKUP('Données projet'!$B$12,Paramètres!$A$1:$I$89,3,0)*VLOOKUP('Données projet'!$B$12,Paramètres!$A$1:$I$89,5,0)</f>
        <v>189.696</v>
      </c>
      <c r="CA191" s="14">
        <f t="shared" si="170"/>
        <v>47.472736505152469</v>
      </c>
      <c r="CB191" s="22">
        <f t="shared" si="171"/>
        <v>413.06888274647389</v>
      </c>
      <c r="CC191" s="62">
        <f t="shared" si="119"/>
        <v>706.4022160798072</v>
      </c>
      <c r="CD191" s="62">
        <f ca="1">AVERAGE(OFFSET($CC$3,0,0,'Données projet'!$E$12+1,1))-AVERAGE(OFFSET($H$3,0,0,'Données projet'!$E$12+1,1))</f>
        <v>179.44051550872138</v>
      </c>
      <c r="CE191" s="62">
        <f t="shared" si="148"/>
        <v>272.9500808380069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0.21843482309288012</v>
      </c>
      <c r="CL191" s="23">
        <f>EXP(-LN(2)/25)*CL190+(1-EXP(-LN(2)/25))/(LN(2)/25)*Calculateur!CG191*Calculateur!CI191*VLOOKUP('Données projet'!$B$12,Paramètres!$A$1:$I$89,3,0)*0.475*44/12</f>
        <v>0.25115046823082643</v>
      </c>
      <c r="CM191" s="23">
        <f>EXP(-LN(2)/2)*CM190+(1-EXP(-LN(2)/2))/(LN(2)/2)*CG191*CJ191*VLOOKUP('Données projet'!$B$12,Paramètres!$A$1:$I$89,3,0)*0.475*44/12</f>
        <v>3.4092685036478202E-23</v>
      </c>
      <c r="CN191" s="24">
        <f t="shared" si="172"/>
        <v>0.46958529132370652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277.99999999999994</v>
      </c>
      <c r="CU191" s="18">
        <f>CT191*VLOOKUP('Données projet'!$B$13,Paramètres!$A$1:$I$89,3,0)*VLOOKUP('Données projet'!$B$13,Paramètres!$A$1:$I$89,5,0)</f>
        <v>151.78799999999998</v>
      </c>
      <c r="CV191" s="14">
        <f t="shared" si="173"/>
        <v>38.984634390835623</v>
      </c>
      <c r="CW191" s="22">
        <f t="shared" si="174"/>
        <v>332.26233823070532</v>
      </c>
      <c r="CX191" s="62">
        <f t="shared" si="122"/>
        <v>625.59567156403864</v>
      </c>
      <c r="CY191" s="62">
        <f ca="1">AVERAGE(OFFSET($CX$3,0,0,'Données projet'!$E$13+1,1))-AVERAGE(OFFSET($H$3,0,0,'Données projet'!$E$13+1,1))</f>
        <v>159.92263609041913</v>
      </c>
      <c r="CZ191" s="62">
        <f t="shared" si="150"/>
        <v>271.78119133009307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0.28637148559703429</v>
      </c>
      <c r="DG191" s="23">
        <f>EXP(-LN(2)/25)*DG190+(1-EXP(-LN(2)/25))/(LN(2)/25)*Calculateur!DB191*Calculateur!DD191*VLOOKUP('Données projet'!$B$13,Paramètres!$A$1:$I$89,3,0)*0.475*44/12</f>
        <v>0.36626525369605334</v>
      </c>
      <c r="DH191" s="23">
        <f>EXP(-LN(2)/2)*DH190+(1-EXP(-LN(2)/2))/(LN(2)/2)*DB191*DE191*VLOOKUP('Données projet'!$B$13,Paramètres!$A$1:$I$89,3,0)*0.475*44/12</f>
        <v>4.5386866129966968E-23</v>
      </c>
      <c r="DI191" s="24">
        <f t="shared" si="175"/>
        <v>0.65263673929308763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-5.4683368944097308E-14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122.60806128440754</v>
      </c>
      <c r="DU191" s="62">
        <f t="shared" si="152"/>
        <v>73.937252053142004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0</v>
      </c>
      <c r="EP191" s="62">
        <f t="shared" si="154"/>
        <v>0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382.55387448074327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9.4484451798802951E-2</v>
      </c>
      <c r="AA192" s="23">
        <f>EXP(-LN(2)/25)*AA191+(1-EXP(-LN(2)/25))/(LN(2)/25)*Calculateur!V192*Calculateur!X192*VLOOKUP('Données projet'!$B$9,Paramètres!$A$1:$I$89,3,0)*0.475*44/12</f>
        <v>0.1300800033332869</v>
      </c>
      <c r="AB192" s="23">
        <f>EXP(-LN(2)/2)*AB191+(1-EXP(-LN(2)/2))/(LN(2)/2)*V192*Y192*VLOOKUP('Données projet'!$B$9,Paramètres!$A$1:$I$89,3,0)*0.475*44/12</f>
        <v>2.6351607994515145E-23</v>
      </c>
      <c r="AC192" s="24">
        <f t="shared" si="163"/>
        <v>0.22456445513208984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269.64423257646359</v>
      </c>
      <c r="AO192" s="62">
        <f t="shared" si="144"/>
        <v>161.0819079811821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8.5265128291212022E-14</v>
      </c>
      <c r="BE192" s="14">
        <f>BD192*VLOOKUP('Données projet'!$B$11,Paramètres!$A$1:$I$89,3,0)*VLOOKUP('Données projet'!$B$11,Paramètres!$A$1:$I$89,5,0)</f>
        <v>3.990408004028723E-14</v>
      </c>
      <c r="BF192" s="14">
        <f t="shared" si="167"/>
        <v>6.6713074187844705E-13</v>
      </c>
      <c r="BG192" s="22">
        <f t="shared" si="168"/>
        <v>1.2314189815084623E-12</v>
      </c>
      <c r="BH192" s="62">
        <f t="shared" si="116"/>
        <v>293.33333333333456</v>
      </c>
      <c r="BI192" s="62">
        <f ca="1">AVERAGE(OFFSET($BH$3,0,0,'Données projet'!$E$11+1,1))-AVERAGE(OFFSET($H$3,0,0,'Données projet'!$E$11+1,1))</f>
        <v>90.797383835887558</v>
      </c>
      <c r="BJ192" s="62">
        <f t="shared" si="146"/>
        <v>104.31413437636684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4.1411343136900543E-2</v>
      </c>
      <c r="BQ192" s="23">
        <f>EXP(-LN(2)/25)*BQ191+(1-EXP(-LN(2)/25))/(LN(2)/25)*Calculateur!BL192*Calculateur!BN192*VLOOKUP('Données projet'!$B$11,Paramètres!$A$1:$I$89,3,0)*0.475*44/12</f>
        <v>5.1660111851604351E-2</v>
      </c>
      <c r="BR192" s="23">
        <f>EXP(-LN(2)/2)*BR191+(1-EXP(-LN(2)/2))/(LN(2)/2)*BL192*BO192*VLOOKUP('Données projet'!$B$11,Paramètres!$A$1:$I$89,3,0)*0.475*44/12</f>
        <v>3.4616646045012149E-24</v>
      </c>
      <c r="BS192" s="24">
        <f t="shared" si="169"/>
        <v>9.3071454988504887E-2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304</v>
      </c>
      <c r="BZ192" s="14">
        <f>BY192*VLOOKUP('Données projet'!$B$12,Paramètres!$A$1:$I$89,3,0)*VLOOKUP('Données projet'!$B$12,Paramètres!$A$1:$I$89,5,0)</f>
        <v>189.696</v>
      </c>
      <c r="CA192" s="14">
        <f t="shared" si="170"/>
        <v>47.472736505152469</v>
      </c>
      <c r="CB192" s="22">
        <f t="shared" si="171"/>
        <v>413.06888274647389</v>
      </c>
      <c r="CC192" s="62">
        <f t="shared" si="119"/>
        <v>706.4022160798072</v>
      </c>
      <c r="CD192" s="62">
        <f ca="1">AVERAGE(OFFSET($CC$3,0,0,'Données projet'!$E$12+1,1))-AVERAGE(OFFSET($H$3,0,0,'Données projet'!$E$12+1,1))</f>
        <v>179.44051550872138</v>
      </c>
      <c r="CE192" s="62">
        <f t="shared" si="148"/>
        <v>272.9500808380069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0.21415144944411524</v>
      </c>
      <c r="CL192" s="23">
        <f>EXP(-LN(2)/25)*CL191+(1-EXP(-LN(2)/25))/(LN(2)/25)*Calculateur!CG192*Calculateur!CI192*VLOOKUP('Données projet'!$B$12,Paramètres!$A$1:$I$89,3,0)*0.475*44/12</f>
        <v>0.24428274546962536</v>
      </c>
      <c r="CM192" s="23">
        <f>EXP(-LN(2)/2)*CM191+(1-EXP(-LN(2)/2))/(LN(2)/2)*CG192*CJ192*VLOOKUP('Données projet'!$B$12,Paramètres!$A$1:$I$89,3,0)*0.475*44/12</f>
        <v>2.4107168778150876E-23</v>
      </c>
      <c r="CN192" s="24">
        <f t="shared" si="172"/>
        <v>0.4584341949137406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277.99999999999994</v>
      </c>
      <c r="CU192" s="18">
        <f>CT192*VLOOKUP('Données projet'!$B$13,Paramètres!$A$1:$I$89,3,0)*VLOOKUP('Données projet'!$B$13,Paramètres!$A$1:$I$89,5,0)</f>
        <v>151.78799999999998</v>
      </c>
      <c r="CV192" s="14">
        <f t="shared" si="173"/>
        <v>38.984634390835623</v>
      </c>
      <c r="CW192" s="22">
        <f t="shared" si="174"/>
        <v>332.26233823070532</v>
      </c>
      <c r="CX192" s="62">
        <f t="shared" si="122"/>
        <v>625.59567156403864</v>
      </c>
      <c r="CY192" s="62">
        <f ca="1">AVERAGE(OFFSET($CX$3,0,0,'Données projet'!$E$13+1,1))-AVERAGE(OFFSET($H$3,0,0,'Données projet'!$E$13+1,1))</f>
        <v>159.92263609041913</v>
      </c>
      <c r="CZ192" s="62">
        <f t="shared" si="150"/>
        <v>271.78119133009307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0.28075591543383549</v>
      </c>
      <c r="DG192" s="23">
        <f>EXP(-LN(2)/25)*DG191+(1-EXP(-LN(2)/25))/(LN(2)/25)*Calculateur!DB192*Calculateur!DD192*VLOOKUP('Données projet'!$B$13,Paramètres!$A$1:$I$89,3,0)*0.475*44/12</f>
        <v>0.35624971107268216</v>
      </c>
      <c r="DH192" s="23">
        <f>EXP(-LN(2)/2)*DH191+(1-EXP(-LN(2)/2))/(LN(2)/2)*DB192*DE192*VLOOKUP('Données projet'!$B$13,Paramètres!$A$1:$I$89,3,0)*0.475*44/12</f>
        <v>3.2093360817305677E-23</v>
      </c>
      <c r="DI192" s="24">
        <f t="shared" si="175"/>
        <v>0.6370056265065176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-5.4683368944097308E-14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122.60806128440754</v>
      </c>
      <c r="DU192" s="62">
        <f t="shared" si="152"/>
        <v>73.937252053142004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0</v>
      </c>
      <c r="EP192" s="62">
        <f t="shared" si="154"/>
        <v>0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382.55387448074327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9.2631669328853555E-2</v>
      </c>
      <c r="AA193" s="23">
        <f>EXP(-LN(2)/25)*AA192+(1-EXP(-LN(2)/25))/(LN(2)/25)*Calculateur!V193*Calculateur!X193*VLOOKUP('Données projet'!$B$9,Paramètres!$A$1:$I$89,3,0)*0.475*44/12</f>
        <v>0.12652295880152808</v>
      </c>
      <c r="AB193" s="23">
        <f>EXP(-LN(2)/2)*AB192+(1-EXP(-LN(2)/2))/(LN(2)/2)*V193*Y193*VLOOKUP('Données projet'!$B$9,Paramètres!$A$1:$I$89,3,0)*0.475*44/12</f>
        <v>1.8633400708091299E-23</v>
      </c>
      <c r="AC193" s="24">
        <f t="shared" si="163"/>
        <v>0.21915462813038164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269.64423257646359</v>
      </c>
      <c r="AO193" s="62">
        <f t="shared" si="144"/>
        <v>161.0819079811821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8.5265128291212022E-14</v>
      </c>
      <c r="BE193" s="14">
        <f>BD193*VLOOKUP('Données projet'!$B$11,Paramètres!$A$1:$I$89,3,0)*VLOOKUP('Données projet'!$B$11,Paramètres!$A$1:$I$89,5,0)</f>
        <v>3.990408004028723E-14</v>
      </c>
      <c r="BF193" s="14">
        <f t="shared" si="167"/>
        <v>6.6713074187844705E-13</v>
      </c>
      <c r="BG193" s="22">
        <f t="shared" si="168"/>
        <v>1.2314189815084623E-12</v>
      </c>
      <c r="BH193" s="62">
        <f t="shared" si="116"/>
        <v>293.33333333333456</v>
      </c>
      <c r="BI193" s="62">
        <f ca="1">AVERAGE(OFFSET($BH$3,0,0,'Données projet'!$E$11+1,1))-AVERAGE(OFFSET($H$3,0,0,'Données projet'!$E$11+1,1))</f>
        <v>90.797383835887558</v>
      </c>
      <c r="BJ193" s="62">
        <f t="shared" si="146"/>
        <v>104.31413437636684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4.0599291956411175E-2</v>
      </c>
      <c r="BQ193" s="23">
        <f>EXP(-LN(2)/25)*BQ192+(1-EXP(-LN(2)/25))/(LN(2)/25)*Calculateur!BL193*Calculateur!BN193*VLOOKUP('Données projet'!$B$11,Paramètres!$A$1:$I$89,3,0)*0.475*44/12</f>
        <v>5.0247463376335018E-2</v>
      </c>
      <c r="BR193" s="23">
        <f>EXP(-LN(2)/2)*BR192+(1-EXP(-LN(2)/2))/(LN(2)/2)*BL193*BO193*VLOOKUP('Données projet'!$B$11,Paramètres!$A$1:$I$89,3,0)*0.475*44/12</f>
        <v>2.4477665160362572E-24</v>
      </c>
      <c r="BS193" s="24">
        <f t="shared" si="169"/>
        <v>9.0846755332746193E-2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304</v>
      </c>
      <c r="BZ193" s="14">
        <f>BY193*VLOOKUP('Données projet'!$B$12,Paramètres!$A$1:$I$89,3,0)*VLOOKUP('Données projet'!$B$12,Paramètres!$A$1:$I$89,5,0)</f>
        <v>189.696</v>
      </c>
      <c r="CA193" s="14">
        <f t="shared" si="170"/>
        <v>47.472736505152469</v>
      </c>
      <c r="CB193" s="22">
        <f t="shared" si="171"/>
        <v>413.06888274647389</v>
      </c>
      <c r="CC193" s="62">
        <f t="shared" si="119"/>
        <v>706.4022160798072</v>
      </c>
      <c r="CD193" s="62">
        <f ca="1">AVERAGE(OFFSET($CC$3,0,0,'Données projet'!$E$12+1,1))-AVERAGE(OFFSET($H$3,0,0,'Données projet'!$E$12+1,1))</f>
        <v>179.44051550872138</v>
      </c>
      <c r="CE193" s="62">
        <f t="shared" si="148"/>
        <v>272.9500808380069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0.20995207014000269</v>
      </c>
      <c r="CL193" s="23">
        <f>EXP(-LN(2)/25)*CL192+(1-EXP(-LN(2)/25))/(LN(2)/25)*Calculateur!CG193*Calculateur!CI193*VLOOKUP('Données projet'!$B$12,Paramètres!$A$1:$I$89,3,0)*0.475*44/12</f>
        <v>0.2376028209484872</v>
      </c>
      <c r="CM193" s="23">
        <f>EXP(-LN(2)/2)*CM192+(1-EXP(-LN(2)/2))/(LN(2)/2)*CG193*CJ193*VLOOKUP('Données projet'!$B$12,Paramètres!$A$1:$I$89,3,0)*0.475*44/12</f>
        <v>1.7046342518239101E-23</v>
      </c>
      <c r="CN193" s="24">
        <f t="shared" si="172"/>
        <v>0.44755489108848989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277.99999999999994</v>
      </c>
      <c r="CU193" s="18">
        <f>CT193*VLOOKUP('Données projet'!$B$13,Paramètres!$A$1:$I$89,3,0)*VLOOKUP('Données projet'!$B$13,Paramètres!$A$1:$I$89,5,0)</f>
        <v>151.78799999999998</v>
      </c>
      <c r="CV193" s="14">
        <f t="shared" si="173"/>
        <v>38.984634390835623</v>
      </c>
      <c r="CW193" s="22">
        <f t="shared" si="174"/>
        <v>332.26233823070532</v>
      </c>
      <c r="CX193" s="62">
        <f t="shared" si="122"/>
        <v>625.59567156403864</v>
      </c>
      <c r="CY193" s="62">
        <f ca="1">AVERAGE(OFFSET($CX$3,0,0,'Données projet'!$E$13+1,1))-AVERAGE(OFFSET($H$3,0,0,'Données projet'!$E$13+1,1))</f>
        <v>159.92263609041913</v>
      </c>
      <c r="CZ193" s="62">
        <f t="shared" si="150"/>
        <v>271.78119133009307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0.27525046317637741</v>
      </c>
      <c r="DG193" s="23">
        <f>EXP(-LN(2)/25)*DG192+(1-EXP(-LN(2)/25))/(LN(2)/25)*Calculateur!DB193*Calculateur!DD193*VLOOKUP('Données projet'!$B$13,Paramètres!$A$1:$I$89,3,0)*0.475*44/12</f>
        <v>0.34650804398904156</v>
      </c>
      <c r="DH193" s="23">
        <f>EXP(-LN(2)/2)*DH192+(1-EXP(-LN(2)/2))/(LN(2)/2)*DB193*DE193*VLOOKUP('Données projet'!$B$13,Paramètres!$A$1:$I$89,3,0)*0.475*44/12</f>
        <v>2.2693433064983484E-23</v>
      </c>
      <c r="DI193" s="24">
        <f t="shared" si="175"/>
        <v>0.62175850716541903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-5.4683368944097308E-14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122.60806128440754</v>
      </c>
      <c r="DU193" s="62">
        <f t="shared" si="152"/>
        <v>73.937252053142004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0</v>
      </c>
      <c r="EP193" s="62">
        <f t="shared" si="154"/>
        <v>0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382.55387448074327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9.0815218793054139E-2</v>
      </c>
      <c r="AA194" s="23">
        <f>EXP(-LN(2)/25)*AA193+(1-EXP(-LN(2)/25))/(LN(2)/25)*Calculateur!V194*Calculateur!X194*VLOOKUP('Données projet'!$B$9,Paramètres!$A$1:$I$89,3,0)*0.475*44/12</f>
        <v>0.12306318183954706</v>
      </c>
      <c r="AB194" s="23">
        <f>EXP(-LN(2)/2)*AB193+(1-EXP(-LN(2)/2))/(LN(2)/2)*V194*Y194*VLOOKUP('Données projet'!$B$9,Paramètres!$A$1:$I$89,3,0)*0.475*44/12</f>
        <v>1.3175803997257576E-23</v>
      </c>
      <c r="AC194" s="24">
        <f t="shared" si="163"/>
        <v>0.21387840063260122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269.64423257646359</v>
      </c>
      <c r="AO194" s="62">
        <f t="shared" si="144"/>
        <v>161.0819079811821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8.5265128291212022E-14</v>
      </c>
      <c r="BE194" s="14">
        <f>BD194*VLOOKUP('Données projet'!$B$11,Paramètres!$A$1:$I$89,3,0)*VLOOKUP('Données projet'!$B$11,Paramètres!$A$1:$I$89,5,0)</f>
        <v>3.990408004028723E-14</v>
      </c>
      <c r="BF194" s="14">
        <f t="shared" si="167"/>
        <v>6.6713074187844705E-13</v>
      </c>
      <c r="BG194" s="22">
        <f t="shared" si="168"/>
        <v>1.2314189815084623E-12</v>
      </c>
      <c r="BH194" s="62">
        <f t="shared" si="116"/>
        <v>293.33333333333456</v>
      </c>
      <c r="BI194" s="62">
        <f ca="1">AVERAGE(OFFSET($BH$3,0,0,'Données projet'!$E$11+1,1))-AVERAGE(OFFSET($H$3,0,0,'Données projet'!$E$11+1,1))</f>
        <v>90.797383835887558</v>
      </c>
      <c r="BJ194" s="62">
        <f t="shared" si="146"/>
        <v>104.31413437636684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3.9803164604268887E-2</v>
      </c>
      <c r="BQ194" s="23">
        <f>EXP(-LN(2)/25)*BQ193+(1-EXP(-LN(2)/25))/(LN(2)/25)*Calculateur!BL194*Calculateur!BN194*VLOOKUP('Données projet'!$B$11,Paramètres!$A$1:$I$89,3,0)*0.475*44/12</f>
        <v>4.8873443847909877E-2</v>
      </c>
      <c r="BR194" s="23">
        <f>EXP(-LN(2)/2)*BR193+(1-EXP(-LN(2)/2))/(LN(2)/2)*BL194*BO194*VLOOKUP('Données projet'!$B$11,Paramètres!$A$1:$I$89,3,0)*0.475*44/12</f>
        <v>1.7308323022506075E-24</v>
      </c>
      <c r="BS194" s="24">
        <f t="shared" si="169"/>
        <v>8.8676608452178757E-2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304</v>
      </c>
      <c r="BZ194" s="14">
        <f>BY194*VLOOKUP('Données projet'!$B$12,Paramètres!$A$1:$I$89,3,0)*VLOOKUP('Données projet'!$B$12,Paramètres!$A$1:$I$89,5,0)</f>
        <v>189.696</v>
      </c>
      <c r="CA194" s="14">
        <f t="shared" si="170"/>
        <v>47.472736505152469</v>
      </c>
      <c r="CB194" s="22">
        <f t="shared" si="171"/>
        <v>413.06888274647389</v>
      </c>
      <c r="CC194" s="62">
        <f t="shared" si="119"/>
        <v>706.4022160798072</v>
      </c>
      <c r="CD194" s="62">
        <f ca="1">AVERAGE(OFFSET($CC$3,0,0,'Données projet'!$E$12+1,1))-AVERAGE(OFFSET($H$3,0,0,'Données projet'!$E$12+1,1))</f>
        <v>179.44051550872138</v>
      </c>
      <c r="CE194" s="62">
        <f t="shared" si="148"/>
        <v>272.9500808380069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0.20583503810267534</v>
      </c>
      <c r="CL194" s="23">
        <f>EXP(-LN(2)/25)*CL193+(1-EXP(-LN(2)/25))/(LN(2)/25)*Calculateur!CG194*Calculateur!CI194*VLOOKUP('Données projet'!$B$12,Paramètres!$A$1:$I$89,3,0)*0.475*44/12</f>
        <v>0.23110555931466151</v>
      </c>
      <c r="CM194" s="23">
        <f>EXP(-LN(2)/2)*CM193+(1-EXP(-LN(2)/2))/(LN(2)/2)*CG194*CJ194*VLOOKUP('Données projet'!$B$12,Paramètres!$A$1:$I$89,3,0)*0.475*44/12</f>
        <v>1.2053584389075438E-23</v>
      </c>
      <c r="CN194" s="24">
        <f t="shared" si="172"/>
        <v>0.43694059741733682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277.99999999999994</v>
      </c>
      <c r="CU194" s="18">
        <f>CT194*VLOOKUP('Données projet'!$B$13,Paramètres!$A$1:$I$89,3,0)*VLOOKUP('Données projet'!$B$13,Paramètres!$A$1:$I$89,5,0)</f>
        <v>151.78799999999998</v>
      </c>
      <c r="CV194" s="14">
        <f t="shared" si="173"/>
        <v>38.984634390835623</v>
      </c>
      <c r="CW194" s="22">
        <f t="shared" si="174"/>
        <v>332.26233823070532</v>
      </c>
      <c r="CX194" s="62">
        <f t="shared" si="122"/>
        <v>625.59567156403864</v>
      </c>
      <c r="CY194" s="62">
        <f ca="1">AVERAGE(OFFSET($CX$3,0,0,'Données projet'!$E$13+1,1))-AVERAGE(OFFSET($H$3,0,0,'Données projet'!$E$13+1,1))</f>
        <v>159.92263609041913</v>
      </c>
      <c r="CZ194" s="62">
        <f t="shared" si="150"/>
        <v>271.78119133009307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0.26985296947969378</v>
      </c>
      <c r="DG194" s="23">
        <f>EXP(-LN(2)/25)*DG193+(1-EXP(-LN(2)/25))/(LN(2)/25)*Calculateur!DB194*Calculateur!DD194*VLOOKUP('Données projet'!$B$13,Paramètres!$A$1:$I$89,3,0)*0.475*44/12</f>
        <v>0.33703276330409515</v>
      </c>
      <c r="DH194" s="23">
        <f>EXP(-LN(2)/2)*DH193+(1-EXP(-LN(2)/2))/(LN(2)/2)*DB194*DE194*VLOOKUP('Données projet'!$B$13,Paramètres!$A$1:$I$89,3,0)*0.475*44/12</f>
        <v>1.6046680408652839E-23</v>
      </c>
      <c r="DI194" s="24">
        <f t="shared" si="175"/>
        <v>0.60688573278378888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-5.4683368944097308E-14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122.60806128440754</v>
      </c>
      <c r="DU194" s="62">
        <f t="shared" si="152"/>
        <v>73.937252053142004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0</v>
      </c>
      <c r="EP194" s="62">
        <f t="shared" si="154"/>
        <v>0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382.55387448074327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8.9034387744336321E-2</v>
      </c>
      <c r="AA195" s="23">
        <f>EXP(-LN(2)/25)*AA194+(1-EXP(-LN(2)/25))/(LN(2)/25)*Calculateur!V195*Calculateur!X195*VLOOKUP('Données projet'!$B$9,Paramètres!$A$1:$I$89,3,0)*0.475*44/12</f>
        <v>0.11969801266053318</v>
      </c>
      <c r="AB195" s="23">
        <f>EXP(-LN(2)/2)*AB194+(1-EXP(-LN(2)/2))/(LN(2)/2)*V195*Y195*VLOOKUP('Données projet'!$B$9,Paramètres!$A$1:$I$89,3,0)*0.475*44/12</f>
        <v>9.316700354045651E-24</v>
      </c>
      <c r="AC195" s="24">
        <f t="shared" si="163"/>
        <v>0.20873240040486951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269.64423257646359</v>
      </c>
      <c r="AO195" s="62">
        <f t="shared" si="144"/>
        <v>161.0819079811821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8.5265128291212022E-14</v>
      </c>
      <c r="BE195" s="14">
        <f>BD195*VLOOKUP('Données projet'!$B$11,Paramètres!$A$1:$I$89,3,0)*VLOOKUP('Données projet'!$B$11,Paramètres!$A$1:$I$89,5,0)</f>
        <v>3.990408004028723E-14</v>
      </c>
      <c r="BF195" s="14">
        <f t="shared" si="167"/>
        <v>6.6713074187844705E-13</v>
      </c>
      <c r="BG195" s="22">
        <f t="shared" si="168"/>
        <v>1.2314189815084623E-12</v>
      </c>
      <c r="BH195" s="62">
        <f t="shared" si="116"/>
        <v>293.33333333333456</v>
      </c>
      <c r="BI195" s="62">
        <f ca="1">AVERAGE(OFFSET($BH$3,0,0,'Données projet'!$E$11+1,1))-AVERAGE(OFFSET($H$3,0,0,'Données projet'!$E$11+1,1))</f>
        <v>90.797383835887558</v>
      </c>
      <c r="BJ195" s="62">
        <f t="shared" si="146"/>
        <v>104.31413437636684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3.9022648823912376E-2</v>
      </c>
      <c r="BQ195" s="23">
        <f>EXP(-LN(2)/25)*BQ194+(1-EXP(-LN(2)/25))/(LN(2)/25)*Calculateur!BL195*Calculateur!BN195*VLOOKUP('Données projet'!$B$11,Paramètres!$A$1:$I$89,3,0)*0.475*44/12</f>
        <v>4.7536996955746071E-2</v>
      </c>
      <c r="BR195" s="23">
        <f>EXP(-LN(2)/2)*BR194+(1-EXP(-LN(2)/2))/(LN(2)/2)*BL195*BO195*VLOOKUP('Données projet'!$B$11,Paramètres!$A$1:$I$89,3,0)*0.475*44/12</f>
        <v>1.2238832580181286E-24</v>
      </c>
      <c r="BS195" s="24">
        <f t="shared" si="169"/>
        <v>8.655964577965844E-2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304</v>
      </c>
      <c r="BZ195" s="14">
        <f>BY195*VLOOKUP('Données projet'!$B$12,Paramètres!$A$1:$I$89,3,0)*VLOOKUP('Données projet'!$B$12,Paramètres!$A$1:$I$89,5,0)</f>
        <v>189.696</v>
      </c>
      <c r="CA195" s="14">
        <f t="shared" si="170"/>
        <v>47.472736505152469</v>
      </c>
      <c r="CB195" s="22">
        <f t="shared" si="171"/>
        <v>413.06888274647389</v>
      </c>
      <c r="CC195" s="62">
        <f t="shared" si="119"/>
        <v>706.4022160798072</v>
      </c>
      <c r="CD195" s="62">
        <f ca="1">AVERAGE(OFFSET($CC$3,0,0,'Données projet'!$E$12+1,1))-AVERAGE(OFFSET($H$3,0,0,'Données projet'!$E$12+1,1))</f>
        <v>179.44051550872138</v>
      </c>
      <c r="CE195" s="62">
        <f t="shared" si="148"/>
        <v>272.9500808380069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0.20179873855245839</v>
      </c>
      <c r="CL195" s="23">
        <f>EXP(-LN(2)/25)*CL194+(1-EXP(-LN(2)/25))/(LN(2)/25)*Calculateur!CG195*Calculateur!CI195*VLOOKUP('Données projet'!$B$12,Paramètres!$A$1:$I$89,3,0)*0.475*44/12</f>
        <v>0.22478596564188894</v>
      </c>
      <c r="CM195" s="23">
        <f>EXP(-LN(2)/2)*CM194+(1-EXP(-LN(2)/2))/(LN(2)/2)*CG195*CJ195*VLOOKUP('Données projet'!$B$12,Paramètres!$A$1:$I$89,3,0)*0.475*44/12</f>
        <v>8.5231712591195506E-24</v>
      </c>
      <c r="CN195" s="24">
        <f t="shared" si="172"/>
        <v>0.42658470419434735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277.99999999999994</v>
      </c>
      <c r="CU195" s="18">
        <f>CT195*VLOOKUP('Données projet'!$B$13,Paramètres!$A$1:$I$89,3,0)*VLOOKUP('Données projet'!$B$13,Paramètres!$A$1:$I$89,5,0)</f>
        <v>151.78799999999998</v>
      </c>
      <c r="CV195" s="14">
        <f t="shared" si="173"/>
        <v>38.984634390835623</v>
      </c>
      <c r="CW195" s="22">
        <f t="shared" si="174"/>
        <v>332.26233823070532</v>
      </c>
      <c r="CX195" s="62">
        <f t="shared" si="122"/>
        <v>625.59567156403864</v>
      </c>
      <c r="CY195" s="62">
        <f ca="1">AVERAGE(OFFSET($CX$3,0,0,'Données projet'!$E$13+1,1))-AVERAGE(OFFSET($H$3,0,0,'Données projet'!$E$13+1,1))</f>
        <v>159.92263609041913</v>
      </c>
      <c r="CZ195" s="62">
        <f t="shared" si="150"/>
        <v>271.78119133009307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0.26456131734225607</v>
      </c>
      <c r="DG195" s="23">
        <f>EXP(-LN(2)/25)*DG194+(1-EXP(-LN(2)/25))/(LN(2)/25)*Calculateur!DB195*Calculateur!DD195*VLOOKUP('Données projet'!$B$13,Paramètres!$A$1:$I$89,3,0)*0.475*44/12</f>
        <v>0.32781658466776192</v>
      </c>
      <c r="DH195" s="23">
        <f>EXP(-LN(2)/2)*DH194+(1-EXP(-LN(2)/2))/(LN(2)/2)*DB195*DE195*VLOOKUP('Données projet'!$B$13,Paramètres!$A$1:$I$89,3,0)*0.475*44/12</f>
        <v>1.1346716532491742E-23</v>
      </c>
      <c r="DI195" s="24">
        <f t="shared" si="175"/>
        <v>0.59237790201001794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-5.4683368944097308E-14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122.60806128440754</v>
      </c>
      <c r="DU195" s="62">
        <f t="shared" si="152"/>
        <v>73.937252053142004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0</v>
      </c>
      <c r="EP195" s="62">
        <f t="shared" si="154"/>
        <v>0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382.55387448074327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8.7288477706284173E-2</v>
      </c>
      <c r="AA196" s="23">
        <f>EXP(-LN(2)/25)*AA195+(1-EXP(-LN(2)/25))/(LN(2)/25)*Calculateur!V196*Calculateur!X196*VLOOKUP('Données projet'!$B$9,Paramètres!$A$1:$I$89,3,0)*0.475*44/12</f>
        <v>0.11642486420968598</v>
      </c>
      <c r="AB196" s="23">
        <f>EXP(-LN(2)/2)*AB195+(1-EXP(-LN(2)/2))/(LN(2)/2)*V196*Y196*VLOOKUP('Données projet'!$B$9,Paramètres!$A$1:$I$89,3,0)*0.475*44/12</f>
        <v>6.5879019986287885E-24</v>
      </c>
      <c r="AC196" s="24">
        <f t="shared" si="163"/>
        <v>0.20371334191597015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269.64423257646359</v>
      </c>
      <c r="AO196" s="62">
        <f t="shared" si="144"/>
        <v>161.0819079811821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8.5265128291212022E-14</v>
      </c>
      <c r="BE196" s="14">
        <f>BD196*VLOOKUP('Données projet'!$B$11,Paramètres!$A$1:$I$89,3,0)*VLOOKUP('Données projet'!$B$11,Paramètres!$A$1:$I$89,5,0)</f>
        <v>3.990408004028723E-14</v>
      </c>
      <c r="BF196" s="14">
        <f t="shared" si="167"/>
        <v>6.6713074187844705E-13</v>
      </c>
      <c r="BG196" s="22">
        <f t="shared" si="168"/>
        <v>1.2314189815084623E-12</v>
      </c>
      <c r="BH196" s="62">
        <f t="shared" ref="BH196:BH203" si="194">BG196+(AY196+AZ196)*44/12</f>
        <v>293.33333333333456</v>
      </c>
      <c r="BI196" s="62">
        <f ca="1">AVERAGE(OFFSET($BH$3,0,0,'Données projet'!$E$11+1,1))-AVERAGE(OFFSET($H$3,0,0,'Données projet'!$E$11+1,1))</f>
        <v>90.797383835887558</v>
      </c>
      <c r="BJ196" s="62">
        <f t="shared" si="146"/>
        <v>104.31413437636684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3.825743848194104E-2</v>
      </c>
      <c r="BQ196" s="23">
        <f>EXP(-LN(2)/25)*BQ195+(1-EXP(-LN(2)/25))/(LN(2)/25)*Calculateur!BL196*Calculateur!BN196*VLOOKUP('Données projet'!$B$11,Paramètres!$A$1:$I$89,3,0)*0.475*44/12</f>
        <v>4.623709527412917E-2</v>
      </c>
      <c r="BR196" s="23">
        <f>EXP(-LN(2)/2)*BR195+(1-EXP(-LN(2)/2))/(LN(2)/2)*BL196*BO196*VLOOKUP('Données projet'!$B$11,Paramètres!$A$1:$I$89,3,0)*0.475*44/12</f>
        <v>8.6541615112530373E-25</v>
      </c>
      <c r="BS196" s="24">
        <f t="shared" si="169"/>
        <v>8.4494533756070217E-2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304</v>
      </c>
      <c r="BZ196" s="14">
        <f>BY196*VLOOKUP('Données projet'!$B$12,Paramètres!$A$1:$I$89,3,0)*VLOOKUP('Données projet'!$B$12,Paramètres!$A$1:$I$89,5,0)</f>
        <v>189.696</v>
      </c>
      <c r="CA196" s="14">
        <f t="shared" si="170"/>
        <v>47.472736505152469</v>
      </c>
      <c r="CB196" s="22">
        <f t="shared" si="171"/>
        <v>413.06888274647389</v>
      </c>
      <c r="CC196" s="62">
        <f t="shared" ref="CC196:CC203" si="195">CB196+(BT196+BU196)*44/12</f>
        <v>706.4022160798072</v>
      </c>
      <c r="CD196" s="62">
        <f ca="1">AVERAGE(OFFSET($CC$3,0,0,'Données projet'!$E$12+1,1))-AVERAGE(OFFSET($H$3,0,0,'Données projet'!$E$12+1,1))</f>
        <v>179.44051550872138</v>
      </c>
      <c r="CE196" s="62">
        <f t="shared" si="148"/>
        <v>272.9500808380069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0.19784158837452157</v>
      </c>
      <c r="CL196" s="23">
        <f>EXP(-LN(2)/25)*CL195+(1-EXP(-LN(2)/25))/(LN(2)/25)*Calculateur!CG196*Calculateur!CI196*VLOOKUP('Données projet'!$B$12,Paramètres!$A$1:$I$89,3,0)*0.475*44/12</f>
        <v>0.2186391815904313</v>
      </c>
      <c r="CM196" s="23">
        <f>EXP(-LN(2)/2)*CM195+(1-EXP(-LN(2)/2))/(LN(2)/2)*CG196*CJ196*VLOOKUP('Données projet'!$B$12,Paramètres!$A$1:$I$89,3,0)*0.475*44/12</f>
        <v>6.0267921945377189E-24</v>
      </c>
      <c r="CN196" s="24">
        <f t="shared" si="172"/>
        <v>0.41648076996495287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277.99999999999994</v>
      </c>
      <c r="CU196" s="18">
        <f>CT196*VLOOKUP('Données projet'!$B$13,Paramètres!$A$1:$I$89,3,0)*VLOOKUP('Données projet'!$B$13,Paramètres!$A$1:$I$89,5,0)</f>
        <v>151.78799999999998</v>
      </c>
      <c r="CV196" s="14">
        <f t="shared" si="173"/>
        <v>38.984634390835623</v>
      </c>
      <c r="CW196" s="22">
        <f t="shared" si="174"/>
        <v>332.26233823070532</v>
      </c>
      <c r="CX196" s="62">
        <f t="shared" ref="CX196:CX203" si="196">CW196+(CO196+CP196)*44/12</f>
        <v>625.59567156403864</v>
      </c>
      <c r="CY196" s="62">
        <f ca="1">AVERAGE(OFFSET($CX$3,0,0,'Données projet'!$E$13+1,1))-AVERAGE(OFFSET($H$3,0,0,'Données projet'!$E$13+1,1))</f>
        <v>159.92263609041913</v>
      </c>
      <c r="CZ196" s="62">
        <f t="shared" si="150"/>
        <v>271.78119133009307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0.25937343127564438</v>
      </c>
      <c r="DG196" s="23">
        <f>EXP(-LN(2)/25)*DG195+(1-EXP(-LN(2)/25))/(LN(2)/25)*Calculateur!DB196*Calculateur!DD196*VLOOKUP('Données projet'!$B$13,Paramètres!$A$1:$I$89,3,0)*0.475*44/12</f>
        <v>0.31885242292089699</v>
      </c>
      <c r="DH196" s="23">
        <f>EXP(-LN(2)/2)*DH195+(1-EXP(-LN(2)/2))/(LN(2)/2)*DB196*DE196*VLOOKUP('Données projet'!$B$13,Paramètres!$A$1:$I$89,3,0)*0.475*44/12</f>
        <v>8.0233402043264193E-24</v>
      </c>
      <c r="DI196" s="24">
        <f t="shared" si="175"/>
        <v>0.57822585419654138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-5.4683368944097308E-14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122.60806128440754</v>
      </c>
      <c r="DU196" s="62">
        <f t="shared" si="152"/>
        <v>73.937252053142004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0</v>
      </c>
      <c r="EP196" s="62">
        <f t="shared" si="154"/>
        <v>0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382.55387448074327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8.5576803899178253E-2</v>
      </c>
      <c r="AA197" s="23">
        <f>EXP(-LN(2)/25)*AA196+(1-EXP(-LN(2)/25))/(LN(2)/25)*Calculateur!V197*Calculateur!X197*VLOOKUP('Données projet'!$B$9,Paramètres!$A$1:$I$89,3,0)*0.475*44/12</f>
        <v>0.1132412201753546</v>
      </c>
      <c r="AB197" s="23">
        <f>EXP(-LN(2)/2)*AB196+(1-EXP(-LN(2)/2))/(LN(2)/2)*V197*Y197*VLOOKUP('Données projet'!$B$9,Paramètres!$A$1:$I$89,3,0)*0.475*44/12</f>
        <v>4.6583501770228262E-24</v>
      </c>
      <c r="AC197" s="24">
        <f t="shared" si="163"/>
        <v>0.19881802407453286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269.64423257646359</v>
      </c>
      <c r="AO197" s="62">
        <f t="shared" ref="AO197:AO203" si="205">$AO$3</f>
        <v>161.0819079811821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8.5265128291212022E-14</v>
      </c>
      <c r="BE197" s="14">
        <f>BD197*VLOOKUP('Données projet'!$B$11,Paramètres!$A$1:$I$89,3,0)*VLOOKUP('Données projet'!$B$11,Paramètres!$A$1:$I$89,5,0)</f>
        <v>3.990408004028723E-14</v>
      </c>
      <c r="BF197" s="14">
        <f t="shared" si="167"/>
        <v>6.6713074187844705E-13</v>
      </c>
      <c r="BG197" s="22">
        <f t="shared" si="168"/>
        <v>1.2314189815084623E-12</v>
      </c>
      <c r="BH197" s="62">
        <f t="shared" si="194"/>
        <v>293.33333333333456</v>
      </c>
      <c r="BI197" s="62">
        <f ca="1">AVERAGE(OFFSET($BH$3,0,0,'Données projet'!$E$11+1,1))-AVERAGE(OFFSET($H$3,0,0,'Données projet'!$E$11+1,1))</f>
        <v>90.797383835887558</v>
      </c>
      <c r="BJ197" s="62">
        <f t="shared" ref="BJ197:BJ203" si="206">$BJ$3</f>
        <v>104.31413437636684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3.7507233448043534E-2</v>
      </c>
      <c r="BQ197" s="23">
        <f>EXP(-LN(2)/25)*BQ196+(1-EXP(-LN(2)/25))/(LN(2)/25)*Calculateur!BL197*Calculateur!BN197*VLOOKUP('Données projet'!$B$11,Paramètres!$A$1:$I$89,3,0)*0.475*44/12</f>
        <v>4.4972739472354945E-2</v>
      </c>
      <c r="BR197" s="23">
        <f>EXP(-LN(2)/2)*BR196+(1-EXP(-LN(2)/2))/(LN(2)/2)*BL197*BO197*VLOOKUP('Données projet'!$B$11,Paramètres!$A$1:$I$89,3,0)*0.475*44/12</f>
        <v>6.119416290090643E-25</v>
      </c>
      <c r="BS197" s="24">
        <f t="shared" si="169"/>
        <v>8.2479972920398478E-2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304</v>
      </c>
      <c r="BZ197" s="14">
        <f>BY197*VLOOKUP('Données projet'!$B$12,Paramètres!$A$1:$I$89,3,0)*VLOOKUP('Données projet'!$B$12,Paramètres!$A$1:$I$89,5,0)</f>
        <v>189.696</v>
      </c>
      <c r="CA197" s="14">
        <f t="shared" si="170"/>
        <v>47.472736505152469</v>
      </c>
      <c r="CB197" s="22">
        <f t="shared" si="171"/>
        <v>413.06888274647389</v>
      </c>
      <c r="CC197" s="62">
        <f t="shared" si="195"/>
        <v>706.4022160798072</v>
      </c>
      <c r="CD197" s="62">
        <f ca="1">AVERAGE(OFFSET($CC$3,0,0,'Données projet'!$E$12+1,1))-AVERAGE(OFFSET($H$3,0,0,'Données projet'!$E$12+1,1))</f>
        <v>179.44051550872138</v>
      </c>
      <c r="CE197" s="62">
        <f t="shared" ref="CE197:CE203" si="207">$CE$3</f>
        <v>272.9500808380069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0.1939620354979508</v>
      </c>
      <c r="CL197" s="23">
        <f>EXP(-LN(2)/25)*CL196+(1-EXP(-LN(2)/25))/(LN(2)/25)*Calculateur!CG197*Calculateur!CI197*VLOOKUP('Données projet'!$B$12,Paramètres!$A$1:$I$89,3,0)*0.475*44/12</f>
        <v>0.21266048167210611</v>
      </c>
      <c r="CM197" s="23">
        <f>EXP(-LN(2)/2)*CM196+(1-EXP(-LN(2)/2))/(LN(2)/2)*CG197*CJ197*VLOOKUP('Données projet'!$B$12,Paramètres!$A$1:$I$89,3,0)*0.475*44/12</f>
        <v>4.2615856295597753E-24</v>
      </c>
      <c r="CN197" s="24">
        <f t="shared" si="172"/>
        <v>0.40662251717005693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277.99999999999994</v>
      </c>
      <c r="CU197" s="18">
        <f>CT197*VLOOKUP('Données projet'!$B$13,Paramètres!$A$1:$I$89,3,0)*VLOOKUP('Données projet'!$B$13,Paramètres!$A$1:$I$89,5,0)</f>
        <v>151.78799999999998</v>
      </c>
      <c r="CV197" s="14">
        <f t="shared" si="173"/>
        <v>38.984634390835623</v>
      </c>
      <c r="CW197" s="22">
        <f t="shared" si="174"/>
        <v>332.26233823070532</v>
      </c>
      <c r="CX197" s="62">
        <f t="shared" si="196"/>
        <v>625.59567156403864</v>
      </c>
      <c r="CY197" s="62">
        <f ca="1">AVERAGE(OFFSET($CX$3,0,0,'Données projet'!$E$13+1,1))-AVERAGE(OFFSET($H$3,0,0,'Données projet'!$E$13+1,1))</f>
        <v>159.92263609041913</v>
      </c>
      <c r="CZ197" s="62">
        <f t="shared" ref="CZ197:CZ203" si="208">$CZ$3</f>
        <v>271.78119133009307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0.25428727649050092</v>
      </c>
      <c r="DG197" s="23">
        <f>EXP(-LN(2)/25)*DG196+(1-EXP(-LN(2)/25))/(LN(2)/25)*Calculateur!DB197*Calculateur!DD197*VLOOKUP('Données projet'!$B$13,Paramètres!$A$1:$I$89,3,0)*0.475*44/12</f>
        <v>0.3101333866484049</v>
      </c>
      <c r="DH197" s="23">
        <f>EXP(-LN(2)/2)*DH196+(1-EXP(-LN(2)/2))/(LN(2)/2)*DB197*DE197*VLOOKUP('Données projet'!$B$13,Paramètres!$A$1:$I$89,3,0)*0.475*44/12</f>
        <v>5.673358266245871E-24</v>
      </c>
      <c r="DI197" s="24">
        <f t="shared" si="175"/>
        <v>0.56442066313890582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-5.4683368944097308E-14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122.60806128440754</v>
      </c>
      <c r="DU197" s="62">
        <f t="shared" ref="DU197:DU203" si="209">$DU$3</f>
        <v>73.937252053142004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0</v>
      </c>
      <c r="EP197" s="62">
        <f t="shared" ref="EP197:EP203" si="210">$EP$3</f>
        <v>0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382.55387448074327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8.3898694971411752E-2</v>
      </c>
      <c r="AA198" s="23">
        <f>EXP(-LN(2)/25)*AA197+(1-EXP(-LN(2)/25))/(LN(2)/25)*Calculateur!V198*Calculateur!X198*VLOOKUP('Données projet'!$B$9,Paramètres!$A$1:$I$89,3,0)*0.475*44/12</f>
        <v>0.11014463305456257</v>
      </c>
      <c r="AB198" s="23">
        <f>EXP(-LN(2)/2)*AB197+(1-EXP(-LN(2)/2))/(LN(2)/2)*V198*Y198*VLOOKUP('Données projet'!$B$9,Paramètres!$A$1:$I$89,3,0)*0.475*44/12</f>
        <v>3.2939509993143946E-24</v>
      </c>
      <c r="AC198" s="24">
        <f t="shared" si="163"/>
        <v>0.19404332802597432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269.64423257646359</v>
      </c>
      <c r="AO198" s="62">
        <f t="shared" si="205"/>
        <v>161.0819079811821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8.5265128291212022E-14</v>
      </c>
      <c r="BE198" s="14">
        <f>BD198*VLOOKUP('Données projet'!$B$11,Paramètres!$A$1:$I$89,3,0)*VLOOKUP('Données projet'!$B$11,Paramètres!$A$1:$I$89,5,0)</f>
        <v>3.990408004028723E-14</v>
      </c>
      <c r="BF198" s="14">
        <f t="shared" si="167"/>
        <v>6.6713074187844705E-13</v>
      </c>
      <c r="BG198" s="22">
        <f t="shared" si="168"/>
        <v>1.2314189815084623E-12</v>
      </c>
      <c r="BH198" s="62">
        <f t="shared" si="194"/>
        <v>293.33333333333456</v>
      </c>
      <c r="BI198" s="62">
        <f ca="1">AVERAGE(OFFSET($BH$3,0,0,'Données projet'!$E$11+1,1))-AVERAGE(OFFSET($H$3,0,0,'Données projet'!$E$11+1,1))</f>
        <v>90.797383835887558</v>
      </c>
      <c r="BJ198" s="62">
        <f t="shared" si="206"/>
        <v>104.31413437636684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3.6771739477280872E-2</v>
      </c>
      <c r="BQ198" s="23">
        <f>EXP(-LN(2)/25)*BQ197+(1-EXP(-LN(2)/25))/(LN(2)/25)*Calculateur!BL198*Calculateur!BN198*VLOOKUP('Données projet'!$B$11,Paramètres!$A$1:$I$89,3,0)*0.475*44/12</f>
        <v>4.3742957546469813E-2</v>
      </c>
      <c r="BR198" s="23">
        <f>EXP(-LN(2)/2)*BR197+(1-EXP(-LN(2)/2))/(LN(2)/2)*BL198*BO198*VLOOKUP('Données projet'!$B$11,Paramètres!$A$1:$I$89,3,0)*0.475*44/12</f>
        <v>4.3270807556265187E-25</v>
      </c>
      <c r="BS198" s="24">
        <f t="shared" si="169"/>
        <v>8.0514697023750692E-2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304</v>
      </c>
      <c r="BZ198" s="14">
        <f>BY198*VLOOKUP('Données projet'!$B$12,Paramètres!$A$1:$I$89,3,0)*VLOOKUP('Données projet'!$B$12,Paramètres!$A$1:$I$89,5,0)</f>
        <v>189.696</v>
      </c>
      <c r="CA198" s="14">
        <f t="shared" si="170"/>
        <v>47.472736505152469</v>
      </c>
      <c r="CB198" s="22">
        <f t="shared" si="171"/>
        <v>413.06888274647389</v>
      </c>
      <c r="CC198" s="62">
        <f t="shared" si="195"/>
        <v>706.4022160798072</v>
      </c>
      <c r="CD198" s="62">
        <f ca="1">AVERAGE(OFFSET($CC$3,0,0,'Données projet'!$E$12+1,1))-AVERAGE(OFFSET($H$3,0,0,'Données projet'!$E$12+1,1))</f>
        <v>179.44051550872138</v>
      </c>
      <c r="CE198" s="62">
        <f t="shared" si="207"/>
        <v>272.9500808380069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0.19015855828699596</v>
      </c>
      <c r="CL198" s="23">
        <f>EXP(-LN(2)/25)*CL197+(1-EXP(-LN(2)/25))/(LN(2)/25)*Calculateur!CG198*Calculateur!CI198*VLOOKUP('Données projet'!$B$12,Paramètres!$A$1:$I$89,3,0)*0.475*44/12</f>
        <v>0.20684526961745367</v>
      </c>
      <c r="CM198" s="23">
        <f>EXP(-LN(2)/2)*CM197+(1-EXP(-LN(2)/2))/(LN(2)/2)*CG198*CJ198*VLOOKUP('Données projet'!$B$12,Paramètres!$A$1:$I$89,3,0)*0.475*44/12</f>
        <v>3.0133960972688594E-24</v>
      </c>
      <c r="CN198" s="24">
        <f t="shared" si="172"/>
        <v>0.39700382790444966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277.99999999999994</v>
      </c>
      <c r="CU198" s="18">
        <f>CT198*VLOOKUP('Données projet'!$B$13,Paramètres!$A$1:$I$89,3,0)*VLOOKUP('Données projet'!$B$13,Paramètres!$A$1:$I$89,5,0)</f>
        <v>151.78799999999998</v>
      </c>
      <c r="CV198" s="14">
        <f t="shared" si="173"/>
        <v>38.984634390835623</v>
      </c>
      <c r="CW198" s="22">
        <f t="shared" si="174"/>
        <v>332.26233823070532</v>
      </c>
      <c r="CX198" s="62">
        <f t="shared" si="196"/>
        <v>625.59567156403864</v>
      </c>
      <c r="CY198" s="62">
        <f ca="1">AVERAGE(OFFSET($CX$3,0,0,'Données projet'!$E$13+1,1))-AVERAGE(OFFSET($H$3,0,0,'Données projet'!$E$13+1,1))</f>
        <v>159.92263609041913</v>
      </c>
      <c r="CZ198" s="62">
        <f t="shared" si="208"/>
        <v>271.78119133009307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0.24930085809844602</v>
      </c>
      <c r="DG198" s="23">
        <f>EXP(-LN(2)/25)*DG197+(1-EXP(-LN(2)/25))/(LN(2)/25)*Calculateur!DB198*Calculateur!DD198*VLOOKUP('Données projet'!$B$13,Paramètres!$A$1:$I$89,3,0)*0.475*44/12</f>
        <v>0.30165277288129827</v>
      </c>
      <c r="DH198" s="23">
        <f>EXP(-LN(2)/2)*DH197+(1-EXP(-LN(2)/2))/(LN(2)/2)*DB198*DE198*VLOOKUP('Données projet'!$B$13,Paramètres!$A$1:$I$89,3,0)*0.475*44/12</f>
        <v>4.0116701021632097E-24</v>
      </c>
      <c r="DI198" s="24">
        <f t="shared" si="175"/>
        <v>0.55095363097974426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-5.4683368944097308E-14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122.60806128440754</v>
      </c>
      <c r="DU198" s="62">
        <f t="shared" si="209"/>
        <v>73.937252053142004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0</v>
      </c>
      <c r="EP198" s="62">
        <f t="shared" si="210"/>
        <v>0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382.55387448074327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8.225349273617337E-2</v>
      </c>
      <c r="AA199" s="23">
        <f>EXP(-LN(2)/25)*AA198+(1-EXP(-LN(2)/25))/(LN(2)/25)*Calculateur!V199*Calculateur!X199*VLOOKUP('Données projet'!$B$9,Paramètres!$A$1:$I$89,3,0)*0.475*44/12</f>
        <v>0.10713272227143104</v>
      </c>
      <c r="AB199" s="23">
        <f>EXP(-LN(2)/2)*AB198+(1-EXP(-LN(2)/2))/(LN(2)/2)*V199*Y199*VLOOKUP('Données projet'!$B$9,Paramètres!$A$1:$I$89,3,0)*0.475*44/12</f>
        <v>2.3291750885114135E-24</v>
      </c>
      <c r="AC199" s="24">
        <f t="shared" si="163"/>
        <v>0.18938621500760441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269.64423257646359</v>
      </c>
      <c r="AO199" s="62">
        <f t="shared" si="205"/>
        <v>161.0819079811821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8.5265128291212022E-14</v>
      </c>
      <c r="BE199" s="14">
        <f>BD199*VLOOKUP('Données projet'!$B$11,Paramètres!$A$1:$I$89,3,0)*VLOOKUP('Données projet'!$B$11,Paramètres!$A$1:$I$89,5,0)</f>
        <v>3.990408004028723E-14</v>
      </c>
      <c r="BF199" s="14">
        <f t="shared" si="167"/>
        <v>6.6713074187844705E-13</v>
      </c>
      <c r="BG199" s="22">
        <f t="shared" si="168"/>
        <v>1.2314189815084623E-12</v>
      </c>
      <c r="BH199" s="62">
        <f t="shared" si="194"/>
        <v>293.33333333333456</v>
      </c>
      <c r="BI199" s="62">
        <f ca="1">AVERAGE(OFFSET($BH$3,0,0,'Données projet'!$E$11+1,1))-AVERAGE(OFFSET($H$3,0,0,'Données projet'!$E$11+1,1))</f>
        <v>90.797383835887558</v>
      </c>
      <c r="BJ199" s="62">
        <f t="shared" si="206"/>
        <v>104.31413437636684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3.6050668094677843E-2</v>
      </c>
      <c r="BQ199" s="23">
        <f>EXP(-LN(2)/25)*BQ198+(1-EXP(-LN(2)/25))/(LN(2)/25)*Calculateur!BL199*Calculateur!BN199*VLOOKUP('Données projet'!$B$11,Paramètres!$A$1:$I$89,3,0)*0.475*44/12</f>
        <v>4.2546804072019433E-2</v>
      </c>
      <c r="BR199" s="23">
        <f>EXP(-LN(2)/2)*BR198+(1-EXP(-LN(2)/2))/(LN(2)/2)*BL199*BO199*VLOOKUP('Données projet'!$B$11,Paramètres!$A$1:$I$89,3,0)*0.475*44/12</f>
        <v>3.0597081450453215E-25</v>
      </c>
      <c r="BS199" s="24">
        <f t="shared" si="169"/>
        <v>7.8597472166697269E-2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304</v>
      </c>
      <c r="BZ199" s="14">
        <f>BY199*VLOOKUP('Données projet'!$B$12,Paramètres!$A$1:$I$89,3,0)*VLOOKUP('Données projet'!$B$12,Paramètres!$A$1:$I$89,5,0)</f>
        <v>189.696</v>
      </c>
      <c r="CA199" s="14">
        <f t="shared" si="170"/>
        <v>47.472736505152469</v>
      </c>
      <c r="CB199" s="22">
        <f t="shared" si="171"/>
        <v>413.06888274647389</v>
      </c>
      <c r="CC199" s="62">
        <f t="shared" si="195"/>
        <v>706.4022160798072</v>
      </c>
      <c r="CD199" s="62">
        <f ca="1">AVERAGE(OFFSET($CC$3,0,0,'Données projet'!$E$12+1,1))-AVERAGE(OFFSET($H$3,0,0,'Données projet'!$E$12+1,1))</f>
        <v>179.44051550872138</v>
      </c>
      <c r="CE199" s="62">
        <f t="shared" si="207"/>
        <v>272.9500808380069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0.18642966494425592</v>
      </c>
      <c r="CL199" s="23">
        <f>EXP(-LN(2)/25)*CL198+(1-EXP(-LN(2)/25))/(LN(2)/25)*Calculateur!CG199*Calculateur!CI199*VLOOKUP('Données projet'!$B$12,Paramètres!$A$1:$I$89,3,0)*0.475*44/12</f>
        <v>0.20118907484224441</v>
      </c>
      <c r="CM199" s="23">
        <f>EXP(-LN(2)/2)*CM198+(1-EXP(-LN(2)/2))/(LN(2)/2)*CG199*CJ199*VLOOKUP('Données projet'!$B$12,Paramètres!$A$1:$I$89,3,0)*0.475*44/12</f>
        <v>2.1307928147798877E-24</v>
      </c>
      <c r="CN199" s="24">
        <f t="shared" si="172"/>
        <v>0.3876187397865003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277.99999999999994</v>
      </c>
      <c r="CU199" s="18">
        <f>CT199*VLOOKUP('Données projet'!$B$13,Paramètres!$A$1:$I$89,3,0)*VLOOKUP('Données projet'!$B$13,Paramètres!$A$1:$I$89,5,0)</f>
        <v>151.78799999999998</v>
      </c>
      <c r="CV199" s="14">
        <f t="shared" si="173"/>
        <v>38.984634390835623</v>
      </c>
      <c r="CW199" s="22">
        <f t="shared" si="174"/>
        <v>332.26233823070532</v>
      </c>
      <c r="CX199" s="62">
        <f t="shared" si="196"/>
        <v>625.59567156403864</v>
      </c>
      <c r="CY199" s="62">
        <f ca="1">AVERAGE(OFFSET($CX$3,0,0,'Données projet'!$E$13+1,1))-AVERAGE(OFFSET($H$3,0,0,'Données projet'!$E$13+1,1))</f>
        <v>159.92263609041913</v>
      </c>
      <c r="CZ199" s="62">
        <f t="shared" si="208"/>
        <v>271.78119133009307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0.24441222032964441</v>
      </c>
      <c r="DG199" s="23">
        <f>EXP(-LN(2)/25)*DG198+(1-EXP(-LN(2)/25))/(LN(2)/25)*Calculateur!DB199*Calculateur!DD199*VLOOKUP('Données projet'!$B$13,Paramètres!$A$1:$I$89,3,0)*0.475*44/12</f>
        <v>0.29340406194362928</v>
      </c>
      <c r="DH199" s="23">
        <f>EXP(-LN(2)/2)*DH198+(1-EXP(-LN(2)/2))/(LN(2)/2)*DB199*DE199*VLOOKUP('Données projet'!$B$13,Paramètres!$A$1:$I$89,3,0)*0.475*44/12</f>
        <v>2.8366791331229355E-24</v>
      </c>
      <c r="DI199" s="24">
        <f t="shared" si="175"/>
        <v>0.53781628227327372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-5.4683368944097308E-14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122.60806128440754</v>
      </c>
      <c r="DU199" s="62">
        <f t="shared" si="209"/>
        <v>73.937252053142004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0</v>
      </c>
      <c r="EP199" s="62">
        <f t="shared" si="210"/>
        <v>0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382.55387448074327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8.0640551913293737E-2</v>
      </c>
      <c r="AA200" s="23">
        <f>EXP(-LN(2)/25)*AA199+(1-EXP(-LN(2)/25))/(LN(2)/25)*Calculateur!V200*Calculateur!X200*VLOOKUP('Données projet'!$B$9,Paramètres!$A$1:$I$89,3,0)*0.475*44/12</f>
        <v>0.10420317234705376</v>
      </c>
      <c r="AB200" s="23">
        <f>EXP(-LN(2)/2)*AB199+(1-EXP(-LN(2)/2))/(LN(2)/2)*V200*Y200*VLOOKUP('Données projet'!$B$9,Paramètres!$A$1:$I$89,3,0)*0.475*44/12</f>
        <v>1.6469754996571977E-24</v>
      </c>
      <c r="AC200" s="24">
        <f t="shared" si="163"/>
        <v>0.18484372426034751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269.64423257646359</v>
      </c>
      <c r="AO200" s="62">
        <f t="shared" si="205"/>
        <v>161.0819079811821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8.5265128291212022E-14</v>
      </c>
      <c r="BE200" s="14">
        <f>BD200*VLOOKUP('Données projet'!$B$11,Paramètres!$A$1:$I$89,3,0)*VLOOKUP('Données projet'!$B$11,Paramètres!$A$1:$I$89,5,0)</f>
        <v>3.990408004028723E-14</v>
      </c>
      <c r="BF200" s="14">
        <f t="shared" si="167"/>
        <v>6.6713074187844705E-13</v>
      </c>
      <c r="BG200" s="22">
        <f t="shared" si="168"/>
        <v>1.2314189815084623E-12</v>
      </c>
      <c r="BH200" s="62">
        <f t="shared" si="194"/>
        <v>293.33333333333456</v>
      </c>
      <c r="BI200" s="62">
        <f ca="1">AVERAGE(OFFSET($BH$3,0,0,'Données projet'!$E$11+1,1))-AVERAGE(OFFSET($H$3,0,0,'Données projet'!$E$11+1,1))</f>
        <v>90.797383835887558</v>
      </c>
      <c r="BJ200" s="62">
        <f t="shared" si="206"/>
        <v>104.31413437636684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3.5343736482077538E-2</v>
      </c>
      <c r="BQ200" s="23">
        <f>EXP(-LN(2)/25)*BQ199+(1-EXP(-LN(2)/25))/(LN(2)/25)*Calculateur!BL200*Calculateur!BN200*VLOOKUP('Données projet'!$B$11,Paramètres!$A$1:$I$89,3,0)*0.475*44/12</f>
        <v>4.1383359477230874E-2</v>
      </c>
      <c r="BR200" s="23">
        <f>EXP(-LN(2)/2)*BR199+(1-EXP(-LN(2)/2))/(LN(2)/2)*BL200*BO200*VLOOKUP('Données projet'!$B$11,Paramètres!$A$1:$I$89,3,0)*0.475*44/12</f>
        <v>2.1635403778132593E-25</v>
      </c>
      <c r="BS200" s="24">
        <f t="shared" si="169"/>
        <v>7.6727095959308406E-2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304</v>
      </c>
      <c r="BZ200" s="14">
        <f>BY200*VLOOKUP('Données projet'!$B$12,Paramètres!$A$1:$I$89,3,0)*VLOOKUP('Données projet'!$B$12,Paramètres!$A$1:$I$89,5,0)</f>
        <v>189.696</v>
      </c>
      <c r="CA200" s="14">
        <f t="shared" si="170"/>
        <v>47.472736505152469</v>
      </c>
      <c r="CB200" s="22">
        <f t="shared" si="171"/>
        <v>413.06888274647389</v>
      </c>
      <c r="CC200" s="62">
        <f t="shared" si="195"/>
        <v>706.4022160798072</v>
      </c>
      <c r="CD200" s="62">
        <f ca="1">AVERAGE(OFFSET($CC$3,0,0,'Données projet'!$E$12+1,1))-AVERAGE(OFFSET($H$3,0,0,'Données projet'!$E$12+1,1))</f>
        <v>179.44051550872138</v>
      </c>
      <c r="CE200" s="62">
        <f t="shared" si="207"/>
        <v>272.9500808380069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0.18277389292556667</v>
      </c>
      <c r="CL200" s="23">
        <f>EXP(-LN(2)/25)*CL199+(1-EXP(-LN(2)/25))/(LN(2)/25)*Calculateur!CG200*Calculateur!CI200*VLOOKUP('Données projet'!$B$12,Paramètres!$A$1:$I$89,3,0)*0.475*44/12</f>
        <v>0.19568754901060961</v>
      </c>
      <c r="CM200" s="23">
        <f>EXP(-LN(2)/2)*CM199+(1-EXP(-LN(2)/2))/(LN(2)/2)*CG200*CJ200*VLOOKUP('Données projet'!$B$12,Paramètres!$A$1:$I$89,3,0)*0.475*44/12</f>
        <v>1.5066980486344297E-24</v>
      </c>
      <c r="CN200" s="24">
        <f t="shared" si="172"/>
        <v>0.37846144193617626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277.99999999999994</v>
      </c>
      <c r="CU200" s="18">
        <f>CT200*VLOOKUP('Données projet'!$B$13,Paramètres!$A$1:$I$89,3,0)*VLOOKUP('Données projet'!$B$13,Paramètres!$A$1:$I$89,5,0)</f>
        <v>151.78799999999998</v>
      </c>
      <c r="CV200" s="14">
        <f t="shared" si="173"/>
        <v>38.984634390835623</v>
      </c>
      <c r="CW200" s="22">
        <f t="shared" si="174"/>
        <v>332.26233823070532</v>
      </c>
      <c r="CX200" s="62">
        <f t="shared" si="196"/>
        <v>625.59567156403864</v>
      </c>
      <c r="CY200" s="62">
        <f ca="1">AVERAGE(OFFSET($CX$3,0,0,'Données projet'!$E$13+1,1))-AVERAGE(OFFSET($H$3,0,0,'Données projet'!$E$13+1,1))</f>
        <v>159.92263609041913</v>
      </c>
      <c r="CZ200" s="62">
        <f t="shared" si="208"/>
        <v>271.78119133009307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0.23961944576571437</v>
      </c>
      <c r="DG200" s="23">
        <f>EXP(-LN(2)/25)*DG199+(1-EXP(-LN(2)/25))/(LN(2)/25)*Calculateur!DB200*Calculateur!DD200*VLOOKUP('Données projet'!$B$13,Paramètres!$A$1:$I$89,3,0)*0.475*44/12</f>
        <v>0.2853809124403317</v>
      </c>
      <c r="DH200" s="23">
        <f>EXP(-LN(2)/2)*DH199+(1-EXP(-LN(2)/2))/(LN(2)/2)*DB200*DE200*VLOOKUP('Données projet'!$B$13,Paramètres!$A$1:$I$89,3,0)*0.475*44/12</f>
        <v>2.0058350510816048E-24</v>
      </c>
      <c r="DI200" s="24">
        <f t="shared" si="175"/>
        <v>0.52500035820604607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-5.4683368944097308E-14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122.60806128440754</v>
      </c>
      <c r="DU200" s="62">
        <f t="shared" si="209"/>
        <v>73.937252053142004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0</v>
      </c>
      <c r="EP200" s="62">
        <f t="shared" si="210"/>
        <v>0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382.55387448074327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7.9059239876154014E-2</v>
      </c>
      <c r="AA201" s="23">
        <f>EXP(-LN(2)/25)*AA200+(1-EXP(-LN(2)/25))/(LN(2)/25)*Calculateur!V201*Calculateur!X201*VLOOKUP('Données projet'!$B$9,Paramètres!$A$1:$I$89,3,0)*0.475*44/12</f>
        <v>0.1013537311194169</v>
      </c>
      <c r="AB201" s="23">
        <f>EXP(-LN(2)/2)*AB200+(1-EXP(-LN(2)/2))/(LN(2)/2)*V201*Y201*VLOOKUP('Données projet'!$B$9,Paramètres!$A$1:$I$89,3,0)*0.475*44/12</f>
        <v>1.1645875442557069E-24</v>
      </c>
      <c r="AC201" s="24">
        <f t="shared" si="163"/>
        <v>0.18041297099557091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269.64423257646359</v>
      </c>
      <c r="AO201" s="62">
        <f t="shared" si="205"/>
        <v>161.0819079811821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8.5265128291212022E-14</v>
      </c>
      <c r="BE201" s="14">
        <f>BD201*VLOOKUP('Données projet'!$B$11,Paramètres!$A$1:$I$89,3,0)*VLOOKUP('Données projet'!$B$11,Paramètres!$A$1:$I$89,5,0)</f>
        <v>3.990408004028723E-14</v>
      </c>
      <c r="BF201" s="14">
        <f t="shared" si="167"/>
        <v>6.6713074187844705E-13</v>
      </c>
      <c r="BG201" s="22">
        <f t="shared" si="168"/>
        <v>1.2314189815084623E-12</v>
      </c>
      <c r="BH201" s="62">
        <f t="shared" si="194"/>
        <v>293.33333333333456</v>
      </c>
      <c r="BI201" s="62">
        <f ca="1">AVERAGE(OFFSET($BH$3,0,0,'Données projet'!$E$11+1,1))-AVERAGE(OFFSET($H$3,0,0,'Données projet'!$E$11+1,1))</f>
        <v>90.797383835887558</v>
      </c>
      <c r="BJ201" s="62">
        <f t="shared" si="206"/>
        <v>104.31413437636684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3.4650667367214623E-2</v>
      </c>
      <c r="BQ201" s="23">
        <f>EXP(-LN(2)/25)*BQ200+(1-EXP(-LN(2)/25))/(LN(2)/25)*Calculateur!BL201*Calculateur!BN201*VLOOKUP('Données projet'!$B$11,Paramètres!$A$1:$I$89,3,0)*0.475*44/12</f>
        <v>4.0251729336069707E-2</v>
      </c>
      <c r="BR201" s="23">
        <f>EXP(-LN(2)/2)*BR200+(1-EXP(-LN(2)/2))/(LN(2)/2)*BL201*BO201*VLOOKUP('Données projet'!$B$11,Paramètres!$A$1:$I$89,3,0)*0.475*44/12</f>
        <v>1.5298540725226607E-25</v>
      </c>
      <c r="BS201" s="24">
        <f t="shared" si="169"/>
        <v>7.490239670328433E-2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304</v>
      </c>
      <c r="BZ201" s="14">
        <f>BY201*VLOOKUP('Données projet'!$B$12,Paramètres!$A$1:$I$89,3,0)*VLOOKUP('Données projet'!$B$12,Paramètres!$A$1:$I$89,5,0)</f>
        <v>189.696</v>
      </c>
      <c r="CA201" s="14">
        <f t="shared" si="170"/>
        <v>47.472736505152469</v>
      </c>
      <c r="CB201" s="22">
        <f t="shared" si="171"/>
        <v>413.06888274647389</v>
      </c>
      <c r="CC201" s="62">
        <f t="shared" si="195"/>
        <v>706.4022160798072</v>
      </c>
      <c r="CD201" s="62">
        <f ca="1">AVERAGE(OFFSET($CC$3,0,0,'Données projet'!$E$12+1,1))-AVERAGE(OFFSET($H$3,0,0,'Données projet'!$E$12+1,1))</f>
        <v>179.44051550872138</v>
      </c>
      <c r="CE201" s="62">
        <f t="shared" si="207"/>
        <v>272.9500808380069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0.17918980836636314</v>
      </c>
      <c r="CL201" s="23">
        <f>EXP(-LN(2)/25)*CL200+(1-EXP(-LN(2)/25))/(LN(2)/25)*Calculateur!CG201*Calculateur!CI201*VLOOKUP('Données projet'!$B$12,Paramètres!$A$1:$I$89,3,0)*0.475*44/12</f>
        <v>0.19033646269215354</v>
      </c>
      <c r="CM201" s="23">
        <f>EXP(-LN(2)/2)*CM200+(1-EXP(-LN(2)/2))/(LN(2)/2)*CG201*CJ201*VLOOKUP('Données projet'!$B$12,Paramètres!$A$1:$I$89,3,0)*0.475*44/12</f>
        <v>1.0653964073899438E-24</v>
      </c>
      <c r="CN201" s="24">
        <f t="shared" si="172"/>
        <v>0.36952627105851665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277.99999999999994</v>
      </c>
      <c r="CU201" s="18">
        <f>CT201*VLOOKUP('Données projet'!$B$13,Paramètres!$A$1:$I$89,3,0)*VLOOKUP('Données projet'!$B$13,Paramètres!$A$1:$I$89,5,0)</f>
        <v>151.78799999999998</v>
      </c>
      <c r="CV201" s="14">
        <f t="shared" si="173"/>
        <v>38.984634390835623</v>
      </c>
      <c r="CW201" s="22">
        <f t="shared" si="174"/>
        <v>332.26233823070532</v>
      </c>
      <c r="CX201" s="62">
        <f t="shared" si="196"/>
        <v>625.59567156403864</v>
      </c>
      <c r="CY201" s="62">
        <f ca="1">AVERAGE(OFFSET($CX$3,0,0,'Données projet'!$E$13+1,1))-AVERAGE(OFFSET($H$3,0,0,'Données projet'!$E$13+1,1))</f>
        <v>159.92263609041913</v>
      </c>
      <c r="CZ201" s="62">
        <f t="shared" si="208"/>
        <v>271.78119133009307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0.23492065458767916</v>
      </c>
      <c r="DG201" s="23">
        <f>EXP(-LN(2)/25)*DG200+(1-EXP(-LN(2)/25))/(LN(2)/25)*Calculateur!DB201*Calculateur!DD201*VLOOKUP('Données projet'!$B$13,Paramètres!$A$1:$I$89,3,0)*0.475*44/12</f>
        <v>0.27757715638212088</v>
      </c>
      <c r="DH201" s="23">
        <f>EXP(-LN(2)/2)*DH200+(1-EXP(-LN(2)/2))/(LN(2)/2)*DB201*DE201*VLOOKUP('Données projet'!$B$13,Paramètres!$A$1:$I$89,3,0)*0.475*44/12</f>
        <v>1.4183395665614677E-24</v>
      </c>
      <c r="DI201" s="24">
        <f t="shared" si="175"/>
        <v>0.51249781096980007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-5.4683368944097308E-14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122.60806128440754</v>
      </c>
      <c r="DU201" s="62">
        <f t="shared" si="209"/>
        <v>73.937252053142004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0</v>
      </c>
      <c r="EP201" s="62">
        <f t="shared" si="210"/>
        <v>0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382.55387448074327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7.7508936403557493E-2</v>
      </c>
      <c r="AA202" s="23">
        <f>EXP(-LN(2)/25)*AA201+(1-EXP(-LN(2)/25))/(LN(2)/25)*Calculateur!V202*Calculateur!X202*VLOOKUP('Données projet'!$B$9,Paramètres!$A$1:$I$89,3,0)*0.475*44/12</f>
        <v>9.8582208011995368E-2</v>
      </c>
      <c r="AB202" s="23">
        <f>EXP(-LN(2)/2)*AB201+(1-EXP(-LN(2)/2))/(LN(2)/2)*V202*Y202*VLOOKUP('Données projet'!$B$9,Paramètres!$A$1:$I$89,3,0)*0.475*44/12</f>
        <v>8.2348774982859893E-25</v>
      </c>
      <c r="AC202" s="24">
        <f t="shared" si="163"/>
        <v>0.17609114441555285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269.64423257646359</v>
      </c>
      <c r="AO202" s="62">
        <f t="shared" si="205"/>
        <v>161.0819079811821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8.5265128291212022E-14</v>
      </c>
      <c r="BE202" s="14">
        <f>BD202*VLOOKUP('Données projet'!$B$11,Paramètres!$A$1:$I$89,3,0)*VLOOKUP('Données projet'!$B$11,Paramètres!$A$1:$I$89,5,0)</f>
        <v>3.990408004028723E-14</v>
      </c>
      <c r="BF202" s="14">
        <f t="shared" si="167"/>
        <v>6.6713074187844705E-13</v>
      </c>
      <c r="BG202" s="22">
        <f t="shared" si="168"/>
        <v>1.2314189815084623E-12</v>
      </c>
      <c r="BH202" s="62">
        <f t="shared" si="194"/>
        <v>293.33333333333456</v>
      </c>
      <c r="BI202" s="62">
        <f ca="1">AVERAGE(OFFSET($BH$3,0,0,'Données projet'!$E$11+1,1))-AVERAGE(OFFSET($H$3,0,0,'Données projet'!$E$11+1,1))</f>
        <v>90.797383835887558</v>
      </c>
      <c r="BJ202" s="62">
        <f t="shared" si="206"/>
        <v>104.31413437636684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3.397118891496375E-2</v>
      </c>
      <c r="BQ202" s="23">
        <f>EXP(-LN(2)/25)*BQ201+(1-EXP(-LN(2)/25))/(LN(2)/25)*Calculateur!BL202*Calculateur!BN202*VLOOKUP('Données projet'!$B$11,Paramètres!$A$1:$I$89,3,0)*0.475*44/12</f>
        <v>3.9151043680628432E-2</v>
      </c>
      <c r="BR202" s="23">
        <f>EXP(-LN(2)/2)*BR201+(1-EXP(-LN(2)/2))/(LN(2)/2)*BL202*BO202*VLOOKUP('Données projet'!$B$11,Paramètres!$A$1:$I$89,3,0)*0.475*44/12</f>
        <v>1.0817701889066297E-25</v>
      </c>
      <c r="BS202" s="24">
        <f t="shared" si="169"/>
        <v>7.3122232595592182E-2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304</v>
      </c>
      <c r="BZ202" s="14">
        <f>BY202*VLOOKUP('Données projet'!$B$12,Paramètres!$A$1:$I$89,3,0)*VLOOKUP('Données projet'!$B$12,Paramètres!$A$1:$I$89,5,0)</f>
        <v>189.696</v>
      </c>
      <c r="CA202" s="14">
        <f t="shared" si="170"/>
        <v>47.472736505152469</v>
      </c>
      <c r="CB202" s="22">
        <f t="shared" si="171"/>
        <v>413.06888274647389</v>
      </c>
      <c r="CC202" s="62">
        <f t="shared" si="195"/>
        <v>706.4022160798072</v>
      </c>
      <c r="CD202" s="62">
        <f ca="1">AVERAGE(OFFSET($CC$3,0,0,'Données projet'!$E$12+1,1))-AVERAGE(OFFSET($H$3,0,0,'Données projet'!$E$12+1,1))</f>
        <v>179.44051550872138</v>
      </c>
      <c r="CE202" s="62">
        <f t="shared" si="207"/>
        <v>272.9500808380069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0.17567600551928989</v>
      </c>
      <c r="CL202" s="23">
        <f>EXP(-LN(2)/25)*CL201+(1-EXP(-LN(2)/25))/(LN(2)/25)*Calculateur!CG202*Calculateur!CI202*VLOOKUP('Données projet'!$B$12,Paramètres!$A$1:$I$89,3,0)*0.475*44/12</f>
        <v>0.18513170211047705</v>
      </c>
      <c r="CM202" s="23">
        <f>EXP(-LN(2)/2)*CM201+(1-EXP(-LN(2)/2))/(LN(2)/2)*CG202*CJ202*VLOOKUP('Données projet'!$B$12,Paramètres!$A$1:$I$89,3,0)*0.475*44/12</f>
        <v>7.5334902431721486E-25</v>
      </c>
      <c r="CN202" s="24">
        <f t="shared" si="172"/>
        <v>0.36080770762976694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277.99999999999994</v>
      </c>
      <c r="CU202" s="18">
        <f>CT202*VLOOKUP('Données projet'!$B$13,Paramètres!$A$1:$I$89,3,0)*VLOOKUP('Données projet'!$B$13,Paramètres!$A$1:$I$89,5,0)</f>
        <v>151.78799999999998</v>
      </c>
      <c r="CV202" s="14">
        <f t="shared" si="173"/>
        <v>38.984634390835623</v>
      </c>
      <c r="CW202" s="22">
        <f t="shared" si="174"/>
        <v>332.26233823070532</v>
      </c>
      <c r="CX202" s="62">
        <f t="shared" si="196"/>
        <v>625.59567156403864</v>
      </c>
      <c r="CY202" s="62">
        <f ca="1">AVERAGE(OFFSET($CX$3,0,0,'Données projet'!$E$13+1,1))-AVERAGE(OFFSET($H$3,0,0,'Données projet'!$E$13+1,1))</f>
        <v>159.92263609041913</v>
      </c>
      <c r="CZ202" s="62">
        <f t="shared" si="208"/>
        <v>271.78119133009307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0.2303140038386656</v>
      </c>
      <c r="DG202" s="23">
        <f>EXP(-LN(2)/25)*DG201+(1-EXP(-LN(2)/25))/(LN(2)/25)*Calculateur!DB202*Calculateur!DD202*VLOOKUP('Données projet'!$B$13,Paramètres!$A$1:$I$89,3,0)*0.475*44/12</f>
        <v>0.26998679444370355</v>
      </c>
      <c r="DH202" s="23">
        <f>EXP(-LN(2)/2)*DH201+(1-EXP(-LN(2)/2))/(LN(2)/2)*DB202*DE202*VLOOKUP('Données projet'!$B$13,Paramètres!$A$1:$I$89,3,0)*0.475*44/12</f>
        <v>1.0029175255408024E-24</v>
      </c>
      <c r="DI202" s="24">
        <f t="shared" si="175"/>
        <v>0.50030079828236917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-5.4683368944097308E-14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122.60806128440754</v>
      </c>
      <c r="DU202" s="62">
        <f t="shared" si="209"/>
        <v>73.937252053142004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0</v>
      </c>
      <c r="EP202" s="62">
        <f t="shared" si="210"/>
        <v>0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382.55387448074327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7.5989033436466846E-2</v>
      </c>
      <c r="AA203" s="23">
        <f>EXP(-LN(2)/25)*AA202+(1-EXP(-LN(2)/25))/(LN(2)/25)*Calculateur!V203*Calculateur!X203*VLOOKUP('Données projet'!$B$9,Paramètres!$A$1:$I$89,3,0)*0.475*44/12</f>
        <v>9.5886472349694343E-2</v>
      </c>
      <c r="AB203" s="23">
        <f>EXP(-LN(2)/2)*AB202+(1-EXP(-LN(2)/2))/(LN(2)/2)*V203*Y203*VLOOKUP('Données projet'!$B$9,Paramètres!$A$1:$I$89,3,0)*0.475*44/12</f>
        <v>5.8229377212785355E-25</v>
      </c>
      <c r="AC203" s="24">
        <f t="shared" si="163"/>
        <v>0.17187550578616118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269.64423257646359</v>
      </c>
      <c r="AO203" s="62">
        <f t="shared" si="205"/>
        <v>161.0819079811821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8.5265128291212022E-14</v>
      </c>
      <c r="BE203" s="14">
        <f>BD203*VLOOKUP('Données projet'!$B$11,Paramètres!$A$1:$I$89,3,0)*VLOOKUP('Données projet'!$B$11,Paramètres!$A$1:$I$89,5,0)</f>
        <v>3.990408004028723E-14</v>
      </c>
      <c r="BF203" s="14">
        <f t="shared" si="167"/>
        <v>6.6713074187844705E-13</v>
      </c>
      <c r="BG203" s="22">
        <f t="shared" si="168"/>
        <v>1.2314189815084623E-12</v>
      </c>
      <c r="BH203" s="62">
        <f t="shared" si="194"/>
        <v>293.33333333333456</v>
      </c>
      <c r="BI203" s="62">
        <f ca="1">AVERAGE(OFFSET($BH$3,0,0,'Données projet'!$E$11+1,1))-AVERAGE(OFFSET($H$3,0,0,'Données projet'!$E$11+1,1))</f>
        <v>90.797383835887558</v>
      </c>
      <c r="BJ203" s="62">
        <f t="shared" si="206"/>
        <v>104.31413437636684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3.3305034620720583E-2</v>
      </c>
      <c r="BQ203" s="23">
        <f>EXP(-LN(2)/25)*BQ202+(1-EXP(-LN(2)/25))/(LN(2)/25)*Calculateur!BL203*Calculateur!BN203*VLOOKUP('Données projet'!$B$11,Paramètres!$A$1:$I$89,3,0)*0.475*44/12</f>
        <v>3.8080456332317741E-2</v>
      </c>
      <c r="BR203" s="23">
        <f>EXP(-LN(2)/2)*BR202+(1-EXP(-LN(2)/2))/(LN(2)/2)*BL203*BO203*VLOOKUP('Données projet'!$B$11,Paramètres!$A$1:$I$89,3,0)*0.475*44/12</f>
        <v>7.6492703626133037E-26</v>
      </c>
      <c r="BS203" s="24">
        <f t="shared" si="169"/>
        <v>7.1385490953038325E-2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304</v>
      </c>
      <c r="BZ203" s="14">
        <f>BY203*VLOOKUP('Données projet'!$B$12,Paramètres!$A$1:$I$89,3,0)*VLOOKUP('Données projet'!$B$12,Paramètres!$A$1:$I$89,5,0)</f>
        <v>189.696</v>
      </c>
      <c r="CA203" s="14">
        <f t="shared" si="170"/>
        <v>47.472736505152469</v>
      </c>
      <c r="CB203" s="22">
        <f t="shared" si="171"/>
        <v>413.06888274647389</v>
      </c>
      <c r="CC203" s="62">
        <f t="shared" si="195"/>
        <v>706.4022160798072</v>
      </c>
      <c r="CD203" s="62">
        <f ca="1">AVERAGE(OFFSET($CC$3,0,0,'Données projet'!$E$12+1,1))-AVERAGE(OFFSET($H$3,0,0,'Données projet'!$E$12+1,1))</f>
        <v>179.44051550872138</v>
      </c>
      <c r="CE203" s="62">
        <f t="shared" si="207"/>
        <v>272.9500808380069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0.17223110620283963</v>
      </c>
      <c r="CL203" s="23">
        <f>EXP(-LN(2)/25)*CL202+(1-EXP(-LN(2)/25))/(LN(2)/25)*Calculateur!CG203*Calculateur!CI203*VLOOKUP('Données projet'!$B$12,Paramètres!$A$1:$I$89,3,0)*0.475*44/12</f>
        <v>0.18006926598061296</v>
      </c>
      <c r="CM203" s="23">
        <f>EXP(-LN(2)/2)*CM202+(1-EXP(-LN(2)/2))/(LN(2)/2)*CG203*CJ203*VLOOKUP('Données projet'!$B$12,Paramètres!$A$1:$I$89,3,0)*0.475*44/12</f>
        <v>5.3269820369497191E-25</v>
      </c>
      <c r="CN203" s="24">
        <f t="shared" si="172"/>
        <v>0.35230037218345256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277.99999999999994</v>
      </c>
      <c r="CU203" s="18">
        <f>CT203*VLOOKUP('Données projet'!$B$13,Paramètres!$A$1:$I$89,3,0)*VLOOKUP('Données projet'!$B$13,Paramètres!$A$1:$I$89,5,0)</f>
        <v>151.78799999999998</v>
      </c>
      <c r="CV203" s="14">
        <f t="shared" si="173"/>
        <v>38.984634390835623</v>
      </c>
      <c r="CW203" s="22">
        <f t="shared" si="174"/>
        <v>332.26233823070532</v>
      </c>
      <c r="CX203" s="62">
        <f t="shared" si="196"/>
        <v>625.59567156403864</v>
      </c>
      <c r="CY203" s="62">
        <f ca="1">AVERAGE(OFFSET($CX$3,0,0,'Données projet'!$E$13+1,1))-AVERAGE(OFFSET($H$3,0,0,'Données projet'!$E$13+1,1))</f>
        <v>159.92263609041913</v>
      </c>
      <c r="CZ203" s="62">
        <f t="shared" si="208"/>
        <v>271.78119133009307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0.22579768670106068</v>
      </c>
      <c r="DG203" s="23">
        <f>EXP(-LN(2)/25)*DG202+(1-EXP(-LN(2)/25))/(LN(2)/25)*Calculateur!DB203*Calculateur!DD203*VLOOKUP('Données projet'!$B$13,Paramètres!$A$1:$I$89,3,0)*0.475*44/12</f>
        <v>0.26260399135165202</v>
      </c>
      <c r="DH203" s="23">
        <f>EXP(-LN(2)/2)*DH202+(1-EXP(-LN(2)/2))/(LN(2)/2)*DB203*DE203*VLOOKUP('Données projet'!$B$13,Paramètres!$A$1:$I$89,3,0)*0.475*44/12</f>
        <v>7.0916978328073387E-25</v>
      </c>
      <c r="DI203" s="24">
        <f t="shared" si="175"/>
        <v>0.48840167805271273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-5.4683368944097308E-14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122.60806128440754</v>
      </c>
      <c r="DU203" s="62">
        <f t="shared" si="209"/>
        <v>73.937252053142004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0</v>
      </c>
      <c r="EP203" s="62">
        <f t="shared" si="210"/>
        <v>0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1.2943669275923884</v>
      </c>
      <c r="BV205" s="88">
        <f>EXP(LN('Données projet'!B114)/'Données projet'!A114)</f>
        <v>1.2997069632623315</v>
      </c>
      <c r="CQ205" s="88">
        <f>EXP(LN('Données projet'!B140)/'Données projet'!A140)</f>
        <v>1.4860662319460807</v>
      </c>
      <c r="DL205" s="88">
        <f>EXP(LN('Données projet'!B166)/'Données projet'!A166)</f>
        <v>1.1327072620419421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E8" sqref="E8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5.3286000000000007</v>
      </c>
      <c r="C6" s="156">
        <f ca="1">IF(OR('Données projet'!B9="",'Données projet'!C9="",'Données projet'!C9=0%),0,Calculateur!S3)</f>
        <v>382.55387448074327</v>
      </c>
      <c r="D6" s="156">
        <f>IF(OR('Données projet'!B9="",'Données projet'!C9="",'Données projet'!C9=0%),0,Calculateur!T3)</f>
        <v>476.29465646955543</v>
      </c>
      <c r="E6" s="156">
        <f ca="1">MIN(C6,D6)</f>
        <v>382.55387448074327</v>
      </c>
      <c r="F6" s="156">
        <f ca="1">E6*B6</f>
        <v>2038.4765755580888</v>
      </c>
      <c r="G6" s="156">
        <f ca="1">F6*(100%-'Données projet'!$C$24)*(100%-'Données projet'!$C$25)*(100%-'Données projet'!$C$26)*(100%-'Données projet'!$C$27)</f>
        <v>1834.62891800228</v>
      </c>
      <c r="H6" s="157">
        <f>IF(OR('Données projet'!B9="",'Données projet'!C9="",'Données projet'!C9=0%),0,AVERAGE(Calculateur!$AC$3:$AC$33)*B6)</f>
        <v>22.733148100884407</v>
      </c>
      <c r="I6" s="158">
        <f>H6*(100%-'Données projet'!$C$24)*(100%-'Données projet'!$C$25)*(100%-'Données projet'!$C$26)*(100%-'Données projet'!$C$27)</f>
        <v>20.459833290795967</v>
      </c>
      <c r="J6" s="159">
        <f>IF(OR('Données projet'!B9="",'Données projet'!C9="",'Données projet'!C9=0%),0,SUM(Calculateur!$V$3:$V$33)*VLOOKUP('Données projet'!$B$9,Paramètres!$A$1:$I$89,9,0)*B6)</f>
        <v>247.46018400000003</v>
      </c>
      <c r="K6" s="160">
        <f>J6*(100%-'Données projet'!$C$24)*(100%-'Données projet'!$C$25)*(100%-'Données projet'!$C$26)*(100%-'Données projet'!$C$27)</f>
        <v>222.71416560000003</v>
      </c>
      <c r="L6" s="161">
        <f ca="1">G6+I6+K6</f>
        <v>2077.8029168930761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3.5952000000000002</v>
      </c>
      <c r="C7" s="156">
        <f ca="1">IF(OR('Données projet'!B10="",'Données projet'!C10="",'Données projet'!C10=0%),0,Calculateur!AN3)</f>
        <v>269.64423257646359</v>
      </c>
      <c r="D7" s="156">
        <f>IF(OR('Données projet'!B10="",'Données projet'!C10="",'Données projet'!C10=0%),0,Calculateur!AO3)</f>
        <v>161.0819079811821</v>
      </c>
      <c r="E7" s="156">
        <f t="shared" ref="E7:E15" ca="1" si="0">MIN(C7,D7)</f>
        <v>161.0819079811821</v>
      </c>
      <c r="F7" s="156">
        <f t="shared" ref="F7:F15" ca="1" si="1">E7*B7</f>
        <v>579.12167557394594</v>
      </c>
      <c r="G7" s="156">
        <f ca="1">F7*(100%-'Données projet'!$C$24)*(100%-'Données projet'!$C$25)*(100%-'Données projet'!$C$26)*(100%-'Données projet'!$C$27)</f>
        <v>521.20950801655135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26.065200000000001</v>
      </c>
      <c r="K7" s="160">
        <f>J7*(100%-'Données projet'!$C$24)*(100%-'Données projet'!$C$25)*(100%-'Données projet'!$C$26)*(100%-'Données projet'!$C$27)</f>
        <v>23.458680000000001</v>
      </c>
      <c r="L7" s="161">
        <f t="shared" ref="L7:L15" ca="1" si="2">G7+I7+K7</f>
        <v>544.66818801655131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2.3111999999999999</v>
      </c>
      <c r="C8" s="156">
        <f ca="1">IF(OR('Données projet'!B11="",'Données projet'!C11="",'Données projet'!C11=0%),0,Calculateur!BI3)</f>
        <v>90.797383835887558</v>
      </c>
      <c r="D8" s="156">
        <f>IF(OR('Données projet'!B11="",'Données projet'!C11="",'Données projet'!C11=0%),0,Calculateur!BJ3)</f>
        <v>104.31413437636684</v>
      </c>
      <c r="E8" s="156">
        <f t="shared" ca="1" si="0"/>
        <v>90.797383835887558</v>
      </c>
      <c r="F8" s="156">
        <f t="shared" ca="1" si="1"/>
        <v>209.85091352150332</v>
      </c>
      <c r="G8" s="156">
        <f ca="1">F8*(100%-'Données projet'!$C$24)*(100%-'Données projet'!$C$25)*(100%-'Données projet'!$C$26)*(100%-'Données projet'!$C$27)</f>
        <v>188.86582216935298</v>
      </c>
      <c r="H8" s="164">
        <f>IF(OR('Données projet'!B11="",'Données projet'!C11="",'Données projet'!C11=0%),0,AVERAGE(Calculateur!$BS$3:$BS$33)*B8)</f>
        <v>5.9444128392218358</v>
      </c>
      <c r="I8" s="158">
        <f>H8*(100%-'Données projet'!$C$24)*(100%-'Données projet'!$C$25)*(100%-'Données projet'!$C$26)*(100%-'Données projet'!$C$27)</f>
        <v>5.3499715552996525</v>
      </c>
      <c r="J8" s="159">
        <f>IF(OR('Données projet'!B11="",'Données projet'!C11="",'Données projet'!C11=0%),0,SUM(Calculateur!$BL$3:$BL$33)*VLOOKUP('Données projet'!$B$11,Paramètres!$A$1:$I$89,9,0)*B8)</f>
        <v>49.690799999999996</v>
      </c>
      <c r="K8" s="160">
        <f>J8*(100%-'Données projet'!$C$24)*(100%-'Données projet'!$C$25)*(100%-'Données projet'!$C$26)*(100%-'Données projet'!$C$27)</f>
        <v>44.721719999999998</v>
      </c>
      <c r="L8" s="161">
        <f t="shared" ca="1" si="2"/>
        <v>238.93751372465263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Mélèze d'Europe</v>
      </c>
      <c r="B9" s="163">
        <f>'Données projet'!D12</f>
        <v>2.0865</v>
      </c>
      <c r="C9" s="156">
        <f ca="1">IF(OR('Données projet'!B12="",'Données projet'!C12="",'Données projet'!C12=0%),0,Calculateur!CD3)</f>
        <v>179.44051550872138</v>
      </c>
      <c r="D9" s="156">
        <f>IF(OR('Données projet'!B12="",'Données projet'!C12="",'Données projet'!C12=0%),0,Calculateur!CE3)</f>
        <v>272.9500808380069</v>
      </c>
      <c r="E9" s="156">
        <f t="shared" ca="1" si="0"/>
        <v>179.44051550872138</v>
      </c>
      <c r="F9" s="156">
        <f t="shared" ca="1" si="1"/>
        <v>374.40263560894715</v>
      </c>
      <c r="G9" s="156">
        <f ca="1">F9*(100%-'Données projet'!$C$24)*(100%-'Données projet'!$C$25)*(100%-'Données projet'!$C$26)*(100%-'Données projet'!$C$27)</f>
        <v>336.96237204805243</v>
      </c>
      <c r="H9" s="164">
        <f>IF(OR('Données projet'!B12="",'Données projet'!C12="",'Données projet'!C12=0%),0,AVERAGE(Calculateur!$CN$3:$CN$33)*B9)</f>
        <v>16.95556418624609</v>
      </c>
      <c r="I9" s="158">
        <f>H9*(100%-'Données projet'!$C$24)*(100%-'Données projet'!$C$25)*(100%-'Données projet'!$C$26)*(100%-'Données projet'!$C$27)</f>
        <v>15.260007767621481</v>
      </c>
      <c r="J9" s="159">
        <f>IF(OR('Données projet'!B12="",'Données projet'!C12="",'Données projet'!C12=0%),0,SUM(Calculateur!$CG$3:$CG$33)*VLOOKUP('Données projet'!$B$12,Paramètres!$A$1:$I$89,9,0)*B9)</f>
        <v>114.84096</v>
      </c>
      <c r="K9" s="160">
        <f>J9*(100%-'Données projet'!$C$24)*(100%-'Données projet'!$C$25)*(100%-'Données projet'!$C$26)*(100%-'Données projet'!$C$27)</f>
        <v>103.356864</v>
      </c>
      <c r="L9" s="161">
        <f t="shared" ca="1" si="2"/>
        <v>455.57924381567386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Mélèze hybride</v>
      </c>
      <c r="B10" s="163">
        <f>'Données projet'!D13</f>
        <v>0.22470000000000001</v>
      </c>
      <c r="C10" s="156">
        <f ca="1">IF(OR('Données projet'!B13="",'Données projet'!C13="",'Données projet'!C13=0%),0,Calculateur!CY3)</f>
        <v>159.92263609041913</v>
      </c>
      <c r="D10" s="156">
        <f>IF(OR('Données projet'!B13="",'Données projet'!C13="",'Données projet'!C13=0%),0,Calculateur!CZ3)</f>
        <v>271.78119133009307</v>
      </c>
      <c r="E10" s="156">
        <f t="shared" ca="1" si="0"/>
        <v>159.92263609041913</v>
      </c>
      <c r="F10" s="156">
        <f t="shared" ca="1" si="1"/>
        <v>35.934616329517183</v>
      </c>
      <c r="G10" s="156">
        <f ca="1">F10*(100%-'Données projet'!$C$24)*(100%-'Données projet'!$C$25)*(100%-'Données projet'!$C$26)*(100%-'Données projet'!$C$27)</f>
        <v>32.341154696565468</v>
      </c>
      <c r="H10" s="164">
        <f>IF(OR('Données projet'!B13="",'Données projet'!C13="",'Données projet'!C13=0%),0,AVERAGE(Calculateur!$DI$3:$DI$33)*B10)</f>
        <v>3.9978519129811381</v>
      </c>
      <c r="I10" s="158">
        <f>H10*(100%-'Données projet'!$C$24)*(100%-'Données projet'!$C$25)*(100%-'Données projet'!$C$26)*(100%-'Données projet'!$C$27)</f>
        <v>3.5980667216830242</v>
      </c>
      <c r="J10" s="159">
        <f>IF(OR('Données projet'!B13="",'Données projet'!C13="",'Données projet'!C13=0%),0,SUM(Calculateur!$DB$3:$DB$33)*VLOOKUP('Données projet'!$B$13,Paramètres!$A$1:$I$89,9,0)*B10)</f>
        <v>27.923469000000001</v>
      </c>
      <c r="K10" s="160">
        <f>J10*(100%-'Données projet'!$C$24)*(100%-'Données projet'!$C$25)*(100%-'Données projet'!$C$26)*(100%-'Données projet'!$C$27)</f>
        <v>25.131122100000002</v>
      </c>
      <c r="L10" s="161">
        <f t="shared" ca="1" si="2"/>
        <v>61.070343518248492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Sapin de Nordmann</v>
      </c>
      <c r="B11" s="163">
        <f>'Données projet'!D14</f>
        <v>1.6050000000000002</v>
      </c>
      <c r="C11" s="156">
        <f ca="1">IF(OR('Données projet'!B14="",'Données projet'!C14="",'Données projet'!C14=0%),0,Calculateur!DT3)</f>
        <v>122.60806128440754</v>
      </c>
      <c r="D11" s="156">
        <f>IF(OR('Données projet'!B14="",'Données projet'!C14="",'Données projet'!C14=0%),0,Calculateur!DU3)</f>
        <v>73.937252053142004</v>
      </c>
      <c r="E11" s="156">
        <f t="shared" ca="1" si="0"/>
        <v>73.937252053142004</v>
      </c>
      <c r="F11" s="156">
        <f t="shared" ca="1" si="1"/>
        <v>118.66928954529293</v>
      </c>
      <c r="G11" s="156">
        <f ca="1">F11*(100%-'Données projet'!$C$24)*(100%-'Données projet'!$C$25)*(100%-'Données projet'!$C$26)*(100%-'Données projet'!$C$27)</f>
        <v>106.80236059076364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106.80236059076364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Erable sycomore</v>
      </c>
      <c r="B12" s="163">
        <f>'Données projet'!D15</f>
        <v>0.89880000000000004</v>
      </c>
      <c r="C12" s="156">
        <f ca="1"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ca="1" si="0"/>
        <v>0</v>
      </c>
      <c r="F12" s="156">
        <f t="shared" ca="1" si="1"/>
        <v>0</v>
      </c>
      <c r="G12" s="156">
        <f ca="1"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3356.4557061372952</v>
      </c>
      <c r="G16" s="175">
        <f t="shared" ca="1" si="3"/>
        <v>3020.8101355235658</v>
      </c>
      <c r="H16" s="176">
        <f t="shared" si="3"/>
        <v>49.630977039333473</v>
      </c>
      <c r="I16" s="176">
        <f t="shared" si="3"/>
        <v>44.66787933540013</v>
      </c>
      <c r="J16" s="177">
        <f t="shared" si="3"/>
        <v>465.98061300000001</v>
      </c>
      <c r="K16" s="177">
        <f t="shared" si="3"/>
        <v>419.38255170000008</v>
      </c>
      <c r="L16" s="178">
        <f t="shared" ca="1" si="3"/>
        <v>3484.8605665589666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Mélèze d'Europe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Mélèze hybride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Sapin de Nordmann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Erable sycomore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S10" zoomScale="90" zoomScaleNormal="90" workbookViewId="0">
      <selection activeCell="C74" sqref="C7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3793.7485678980524</v>
      </c>
      <c r="U10" s="190">
        <f>'Données projet'!D9</f>
        <v>5.3286000000000007</v>
      </c>
      <c r="V10" s="189">
        <f>U10*T10</f>
        <v>20215.368618901564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-2873.3536019995836</v>
      </c>
      <c r="U11" s="190">
        <f>'Données projet'!D10</f>
        <v>3.5952000000000002</v>
      </c>
      <c r="V11" s="189">
        <f t="shared" ref="V11" si="0">U11*T11</f>
        <v>-10330.280869908904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-1755.9127941370707</v>
      </c>
      <c r="U12" s="190">
        <f>'Données projet'!D11</f>
        <v>2.3111999999999999</v>
      </c>
      <c r="V12" s="189">
        <f t="shared" ref="V12:V19" si="1">U12*T12</f>
        <v>-4058.2656498095976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Mélèze d'Europe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-708.03472237073629</v>
      </c>
      <c r="U13" s="190">
        <f>'Données projet'!D12</f>
        <v>2.0865</v>
      </c>
      <c r="V13" s="189">
        <f t="shared" si="1"/>
        <v>-1477.3144482265413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Mélèze hybride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809.00773297060289</v>
      </c>
      <c r="U14" s="190">
        <f>'Données projet'!D13</f>
        <v>0.22470000000000001</v>
      </c>
      <c r="V14" s="189">
        <f t="shared" si="1"/>
        <v>181.78403759849448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Sapin de Nordmann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136.94932378510998</v>
      </c>
      <c r="U15" s="190">
        <f>'Données projet'!D14</f>
        <v>1.6050000000000002</v>
      </c>
      <c r="V15" s="189">
        <f t="shared" si="1"/>
        <v>219.80366467510154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60</v>
      </c>
      <c r="O16" s="25"/>
      <c r="P16" s="25"/>
      <c r="Q16" s="265"/>
      <c r="R16" s="25"/>
      <c r="S16" s="185" t="str">
        <f>B200</f>
        <v>Erable sycomore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-2765.9065420560746</v>
      </c>
      <c r="U16" s="190">
        <f>'Données projet'!D15</f>
        <v>0.89880000000000004</v>
      </c>
      <c r="V16" s="189">
        <f t="shared" si="1"/>
        <v>-2485.9967999999999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(19740/16.05)+(3520/5.33)+(10207.8/16.05)</f>
        <v>2526.3193000298083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50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3000.0000000000041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(12341.1+2400+5120+420+2100+44200)/16.05</f>
        <v>4148.3551401869163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500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-86376.440390311094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54</v>
      </c>
      <c r="C24" s="206">
        <v>1.95</v>
      </c>
      <c r="D24" s="194">
        <f t="shared" ref="D24:D42" si="2">B24*C24</f>
        <v>105.3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3432.5657487176286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54</v>
      </c>
      <c r="C25" s="206">
        <v>4.4800000000000004</v>
      </c>
      <c r="D25" s="194">
        <f t="shared" si="2"/>
        <v>241.92000000000002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-89809.00613902873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69</v>
      </c>
      <c r="C26" s="206">
        <v>32.799999999999997</v>
      </c>
      <c r="D26" s="194">
        <f t="shared" si="2"/>
        <v>2263.1999999999998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72</v>
      </c>
      <c r="C27" s="206">
        <v>55.11</v>
      </c>
      <c r="D27" s="194">
        <f t="shared" si="2"/>
        <v>3967.92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66</v>
      </c>
      <c r="C28" s="206">
        <v>55.11</v>
      </c>
      <c r="D28" s="194">
        <f t="shared" si="2"/>
        <v>3637.2599999999998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48</v>
      </c>
      <c r="C29" s="206">
        <v>78.150000000000006</v>
      </c>
      <c r="D29" s="194">
        <f t="shared" si="2"/>
        <v>3751.2000000000003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35</v>
      </c>
      <c r="C30" s="206">
        <v>78.150000000000006</v>
      </c>
      <c r="D30" s="194">
        <f t="shared" si="2"/>
        <v>2735.25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666</v>
      </c>
      <c r="C31" s="206">
        <v>82</v>
      </c>
      <c r="D31" s="194">
        <f t="shared" si="2"/>
        <v>54612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(19740/16.05)+(5918.4/3.6)+(10207.8/16.05)</f>
        <v>3509.9065420560746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0</v>
      </c>
      <c r="C54" s="204">
        <v>1.3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8</v>
      </c>
      <c r="C55" s="204">
        <v>1.3</v>
      </c>
      <c r="D55" s="191">
        <f t="shared" ref="D55:D73" si="4">B55*C55</f>
        <v>10.4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21</v>
      </c>
      <c r="C56" s="204">
        <v>2.2799999999999998</v>
      </c>
      <c r="D56" s="191">
        <f t="shared" si="4"/>
        <v>47.879999999999995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21</v>
      </c>
      <c r="C57" s="204">
        <v>2.2799999999999998</v>
      </c>
      <c r="D57" s="191">
        <f t="shared" si="4"/>
        <v>47.879999999999995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21</v>
      </c>
      <c r="C58" s="204">
        <v>2.2799999999999998</v>
      </c>
      <c r="D58" s="191">
        <f t="shared" si="4"/>
        <v>47.879999999999995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21</v>
      </c>
      <c r="C59" s="204">
        <v>2.2799999999999998</v>
      </c>
      <c r="D59" s="191">
        <f t="shared" si="4"/>
        <v>47.879999999999995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21</v>
      </c>
      <c r="C60" s="204">
        <v>2.83</v>
      </c>
      <c r="D60" s="191">
        <f t="shared" si="4"/>
        <v>59.43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21</v>
      </c>
      <c r="C61" s="204">
        <v>2.83</v>
      </c>
      <c r="D61" s="191">
        <f t="shared" si="4"/>
        <v>59.43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21</v>
      </c>
      <c r="C62" s="204">
        <v>40.5</v>
      </c>
      <c r="D62" s="191">
        <f t="shared" si="4"/>
        <v>850.5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21</v>
      </c>
      <c r="C63" s="204">
        <v>40.5</v>
      </c>
      <c r="D63" s="191">
        <f t="shared" si="4"/>
        <v>850.5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21</v>
      </c>
      <c r="C64" s="204">
        <v>40.5</v>
      </c>
      <c r="D64" s="191">
        <f t="shared" si="4"/>
        <v>850.5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21</v>
      </c>
      <c r="C65" s="204">
        <v>40.5</v>
      </c>
      <c r="D65" s="191">
        <f t="shared" si="4"/>
        <v>850.5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21</v>
      </c>
      <c r="C66" s="204">
        <v>40.5</v>
      </c>
      <c r="D66" s="191">
        <f t="shared" si="4"/>
        <v>850.5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21</v>
      </c>
      <c r="C67" s="204">
        <v>40.5</v>
      </c>
      <c r="D67" s="191">
        <f t="shared" si="4"/>
        <v>850.5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21</v>
      </c>
      <c r="C68" s="204">
        <v>40.5</v>
      </c>
      <c r="D68" s="191">
        <f t="shared" si="4"/>
        <v>850.5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21</v>
      </c>
      <c r="C69" s="204">
        <v>40.5</v>
      </c>
      <c r="D69" s="191">
        <f t="shared" si="4"/>
        <v>850.5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21</v>
      </c>
      <c r="C70" s="204">
        <v>40.5</v>
      </c>
      <c r="D70" s="191">
        <f t="shared" si="4"/>
        <v>850.5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20</v>
      </c>
      <c r="C71" s="204">
        <v>40.5</v>
      </c>
      <c r="D71" s="191">
        <f t="shared" si="4"/>
        <v>810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19</v>
      </c>
      <c r="C72" s="204">
        <v>40.5</v>
      </c>
      <c r="D72" s="191">
        <f t="shared" si="4"/>
        <v>769.5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115</v>
      </c>
      <c r="B73" s="193">
        <f>'Données projet'!D81</f>
        <v>285</v>
      </c>
      <c r="C73" s="204">
        <v>170.75</v>
      </c>
      <c r="D73" s="191">
        <f t="shared" si="4"/>
        <v>48663.75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str">
        <f>IF(O75+1&lt;=MIN('Données projet'!$E$9:$E$18),O75+1,"STOP")</f>
        <v>STOP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(19740/16.05)+(3047/2.31)+(10207.8/16.05)</f>
        <v>3184.9541611036939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20</v>
      </c>
      <c r="C85" s="204">
        <v>1.95</v>
      </c>
      <c r="D85" s="191">
        <f>B85*C85</f>
        <v>39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27</v>
      </c>
      <c r="B86" s="193">
        <f>'Données projet'!D89</f>
        <v>30</v>
      </c>
      <c r="C86" s="204">
        <v>4.4800000000000004</v>
      </c>
      <c r="D86" s="191">
        <f t="shared" ref="D86:D104" si="6">B86*C86</f>
        <v>134.4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36</v>
      </c>
      <c r="B87" s="193">
        <f>'Données projet'!D90</f>
        <v>40</v>
      </c>
      <c r="C87" s="204">
        <v>26.7</v>
      </c>
      <c r="D87" s="191">
        <f t="shared" si="6"/>
        <v>1068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45</v>
      </c>
      <c r="B88" s="193">
        <f>'Données projet'!D91</f>
        <v>40</v>
      </c>
      <c r="C88" s="204">
        <v>42</v>
      </c>
      <c r="D88" s="191">
        <f t="shared" si="6"/>
        <v>1680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54</v>
      </c>
      <c r="B89" s="193">
        <f>'Données projet'!D92</f>
        <v>50</v>
      </c>
      <c r="C89" s="204">
        <v>42</v>
      </c>
      <c r="D89" s="191">
        <f t="shared" si="6"/>
        <v>2100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60</v>
      </c>
      <c r="B90" s="193">
        <f>'Données projet'!D93</f>
        <v>221</v>
      </c>
      <c r="C90" s="204">
        <v>46</v>
      </c>
      <c r="D90" s="191">
        <f t="shared" si="6"/>
        <v>10166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Mélèze d'Europe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(19740/16.05)+(2250/2.09)+(10207.8/16.05)</f>
        <v>2942.4615659795199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18</v>
      </c>
      <c r="B116" s="193">
        <f>'Données projet'!D114</f>
        <v>20</v>
      </c>
      <c r="C116" s="204">
        <v>1.95</v>
      </c>
      <c r="D116" s="191">
        <f>B116*C116</f>
        <v>39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21</v>
      </c>
      <c r="B117" s="193">
        <f>'Données projet'!D115</f>
        <v>26</v>
      </c>
      <c r="C117" s="204">
        <v>4.4800000000000004</v>
      </c>
      <c r="D117" s="191">
        <f t="shared" ref="D117:D135" si="8">B117*C117</f>
        <v>116.48000000000002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24</v>
      </c>
      <c r="B118" s="193">
        <f>'Données projet'!D116</f>
        <v>29</v>
      </c>
      <c r="C118" s="204">
        <v>26.7</v>
      </c>
      <c r="D118" s="191">
        <f t="shared" si="8"/>
        <v>774.3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30</v>
      </c>
      <c r="B119" s="193">
        <f>'Données projet'!D117</f>
        <v>53</v>
      </c>
      <c r="C119" s="204">
        <v>42</v>
      </c>
      <c r="D119" s="191">
        <f t="shared" si="8"/>
        <v>2226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36</v>
      </c>
      <c r="B120" s="193">
        <f>'Données projet'!D118</f>
        <v>62</v>
      </c>
      <c r="C120" s="204">
        <v>42</v>
      </c>
      <c r="D120" s="191">
        <f t="shared" si="8"/>
        <v>2604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42</v>
      </c>
      <c r="B121" s="193">
        <f>'Données projet'!D119</f>
        <v>67</v>
      </c>
      <c r="C121" s="204">
        <v>42</v>
      </c>
      <c r="D121" s="191">
        <f t="shared" si="8"/>
        <v>2814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48</v>
      </c>
      <c r="B122" s="193">
        <f>'Données projet'!D120</f>
        <v>65</v>
      </c>
      <c r="C122" s="204">
        <v>42</v>
      </c>
      <c r="D122" s="191">
        <f t="shared" si="8"/>
        <v>2730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60</v>
      </c>
      <c r="B123" s="193">
        <f>'Données projet'!D121</f>
        <v>0</v>
      </c>
      <c r="C123" s="204">
        <v>46</v>
      </c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Mélèze hybride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f>(19740/16.05)+(216/0.22)+(10207.8/16.05)</f>
        <v>2847.7247238742566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12</v>
      </c>
      <c r="B147" s="187">
        <f>'Données projet'!D140</f>
        <v>21</v>
      </c>
      <c r="C147" s="204">
        <v>1.95</v>
      </c>
      <c r="D147" s="194">
        <f>B147*C147</f>
        <v>40.949999999999996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47</v>
      </c>
      <c r="C148" s="204">
        <v>4.4800000000000004</v>
      </c>
      <c r="D148" s="194">
        <f t="shared" ref="D148:D166" si="10">B148*C148</f>
        <v>210.56000000000003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18</v>
      </c>
      <c r="B149" s="187">
        <f>'Données projet'!D142</f>
        <v>61</v>
      </c>
      <c r="C149" s="204">
        <v>26.7</v>
      </c>
      <c r="D149" s="194">
        <f t="shared" si="10"/>
        <v>1628.7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24</v>
      </c>
      <c r="B150" s="187">
        <f>'Données projet'!D143</f>
        <v>84</v>
      </c>
      <c r="C150" s="204">
        <v>42</v>
      </c>
      <c r="D150" s="194">
        <f t="shared" si="10"/>
        <v>3528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76</v>
      </c>
      <c r="C151" s="204">
        <v>42</v>
      </c>
      <c r="D151" s="194">
        <f t="shared" si="10"/>
        <v>3192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36</v>
      </c>
      <c r="B152" s="187">
        <f>'Données projet'!D145</f>
        <v>75</v>
      </c>
      <c r="C152" s="204">
        <v>46</v>
      </c>
      <c r="D152" s="194">
        <f t="shared" si="10"/>
        <v>3450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42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Sapin de Nordmann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f>(19740/16.05)+(1440/1.6)+(10207.8/16.05)</f>
        <v>2765.9065420560746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39</v>
      </c>
      <c r="B178" s="193">
        <f>'Données projet'!D166</f>
        <v>25</v>
      </c>
      <c r="C178" s="206">
        <v>26.7</v>
      </c>
      <c r="D178" s="191">
        <f>B178*C178</f>
        <v>667.5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46</v>
      </c>
      <c r="B179" s="193">
        <f>'Données projet'!D167</f>
        <v>50</v>
      </c>
      <c r="C179" s="206">
        <v>45.11</v>
      </c>
      <c r="D179" s="191">
        <f t="shared" ref="D179:D197" si="11">B179*C179</f>
        <v>2255.5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53</v>
      </c>
      <c r="B180" s="193">
        <f>'Données projet'!D168</f>
        <v>75</v>
      </c>
      <c r="C180" s="206">
        <v>50.6</v>
      </c>
      <c r="D180" s="191">
        <f t="shared" si="11"/>
        <v>3795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60</v>
      </c>
      <c r="B181" s="193">
        <f>'Données projet'!D169</f>
        <v>497</v>
      </c>
      <c r="C181" s="206">
        <v>59.75</v>
      </c>
      <c r="D181" s="191">
        <f t="shared" si="11"/>
        <v>29695.75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Erable sycomore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>
        <f>(19740/16.05)+(810/0.9)+(10207.8/16.05)</f>
        <v>2765.9065420560746</v>
      </c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2022-04-14T17:27:35Z</dcterms:modified>
</cp:coreProperties>
</file>