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bonapp\Documents\2_Boisement\Dossier boisement Landerneau\calculateur\"/>
    </mc:Choice>
  </mc:AlternateContent>
  <xr:revisionPtr revIDLastSave="0" documentId="13_ncr:1_{FA3E4C7C-C4D9-43E5-859D-B81CEF5896BD}" xr6:coauthVersionLast="47" xr6:coauthVersionMax="47" xr10:uidLastSave="{00000000-0000-0000-0000-000000000000}"/>
  <bookViews>
    <workbookView xWindow="28680" yWindow="-120" windowWidth="29040" windowHeight="1584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0" i="6" l="1"/>
  <c r="I40" i="6" l="1"/>
  <c r="I34" i="6"/>
  <c r="I27" i="6"/>
  <c r="I24" i="6"/>
  <c r="I23" i="6"/>
  <c r="I22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R4" i="2" l="1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W113" i="2" l="1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Q118" i="2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I122" i="2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V128" i="2" l="1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G154" i="2" l="1"/>
  <c r="AB154" i="2"/>
  <c r="EB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3" i="2"/>
  <c r="FT153" i="2"/>
  <c r="CN153" i="2"/>
  <c r="HJ153" i="2"/>
  <c r="GO153" i="2"/>
  <c r="EY153" i="2"/>
  <c r="ED153" i="2"/>
  <c r="AC153" i="2"/>
  <c r="AX151" i="2"/>
  <c r="EW155" i="2" l="1"/>
  <c r="ED154" i="2"/>
  <c r="DI154" i="2"/>
  <c r="EA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D155" i="2" l="1"/>
  <c r="EB156" i="2"/>
  <c r="DH156" i="2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C158" i="2"/>
  <c r="HG158" i="2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G160" i="2" l="1"/>
  <c r="ED159" i="2"/>
  <c r="EC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EX161" i="2" l="1"/>
  <c r="ED160" i="2"/>
  <c r="HG161" i="2"/>
  <c r="FS161" i="2"/>
  <c r="EB161" i="2"/>
  <c r="EA161" i="2"/>
  <c r="HH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DI161" i="2" l="1"/>
  <c r="ED161" i="2"/>
  <c r="EW162" i="2"/>
  <c r="EB162" i="2"/>
  <c r="EC162" i="2"/>
  <c r="HH162" i="2"/>
  <c r="HG162" i="2"/>
  <c r="FS162" i="2"/>
  <c r="AU162" i="2"/>
  <c r="EX162" i="2"/>
  <c r="EA162" i="2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D162" i="2" l="1"/>
  <c r="HH163" i="2"/>
  <c r="EV163" i="2"/>
  <c r="EB163" i="2"/>
  <c r="HG163" i="2"/>
  <c r="HI163" i="2"/>
  <c r="EA163" i="2"/>
  <c r="ED163" i="2" s="1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/>
  <c r="FR164" i="2" l="1"/>
  <c r="DI163" i="2"/>
  <c r="DH164" i="2"/>
  <c r="HG164" i="2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ED165" i="2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DG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ED171" i="2"/>
  <c r="HG172" i="2"/>
  <c r="HI172" i="2"/>
  <c r="EA172" i="2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B173" i="2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H174" i="2" l="1"/>
  <c r="HG174" i="2"/>
  <c r="EC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EW175" i="2" s="1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D174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EB178" i="2"/>
  <c r="HG178" i="2"/>
  <c r="FS178" i="2"/>
  <c r="EA178" i="2"/>
  <c r="ED178" i="2" s="1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B179" i="2" l="1"/>
  <c r="DF179" i="2"/>
  <c r="HI179" i="2"/>
  <c r="EV179" i="2"/>
  <c r="EY179" i="2" s="1"/>
  <c r="EA179" i="2"/>
  <c r="ED179" i="2" s="1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X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ED180" i="2" s="1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ED182" i="2" l="1"/>
  <c r="FS183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W185" i="2" l="1"/>
  <c r="ED184" i="2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R186" i="2" l="1"/>
  <c r="EA186" i="2"/>
  <c r="ED185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C187" i="2" l="1"/>
  <c r="HG187" i="2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I188" i="2"/>
  <c r="HH188" i="2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EV189" i="2"/>
  <c r="EY189" i="2" s="1"/>
  <c r="HH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V190" i="2" l="1"/>
  <c r="EW190" i="2"/>
  <c r="HH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G191" i="2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H192" i="2" l="1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Y192" i="2"/>
  <c r="AX190" i="2"/>
  <c r="FQ193" i="2" l="1"/>
  <c r="HI193" i="2"/>
  <c r="ED192" i="2"/>
  <c r="DI192" i="2"/>
  <c r="EB193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FQ194" i="2" l="1"/>
  <c r="HG194" i="2"/>
  <c r="EA194" i="2"/>
  <c r="ED193" i="2"/>
  <c r="EB194" i="2"/>
  <c r="HI194" i="2"/>
  <c r="CN193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HG195" i="2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HI198" i="2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FS201" i="2" l="1"/>
  <c r="DI200" i="2"/>
  <c r="EA201" i="2"/>
  <c r="EB201" i="2"/>
  <c r="HI201" i="2"/>
  <c r="EX201" i="2"/>
  <c r="AI5" i="2"/>
  <c r="EW201" i="2"/>
  <c r="EC201" i="2"/>
  <c r="ED201" i="2" s="1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DN186" i="2" l="1" a="1"/>
  <c r="DN186" i="2" s="1"/>
  <c r="BC55" i="2" a="1"/>
  <c r="BC55" i="2" s="1"/>
  <c r="BC32" i="2" a="1"/>
  <c r="BC32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ED203" i="2" s="1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Z8" i="2" s="1"/>
  <c r="FZ9" i="2" s="1"/>
  <c r="FZ10" i="2" s="1"/>
  <c r="FZ11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2" i="2" l="1"/>
  <c r="CN203" i="2"/>
  <c r="DI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<sst xmlns="http://schemas.openxmlformats.org/spreadsheetml/2006/main" count="1171" uniqueCount="324">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</sst>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1.8807803051454206</c:v>
                </c:pt>
                <c:pt idx="2">
                  <c:v>2.4338659530385267</c:v>
                </c:pt>
                <c:pt idx="3">
                  <c:v>3.1502609350315693</c:v>
                </c:pt>
                <c:pt idx="4">
                  <c:v>4.0783700502110554</c:v>
                </c:pt>
                <c:pt idx="5">
                  <c:v>5.2809964758932972</c:v>
                </c:pt>
                <c:pt idx="6">
                  <c:v>6.839638839379834</c:v>
                </c:pt>
                <c:pt idx="7">
                  <c:v>8.8600746163749324</c:v>
                </c:pt>
                <c:pt idx="8">
                  <c:v>11.479615989208229</c:v>
                </c:pt>
                <c:pt idx="9">
                  <c:v>14.87654050198527</c:v>
                </c:pt>
                <c:pt idx="10">
                  <c:v>19.282350104638549</c:v>
                </c:pt>
                <c:pt idx="11">
                  <c:v>24.997709077867171</c:v>
                </c:pt>
                <c:pt idx="12">
                  <c:v>32.413167678534187</c:v>
                </c:pt>
                <c:pt idx="13">
                  <c:v>42.036112123813787</c:v>
                </c:pt>
                <c:pt idx="14">
                  <c:v>54.525816175645708</c:v>
                </c:pt>
                <c:pt idx="15">
                  <c:v>70.739035632228152</c:v>
                </c:pt>
                <c:pt idx="16">
                  <c:v>91.78932427859479</c:v>
                </c:pt>
                <c:pt idx="17">
                  <c:v>119.12421016556203</c:v>
                </c:pt>
                <c:pt idx="18">
                  <c:v>154.62562208889187</c:v>
                </c:pt>
                <c:pt idx="19">
                  <c:v>200.74058596732007</c:v>
                </c:pt>
                <c:pt idx="20">
                  <c:v>235.51204202766243</c:v>
                </c:pt>
                <c:pt idx="21">
                  <c:v>270.16623181485778</c:v>
                </c:pt>
                <c:pt idx="22">
                  <c:v>304.72031452947482</c:v>
                </c:pt>
                <c:pt idx="23">
                  <c:v>339.1872321624985</c:v>
                </c:pt>
                <c:pt idx="24">
                  <c:v>373.57707921130037</c:v>
                </c:pt>
                <c:pt idx="25">
                  <c:v>407.89793949468162</c:v>
                </c:pt>
                <c:pt idx="26">
                  <c:v>376.9525885389333</c:v>
                </c:pt>
                <c:pt idx="27">
                  <c:v>410.27619508431599</c:v>
                </c:pt>
                <c:pt idx="28">
                  <c:v>443.54137638245015</c:v>
                </c:pt>
                <c:pt idx="29">
                  <c:v>476.75312396624321</c:v>
                </c:pt>
                <c:pt idx="30">
                  <c:v>509.91567780631357</c:v>
                </c:pt>
                <c:pt idx="31">
                  <c:v>478.64941517310723</c:v>
                </c:pt>
                <c:pt idx="32">
                  <c:v>511.3358881271144</c:v>
                </c:pt>
                <c:pt idx="33">
                  <c:v>543.978245254341</c:v>
                </c:pt>
                <c:pt idx="34">
                  <c:v>576.57950175211477</c:v>
                </c:pt>
                <c:pt idx="35">
                  <c:v>609.14230448868716</c:v>
                </c:pt>
                <c:pt idx="36">
                  <c:v>557.9213314887844</c:v>
                </c:pt>
                <c:pt idx="37">
                  <c:v>588.14593218797006</c:v>
                </c:pt>
                <c:pt idx="38">
                  <c:v>618.33819596367323</c:v>
                </c:pt>
                <c:pt idx="39">
                  <c:v>648.49992135083971</c:v>
                </c:pt>
                <c:pt idx="40">
                  <c:v>678.63272618537417</c:v>
                </c:pt>
                <c:pt idx="41">
                  <c:v>620.69565848153741</c:v>
                </c:pt>
                <c:pt idx="42">
                  <c:v>647.55781319141124</c:v>
                </c:pt>
                <c:pt idx="43">
                  <c:v>674.39699172585131</c:v>
                </c:pt>
                <c:pt idx="44">
                  <c:v>701.2142358040129</c:v>
                </c:pt>
                <c:pt idx="45">
                  <c:v>728.01050108203719</c:v>
                </c:pt>
                <c:pt idx="46">
                  <c:v>671.33751041747894</c:v>
                </c:pt>
                <c:pt idx="47">
                  <c:v>692.27753096210472</c:v>
                </c:pt>
                <c:pt idx="48">
                  <c:v>713.20457786722011</c:v>
                </c:pt>
                <c:pt idx="49">
                  <c:v>734.11908497147158</c:v>
                </c:pt>
                <c:pt idx="50">
                  <c:v>755.02145940727178</c:v>
                </c:pt>
                <c:pt idx="51">
                  <c:v>714.84998798766367</c:v>
                </c:pt>
                <c:pt idx="52">
                  <c:v>731.06492305237623</c:v>
                </c:pt>
                <c:pt idx="53">
                  <c:v>747.27253134258956</c:v>
                </c:pt>
                <c:pt idx="54">
                  <c:v>763.47299401473185</c:v>
                </c:pt>
                <c:pt idx="55">
                  <c:v>779.66648391733395</c:v>
                </c:pt>
                <c:pt idx="56">
                  <c:v>750.56015385100557</c:v>
                </c:pt>
                <c:pt idx="57">
                  <c:v>762.53402877829774</c:v>
                </c:pt>
                <c:pt idx="58">
                  <c:v>774.50408919046504</c:v>
                </c:pt>
                <c:pt idx="59">
                  <c:v>786.47040231283711</c:v>
                </c:pt>
                <c:pt idx="60">
                  <c:v>798.43303315959008</c:v>
                </c:pt>
                <c:pt idx="61">
                  <c:v>764.41193582037283</c:v>
                </c:pt>
                <c:pt idx="62">
                  <c:v>764.41193582037283</c:v>
                </c:pt>
                <c:pt idx="63">
                  <c:v>764.41193582037283</c:v>
                </c:pt>
                <c:pt idx="64">
                  <c:v>764.41193582037283</c:v>
                </c:pt>
                <c:pt idx="65">
                  <c:v>764.41193582037283</c:v>
                </c:pt>
                <c:pt idx="66">
                  <c:v>764.41193582037283</c:v>
                </c:pt>
                <c:pt idx="67">
                  <c:v>764.41193582037283</c:v>
                </c:pt>
                <c:pt idx="68">
                  <c:v>764.41193582037283</c:v>
                </c:pt>
                <c:pt idx="69">
                  <c:v>764.41193582037283</c:v>
                </c:pt>
                <c:pt idx="70">
                  <c:v>764.41193582037283</c:v>
                </c:pt>
                <c:pt idx="71">
                  <c:v>764.41193582037283</c:v>
                </c:pt>
                <c:pt idx="72">
                  <c:v>764.41193582037283</c:v>
                </c:pt>
                <c:pt idx="73">
                  <c:v>764.41193582037283</c:v>
                </c:pt>
                <c:pt idx="74">
                  <c:v>764.41193582037283</c:v>
                </c:pt>
                <c:pt idx="75">
                  <c:v>764.41193582037283</c:v>
                </c:pt>
                <c:pt idx="76">
                  <c:v>764.41193582037283</c:v>
                </c:pt>
                <c:pt idx="77">
                  <c:v>764.41193582037283</c:v>
                </c:pt>
                <c:pt idx="78">
                  <c:v>764.41193582037283</c:v>
                </c:pt>
                <c:pt idx="79">
                  <c:v>764.41193582037283</c:v>
                </c:pt>
                <c:pt idx="80">
                  <c:v>764.41193582037283</c:v>
                </c:pt>
                <c:pt idx="81">
                  <c:v>764.41193582037283</c:v>
                </c:pt>
                <c:pt idx="82">
                  <c:v>764.41193582037283</c:v>
                </c:pt>
                <c:pt idx="83">
                  <c:v>764.41193582037283</c:v>
                </c:pt>
                <c:pt idx="84">
                  <c:v>764.41193582037283</c:v>
                </c:pt>
                <c:pt idx="85">
                  <c:v>764.41193582037283</c:v>
                </c:pt>
                <c:pt idx="86">
                  <c:v>764.41193582037283</c:v>
                </c:pt>
                <c:pt idx="87">
                  <c:v>764.41193582037283</c:v>
                </c:pt>
                <c:pt idx="88">
                  <c:v>764.41193582037283</c:v>
                </c:pt>
                <c:pt idx="89">
                  <c:v>764.41193582037283</c:v>
                </c:pt>
                <c:pt idx="90">
                  <c:v>764.41193582037283</c:v>
                </c:pt>
                <c:pt idx="91">
                  <c:v>764.41193582037283</c:v>
                </c:pt>
                <c:pt idx="92">
                  <c:v>764.41193582037283</c:v>
                </c:pt>
                <c:pt idx="93">
                  <c:v>764.41193582037283</c:v>
                </c:pt>
                <c:pt idx="94">
                  <c:v>764.41193582037283</c:v>
                </c:pt>
                <c:pt idx="95">
                  <c:v>764.41193582037283</c:v>
                </c:pt>
                <c:pt idx="96">
                  <c:v>764.41193582037283</c:v>
                </c:pt>
                <c:pt idx="97">
                  <c:v>764.41193582037283</c:v>
                </c:pt>
                <c:pt idx="98">
                  <c:v>764.41193582037283</c:v>
                </c:pt>
                <c:pt idx="99">
                  <c:v>764.41193582037283</c:v>
                </c:pt>
                <c:pt idx="100">
                  <c:v>764.41193582037283</c:v>
                </c:pt>
                <c:pt idx="101">
                  <c:v>764.41193582037283</c:v>
                </c:pt>
                <c:pt idx="102">
                  <c:v>764.41193582037283</c:v>
                </c:pt>
                <c:pt idx="103">
                  <c:v>764.41193582037283</c:v>
                </c:pt>
                <c:pt idx="104">
                  <c:v>764.41193582037283</c:v>
                </c:pt>
                <c:pt idx="105">
                  <c:v>764.41193582037283</c:v>
                </c:pt>
                <c:pt idx="106">
                  <c:v>764.41193582037283</c:v>
                </c:pt>
                <c:pt idx="107">
                  <c:v>764.41193582037283</c:v>
                </c:pt>
                <c:pt idx="108">
                  <c:v>764.41193582037283</c:v>
                </c:pt>
                <c:pt idx="109">
                  <c:v>764.41193582037283</c:v>
                </c:pt>
                <c:pt idx="110">
                  <c:v>764.41193582037283</c:v>
                </c:pt>
                <c:pt idx="111">
                  <c:v>764.41193582037283</c:v>
                </c:pt>
                <c:pt idx="112">
                  <c:v>764.41193582037283</c:v>
                </c:pt>
                <c:pt idx="113">
                  <c:v>764.41193582037283</c:v>
                </c:pt>
                <c:pt idx="114">
                  <c:v>764.41193582037283</c:v>
                </c:pt>
                <c:pt idx="115">
                  <c:v>764.41193582037283</c:v>
                </c:pt>
                <c:pt idx="116">
                  <c:v>764.41193582037283</c:v>
                </c:pt>
                <c:pt idx="117">
                  <c:v>764.41193582037283</c:v>
                </c:pt>
                <c:pt idx="118">
                  <c:v>764.41193582037283</c:v>
                </c:pt>
                <c:pt idx="119">
                  <c:v>764.41193582037283</c:v>
                </c:pt>
                <c:pt idx="120">
                  <c:v>764.41193582037283</c:v>
                </c:pt>
                <c:pt idx="121">
                  <c:v>764.41193582037283</c:v>
                </c:pt>
                <c:pt idx="122">
                  <c:v>764.41193582037283</c:v>
                </c:pt>
                <c:pt idx="123">
                  <c:v>764.41193582037283</c:v>
                </c:pt>
                <c:pt idx="124">
                  <c:v>764.41193582037283</c:v>
                </c:pt>
                <c:pt idx="125">
                  <c:v>764.41193582037283</c:v>
                </c:pt>
                <c:pt idx="126">
                  <c:v>764.41193582037283</c:v>
                </c:pt>
                <c:pt idx="127">
                  <c:v>764.41193582037283</c:v>
                </c:pt>
                <c:pt idx="128">
                  <c:v>764.41193582037283</c:v>
                </c:pt>
                <c:pt idx="129">
                  <c:v>764.41193582037283</c:v>
                </c:pt>
                <c:pt idx="130">
                  <c:v>764.41193582037283</c:v>
                </c:pt>
                <c:pt idx="131">
                  <c:v>764.41193582037283</c:v>
                </c:pt>
                <c:pt idx="132">
                  <c:v>764.41193582037283</c:v>
                </c:pt>
                <c:pt idx="133">
                  <c:v>764.41193582037283</c:v>
                </c:pt>
                <c:pt idx="134">
                  <c:v>764.41193582037283</c:v>
                </c:pt>
                <c:pt idx="135">
                  <c:v>764.41193582037283</c:v>
                </c:pt>
                <c:pt idx="136">
                  <c:v>764.41193582037283</c:v>
                </c:pt>
                <c:pt idx="137">
                  <c:v>764.41193582037283</c:v>
                </c:pt>
                <c:pt idx="138">
                  <c:v>764.41193582037283</c:v>
                </c:pt>
                <c:pt idx="139">
                  <c:v>764.41193582037283</c:v>
                </c:pt>
                <c:pt idx="140">
                  <c:v>764.41193582037283</c:v>
                </c:pt>
                <c:pt idx="141">
                  <c:v>764.41193582037283</c:v>
                </c:pt>
                <c:pt idx="142">
                  <c:v>764.41193582037283</c:v>
                </c:pt>
                <c:pt idx="143">
                  <c:v>764.41193582037283</c:v>
                </c:pt>
                <c:pt idx="144">
                  <c:v>764.41193582037283</c:v>
                </c:pt>
                <c:pt idx="145">
                  <c:v>764.41193582037283</c:v>
                </c:pt>
                <c:pt idx="146">
                  <c:v>764.41193582037283</c:v>
                </c:pt>
                <c:pt idx="147">
                  <c:v>764.41193582037283</c:v>
                </c:pt>
                <c:pt idx="148">
                  <c:v>764.41193582037283</c:v>
                </c:pt>
                <c:pt idx="149">
                  <c:v>764.41193582037283</c:v>
                </c:pt>
                <c:pt idx="150">
                  <c:v>764.41193582037283</c:v>
                </c:pt>
                <c:pt idx="151">
                  <c:v>764.41193582037283</c:v>
                </c:pt>
                <c:pt idx="152">
                  <c:v>764.41193582037283</c:v>
                </c:pt>
                <c:pt idx="153">
                  <c:v>764.41193582037283</c:v>
                </c:pt>
                <c:pt idx="154">
                  <c:v>764.41193582037283</c:v>
                </c:pt>
                <c:pt idx="155">
                  <c:v>764.41193582037283</c:v>
                </c:pt>
                <c:pt idx="156">
                  <c:v>764.41193582037283</c:v>
                </c:pt>
                <c:pt idx="157">
                  <c:v>764.41193582037283</c:v>
                </c:pt>
                <c:pt idx="158">
                  <c:v>764.41193582037283</c:v>
                </c:pt>
                <c:pt idx="159">
                  <c:v>764.41193582037283</c:v>
                </c:pt>
                <c:pt idx="160">
                  <c:v>764.41193582037283</c:v>
                </c:pt>
                <c:pt idx="161">
                  <c:v>764.41193582037283</c:v>
                </c:pt>
                <c:pt idx="162">
                  <c:v>764.41193582037283</c:v>
                </c:pt>
                <c:pt idx="163">
                  <c:v>764.41193582037283</c:v>
                </c:pt>
                <c:pt idx="164">
                  <c:v>764.41193582037283</c:v>
                </c:pt>
                <c:pt idx="165">
                  <c:v>764.41193582037283</c:v>
                </c:pt>
                <c:pt idx="166">
                  <c:v>764.41193582037283</c:v>
                </c:pt>
                <c:pt idx="167">
                  <c:v>764.41193582037283</c:v>
                </c:pt>
                <c:pt idx="168">
                  <c:v>764.41193582037283</c:v>
                </c:pt>
                <c:pt idx="169">
                  <c:v>764.41193582037283</c:v>
                </c:pt>
                <c:pt idx="170">
                  <c:v>764.41193582037283</c:v>
                </c:pt>
                <c:pt idx="171">
                  <c:v>764.41193582037283</c:v>
                </c:pt>
                <c:pt idx="172">
                  <c:v>764.41193582037283</c:v>
                </c:pt>
                <c:pt idx="173">
                  <c:v>764.41193582037283</c:v>
                </c:pt>
                <c:pt idx="174">
                  <c:v>764.41193582037283</c:v>
                </c:pt>
                <c:pt idx="175">
                  <c:v>764.41193582037283</c:v>
                </c:pt>
                <c:pt idx="176">
                  <c:v>764.41193582037283</c:v>
                </c:pt>
                <c:pt idx="177">
                  <c:v>764.41193582037283</c:v>
                </c:pt>
                <c:pt idx="178">
                  <c:v>764.41193582037283</c:v>
                </c:pt>
                <c:pt idx="179">
                  <c:v>764.41193582037283</c:v>
                </c:pt>
                <c:pt idx="180">
                  <c:v>764.41193582037283</c:v>
                </c:pt>
                <c:pt idx="181">
                  <c:v>764.41193582037283</c:v>
                </c:pt>
                <c:pt idx="182">
                  <c:v>764.41193582037283</c:v>
                </c:pt>
                <c:pt idx="183">
                  <c:v>764.41193582037283</c:v>
                </c:pt>
                <c:pt idx="184">
                  <c:v>764.41193582037283</c:v>
                </c:pt>
                <c:pt idx="185">
                  <c:v>764.41193582037283</c:v>
                </c:pt>
                <c:pt idx="186">
                  <c:v>764.41193582037283</c:v>
                </c:pt>
                <c:pt idx="187">
                  <c:v>764.41193582037283</c:v>
                </c:pt>
                <c:pt idx="188">
                  <c:v>764.41193582037283</c:v>
                </c:pt>
                <c:pt idx="189">
                  <c:v>764.41193582037283</c:v>
                </c:pt>
                <c:pt idx="190">
                  <c:v>764.41193582037283</c:v>
                </c:pt>
                <c:pt idx="191">
                  <c:v>764.41193582037283</c:v>
                </c:pt>
                <c:pt idx="192">
                  <c:v>764.41193582037283</c:v>
                </c:pt>
                <c:pt idx="193">
                  <c:v>764.41193582037283</c:v>
                </c:pt>
                <c:pt idx="194">
                  <c:v>764.41193582037283</c:v>
                </c:pt>
                <c:pt idx="195">
                  <c:v>764.41193582037283</c:v>
                </c:pt>
                <c:pt idx="196">
                  <c:v>764.41193582037283</c:v>
                </c:pt>
                <c:pt idx="197">
                  <c:v>764.41193582037283</c:v>
                </c:pt>
                <c:pt idx="198">
                  <c:v>764.41193582037283</c:v>
                </c:pt>
                <c:pt idx="199">
                  <c:v>764.41193582037283</c:v>
                </c:pt>
                <c:pt idx="200">
                  <c:v>764.41193582037283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2.9802985076026349</c:v>
                </c:pt>
                <c:pt idx="2">
                  <c:v>4.709798594441124</c:v>
                </c:pt>
                <c:pt idx="3">
                  <c:v>7.447712474780225</c:v>
                </c:pt>
                <c:pt idx="4">
                  <c:v>11.784609823900155</c:v>
                </c:pt>
                <c:pt idx="5">
                  <c:v>18.658331575743503</c:v>
                </c:pt>
                <c:pt idx="6">
                  <c:v>29.558955733108835</c:v>
                </c:pt>
                <c:pt idx="7">
                  <c:v>46.855146862092077</c:v>
                </c:pt>
                <c:pt idx="8">
                  <c:v>74.31399365006915</c:v>
                </c:pt>
                <c:pt idx="9">
                  <c:v>117.92938744592196</c:v>
                </c:pt>
                <c:pt idx="10">
                  <c:v>187.24258760716552</c:v>
                </c:pt>
                <c:pt idx="11">
                  <c:v>209.11889593919318</c:v>
                </c:pt>
                <c:pt idx="12">
                  <c:v>230.94237558413718</c:v>
                </c:pt>
                <c:pt idx="13">
                  <c:v>252.71872074054355</c:v>
                </c:pt>
                <c:pt idx="14">
                  <c:v>274.45256324043959</c:v>
                </c:pt>
                <c:pt idx="15">
                  <c:v>296.14774103899623</c:v>
                </c:pt>
                <c:pt idx="16">
                  <c:v>317.59837130995112</c:v>
                </c:pt>
                <c:pt idx="17">
                  <c:v>339.0169247922546</c:v>
                </c:pt>
                <c:pt idx="18">
                  <c:v>360.40571193829396</c:v>
                </c:pt>
                <c:pt idx="19">
                  <c:v>220.51126127527394</c:v>
                </c:pt>
                <c:pt idx="20">
                  <c:v>228.41463048777482</c:v>
                </c:pt>
                <c:pt idx="21">
                  <c:v>236.3117437149856</c:v>
                </c:pt>
                <c:pt idx="22">
                  <c:v>244.20283975997833</c:v>
                </c:pt>
                <c:pt idx="23">
                  <c:v>169.1259798341832</c:v>
                </c:pt>
                <c:pt idx="24">
                  <c:v>179.61979491259885</c:v>
                </c:pt>
                <c:pt idx="25">
                  <c:v>190.09925047577488</c:v>
                </c:pt>
                <c:pt idx="26">
                  <c:v>200.56525039888083</c:v>
                </c:pt>
                <c:pt idx="27">
                  <c:v>211.01859640956005</c:v>
                </c:pt>
                <c:pt idx="28">
                  <c:v>159.41349443625651</c:v>
                </c:pt>
                <c:pt idx="29">
                  <c:v>168.17125020839597</c:v>
                </c:pt>
                <c:pt idx="30">
                  <c:v>176.91825435063029</c:v>
                </c:pt>
                <c:pt idx="31">
                  <c:v>185.65511405728049</c:v>
                </c:pt>
                <c:pt idx="32">
                  <c:v>194.38237462342545</c:v>
                </c:pt>
                <c:pt idx="33">
                  <c:v>203.10052831260927</c:v>
                </c:pt>
                <c:pt idx="34">
                  <c:v>211.81002161977344</c:v>
                </c:pt>
                <c:pt idx="35">
                  <c:v>220.51126127527394</c:v>
                </c:pt>
                <c:pt idx="36">
                  <c:v>231.25829908950217</c:v>
                </c:pt>
                <c:pt idx="37">
                  <c:v>241.9939262728623</c:v>
                </c:pt>
                <c:pt idx="38">
                  <c:v>252.71872074054355</c:v>
                </c:pt>
                <c:pt idx="39">
                  <c:v>263.43320731240294</c:v>
                </c:pt>
                <c:pt idx="40">
                  <c:v>274.1378645989617</c:v>
                </c:pt>
                <c:pt idx="41">
                  <c:v>286.7195866319293</c:v>
                </c:pt>
                <c:pt idx="42">
                  <c:v>299.28895999218304</c:v>
                </c:pt>
                <c:pt idx="43">
                  <c:v>311.8465765190731</c:v>
                </c:pt>
                <c:pt idx="44">
                  <c:v>324.39297647857364</c:v>
                </c:pt>
                <c:pt idx="45">
                  <c:v>336.92865492077664</c:v>
                </c:pt>
                <c:pt idx="46">
                  <c:v>351.01904297525971</c:v>
                </c:pt>
                <c:pt idx="47">
                  <c:v>365.09703181844549</c:v>
                </c:pt>
                <c:pt idx="48">
                  <c:v>379.16316689919205</c:v>
                </c:pt>
                <c:pt idx="49">
                  <c:v>393.21794989343471</c:v>
                </c:pt>
                <c:pt idx="50">
                  <c:v>407.26184368889881</c:v>
                </c:pt>
                <c:pt idx="51">
                  <c:v>407.26184368889881</c:v>
                </c:pt>
                <c:pt idx="52">
                  <c:v>407.26184368889881</c:v>
                </c:pt>
                <c:pt idx="53">
                  <c:v>407.26184368889881</c:v>
                </c:pt>
                <c:pt idx="54">
                  <c:v>407.26184368889881</c:v>
                </c:pt>
                <c:pt idx="55">
                  <c:v>407.26184368889881</c:v>
                </c:pt>
                <c:pt idx="56">
                  <c:v>407.26184368889881</c:v>
                </c:pt>
                <c:pt idx="57">
                  <c:v>407.26184368889881</c:v>
                </c:pt>
                <c:pt idx="58">
                  <c:v>407.26184368889881</c:v>
                </c:pt>
                <c:pt idx="59">
                  <c:v>407.26184368889881</c:v>
                </c:pt>
                <c:pt idx="60">
                  <c:v>407.26184368889881</c:v>
                </c:pt>
                <c:pt idx="61">
                  <c:v>407.26184368889881</c:v>
                </c:pt>
                <c:pt idx="62">
                  <c:v>407.26184368889881</c:v>
                </c:pt>
                <c:pt idx="63">
                  <c:v>407.26184368889881</c:v>
                </c:pt>
                <c:pt idx="64">
                  <c:v>407.26184368889881</c:v>
                </c:pt>
                <c:pt idx="65">
                  <c:v>407.26184368889881</c:v>
                </c:pt>
                <c:pt idx="66">
                  <c:v>407.26184368889881</c:v>
                </c:pt>
                <c:pt idx="67">
                  <c:v>407.26184368889881</c:v>
                </c:pt>
                <c:pt idx="68">
                  <c:v>407.26184368889881</c:v>
                </c:pt>
                <c:pt idx="69">
                  <c:v>407.26184368889881</c:v>
                </c:pt>
                <c:pt idx="70">
                  <c:v>407.26184368889881</c:v>
                </c:pt>
                <c:pt idx="71">
                  <c:v>407.26184368889881</c:v>
                </c:pt>
                <c:pt idx="72">
                  <c:v>407.26184368889881</c:v>
                </c:pt>
                <c:pt idx="73">
                  <c:v>407.26184368889881</c:v>
                </c:pt>
                <c:pt idx="74">
                  <c:v>407.26184368889881</c:v>
                </c:pt>
                <c:pt idx="75">
                  <c:v>407.26184368889881</c:v>
                </c:pt>
                <c:pt idx="76">
                  <c:v>407.26184368889881</c:v>
                </c:pt>
                <c:pt idx="77">
                  <c:v>407.26184368889881</c:v>
                </c:pt>
                <c:pt idx="78">
                  <c:v>407.26184368889881</c:v>
                </c:pt>
                <c:pt idx="79">
                  <c:v>407.26184368889881</c:v>
                </c:pt>
                <c:pt idx="80">
                  <c:v>407.26184368889881</c:v>
                </c:pt>
                <c:pt idx="81">
                  <c:v>407.26184368889881</c:v>
                </c:pt>
                <c:pt idx="82">
                  <c:v>407.26184368889881</c:v>
                </c:pt>
                <c:pt idx="83">
                  <c:v>407.26184368889881</c:v>
                </c:pt>
                <c:pt idx="84">
                  <c:v>407.26184368889881</c:v>
                </c:pt>
                <c:pt idx="85">
                  <c:v>407.26184368889881</c:v>
                </c:pt>
                <c:pt idx="86">
                  <c:v>407.26184368889881</c:v>
                </c:pt>
                <c:pt idx="87">
                  <c:v>407.26184368889881</c:v>
                </c:pt>
                <c:pt idx="88">
                  <c:v>407.26184368889881</c:v>
                </c:pt>
                <c:pt idx="89">
                  <c:v>407.26184368889881</c:v>
                </c:pt>
                <c:pt idx="90">
                  <c:v>407.26184368889881</c:v>
                </c:pt>
                <c:pt idx="91">
                  <c:v>407.26184368889881</c:v>
                </c:pt>
                <c:pt idx="92">
                  <c:v>407.26184368889881</c:v>
                </c:pt>
                <c:pt idx="93">
                  <c:v>407.26184368889881</c:v>
                </c:pt>
                <c:pt idx="94">
                  <c:v>407.26184368889881</c:v>
                </c:pt>
                <c:pt idx="95">
                  <c:v>407.26184368889881</c:v>
                </c:pt>
                <c:pt idx="96">
                  <c:v>407.26184368889881</c:v>
                </c:pt>
                <c:pt idx="97">
                  <c:v>407.26184368889881</c:v>
                </c:pt>
                <c:pt idx="98">
                  <c:v>407.26184368889881</c:v>
                </c:pt>
                <c:pt idx="99">
                  <c:v>407.26184368889881</c:v>
                </c:pt>
                <c:pt idx="100">
                  <c:v>407.26184368889881</c:v>
                </c:pt>
                <c:pt idx="101">
                  <c:v>407.26184368889881</c:v>
                </c:pt>
                <c:pt idx="102">
                  <c:v>407.26184368889881</c:v>
                </c:pt>
                <c:pt idx="103">
                  <c:v>407.26184368889881</c:v>
                </c:pt>
                <c:pt idx="104">
                  <c:v>407.26184368889881</c:v>
                </c:pt>
                <c:pt idx="105">
                  <c:v>407.26184368889881</c:v>
                </c:pt>
                <c:pt idx="106">
                  <c:v>407.26184368889881</c:v>
                </c:pt>
                <c:pt idx="107">
                  <c:v>407.26184368889881</c:v>
                </c:pt>
                <c:pt idx="108">
                  <c:v>407.26184368889881</c:v>
                </c:pt>
                <c:pt idx="109">
                  <c:v>407.26184368889881</c:v>
                </c:pt>
                <c:pt idx="110">
                  <c:v>407.26184368889881</c:v>
                </c:pt>
                <c:pt idx="111">
                  <c:v>407.26184368889881</c:v>
                </c:pt>
                <c:pt idx="112">
                  <c:v>407.26184368889881</c:v>
                </c:pt>
                <c:pt idx="113">
                  <c:v>407.26184368889881</c:v>
                </c:pt>
                <c:pt idx="114">
                  <c:v>407.26184368889881</c:v>
                </c:pt>
                <c:pt idx="115">
                  <c:v>407.26184368889881</c:v>
                </c:pt>
                <c:pt idx="116">
                  <c:v>407.26184368889881</c:v>
                </c:pt>
                <c:pt idx="117">
                  <c:v>407.26184368889881</c:v>
                </c:pt>
                <c:pt idx="118">
                  <c:v>407.26184368889881</c:v>
                </c:pt>
                <c:pt idx="119">
                  <c:v>407.26184368889881</c:v>
                </c:pt>
                <c:pt idx="120">
                  <c:v>407.26184368889881</c:v>
                </c:pt>
                <c:pt idx="121">
                  <c:v>407.26184368889881</c:v>
                </c:pt>
                <c:pt idx="122">
                  <c:v>407.26184368889881</c:v>
                </c:pt>
                <c:pt idx="123">
                  <c:v>407.26184368889881</c:v>
                </c:pt>
                <c:pt idx="124">
                  <c:v>407.26184368889881</c:v>
                </c:pt>
                <c:pt idx="125">
                  <c:v>407.26184368889881</c:v>
                </c:pt>
                <c:pt idx="126">
                  <c:v>407.26184368889881</c:v>
                </c:pt>
                <c:pt idx="127">
                  <c:v>407.26184368889881</c:v>
                </c:pt>
                <c:pt idx="128">
                  <c:v>407.26184368889881</c:v>
                </c:pt>
                <c:pt idx="129">
                  <c:v>407.26184368889881</c:v>
                </c:pt>
                <c:pt idx="130">
                  <c:v>407.26184368889881</c:v>
                </c:pt>
                <c:pt idx="131">
                  <c:v>407.26184368889881</c:v>
                </c:pt>
                <c:pt idx="132">
                  <c:v>407.26184368889881</c:v>
                </c:pt>
                <c:pt idx="133">
                  <c:v>407.26184368889881</c:v>
                </c:pt>
                <c:pt idx="134">
                  <c:v>407.26184368889881</c:v>
                </c:pt>
                <c:pt idx="135">
                  <c:v>407.26184368889881</c:v>
                </c:pt>
                <c:pt idx="136">
                  <c:v>407.26184368889881</c:v>
                </c:pt>
                <c:pt idx="137">
                  <c:v>407.26184368889881</c:v>
                </c:pt>
                <c:pt idx="138">
                  <c:v>407.26184368889881</c:v>
                </c:pt>
                <c:pt idx="139">
                  <c:v>407.26184368889881</c:v>
                </c:pt>
                <c:pt idx="140">
                  <c:v>407.26184368889881</c:v>
                </c:pt>
                <c:pt idx="141">
                  <c:v>407.26184368889881</c:v>
                </c:pt>
                <c:pt idx="142">
                  <c:v>407.26184368889881</c:v>
                </c:pt>
                <c:pt idx="143">
                  <c:v>407.26184368889881</c:v>
                </c:pt>
                <c:pt idx="144">
                  <c:v>407.26184368889881</c:v>
                </c:pt>
                <c:pt idx="145">
                  <c:v>407.26184368889881</c:v>
                </c:pt>
                <c:pt idx="146">
                  <c:v>407.26184368889881</c:v>
                </c:pt>
                <c:pt idx="147">
                  <c:v>407.26184368889881</c:v>
                </c:pt>
                <c:pt idx="148">
                  <c:v>407.26184368889881</c:v>
                </c:pt>
                <c:pt idx="149">
                  <c:v>407.26184368889881</c:v>
                </c:pt>
                <c:pt idx="150">
                  <c:v>407.26184368889881</c:v>
                </c:pt>
                <c:pt idx="151">
                  <c:v>407.26184368889881</c:v>
                </c:pt>
                <c:pt idx="152">
                  <c:v>407.26184368889881</c:v>
                </c:pt>
                <c:pt idx="153">
                  <c:v>407.26184368889881</c:v>
                </c:pt>
                <c:pt idx="154">
                  <c:v>407.26184368889881</c:v>
                </c:pt>
                <c:pt idx="155">
                  <c:v>407.26184368889881</c:v>
                </c:pt>
                <c:pt idx="156">
                  <c:v>407.26184368889881</c:v>
                </c:pt>
                <c:pt idx="157">
                  <c:v>407.26184368889881</c:v>
                </c:pt>
                <c:pt idx="158">
                  <c:v>407.26184368889881</c:v>
                </c:pt>
                <c:pt idx="159">
                  <c:v>407.26184368889881</c:v>
                </c:pt>
                <c:pt idx="160">
                  <c:v>407.26184368889881</c:v>
                </c:pt>
                <c:pt idx="161">
                  <c:v>407.26184368889881</c:v>
                </c:pt>
                <c:pt idx="162">
                  <c:v>407.26184368889881</c:v>
                </c:pt>
                <c:pt idx="163">
                  <c:v>407.26184368889881</c:v>
                </c:pt>
                <c:pt idx="164">
                  <c:v>407.26184368889881</c:v>
                </c:pt>
                <c:pt idx="165">
                  <c:v>407.26184368889881</c:v>
                </c:pt>
                <c:pt idx="166">
                  <c:v>407.26184368889881</c:v>
                </c:pt>
                <c:pt idx="167">
                  <c:v>407.26184368889881</c:v>
                </c:pt>
                <c:pt idx="168">
                  <c:v>407.26184368889881</c:v>
                </c:pt>
                <c:pt idx="169">
                  <c:v>407.26184368889881</c:v>
                </c:pt>
                <c:pt idx="170">
                  <c:v>407.26184368889881</c:v>
                </c:pt>
                <c:pt idx="171">
                  <c:v>407.26184368889881</c:v>
                </c:pt>
                <c:pt idx="172">
                  <c:v>407.26184368889881</c:v>
                </c:pt>
                <c:pt idx="173">
                  <c:v>407.26184368889881</c:v>
                </c:pt>
                <c:pt idx="174">
                  <c:v>407.26184368889881</c:v>
                </c:pt>
                <c:pt idx="175">
                  <c:v>407.26184368889881</c:v>
                </c:pt>
                <c:pt idx="176">
                  <c:v>407.26184368889881</c:v>
                </c:pt>
                <c:pt idx="177">
                  <c:v>407.26184368889881</c:v>
                </c:pt>
                <c:pt idx="178">
                  <c:v>407.26184368889881</c:v>
                </c:pt>
                <c:pt idx="179">
                  <c:v>407.26184368889881</c:v>
                </c:pt>
                <c:pt idx="180">
                  <c:v>407.26184368889881</c:v>
                </c:pt>
                <c:pt idx="181">
                  <c:v>407.26184368889881</c:v>
                </c:pt>
                <c:pt idx="182">
                  <c:v>407.26184368889881</c:v>
                </c:pt>
                <c:pt idx="183">
                  <c:v>407.26184368889881</c:v>
                </c:pt>
                <c:pt idx="184">
                  <c:v>407.26184368889881</c:v>
                </c:pt>
                <c:pt idx="185">
                  <c:v>407.26184368889881</c:v>
                </c:pt>
                <c:pt idx="186">
                  <c:v>407.26184368889881</c:v>
                </c:pt>
                <c:pt idx="187">
                  <c:v>407.26184368889881</c:v>
                </c:pt>
                <c:pt idx="188">
                  <c:v>407.26184368889881</c:v>
                </c:pt>
                <c:pt idx="189">
                  <c:v>407.26184368889881</c:v>
                </c:pt>
                <c:pt idx="190">
                  <c:v>407.26184368889881</c:v>
                </c:pt>
                <c:pt idx="191">
                  <c:v>407.26184368889881</c:v>
                </c:pt>
                <c:pt idx="192">
                  <c:v>407.26184368889881</c:v>
                </c:pt>
                <c:pt idx="193">
                  <c:v>407.26184368889881</c:v>
                </c:pt>
                <c:pt idx="194">
                  <c:v>407.26184368889881</c:v>
                </c:pt>
                <c:pt idx="195">
                  <c:v>407.26184368889881</c:v>
                </c:pt>
                <c:pt idx="196">
                  <c:v>407.26184368889881</c:v>
                </c:pt>
                <c:pt idx="197">
                  <c:v>407.26184368889881</c:v>
                </c:pt>
                <c:pt idx="198">
                  <c:v>407.26184368889881</c:v>
                </c:pt>
                <c:pt idx="199">
                  <c:v>407.26184368889881</c:v>
                </c:pt>
                <c:pt idx="200">
                  <c:v>407.26184368889881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77734375" customWidth="1"/>
  </cols>
  <sheetData>
    <row r="12" spans="2:13" ht="15" customHeight="1" x14ac:dyDescent="0.3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Normal="100" workbookViewId="0">
      <selection activeCell="G29" sqref="G29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77734375" style="23" bestFit="1" customWidth="1"/>
    <col min="4" max="4" width="16.44140625" style="23" customWidth="1"/>
    <col min="5" max="5" width="23.33203125" style="23" customWidth="1"/>
    <col min="6" max="6" width="28.77734375" style="23" bestFit="1" customWidth="1"/>
    <col min="7" max="8" width="14.6640625" style="23" customWidth="1"/>
    <col min="9" max="9" width="17" style="23" customWidth="1"/>
    <col min="10" max="10" width="13.77734375" style="23" customWidth="1"/>
    <col min="11" max="16384" width="11.44140625" style="23"/>
  </cols>
  <sheetData>
    <row r="1" spans="1:38" x14ac:dyDescent="0.3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8" t="s">
        <v>231</v>
      </c>
      <c r="B5" s="268"/>
      <c r="C5" s="24">
        <v>1.4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18</v>
      </c>
      <c r="C9" s="32">
        <v>0.90625</v>
      </c>
      <c r="D9" s="33">
        <f t="shared" ref="D9:D18" si="0">C9*$C$5</f>
        <v>1.2687499999999998</v>
      </c>
      <c r="E9" s="34">
        <v>60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8</v>
      </c>
      <c r="C10" s="32">
        <v>9.375E-2</v>
      </c>
      <c r="D10" s="33">
        <f t="shared" si="0"/>
        <v>0.13124999999999998</v>
      </c>
      <c r="E10" s="34">
        <v>50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1</v>
      </c>
      <c r="D19" s="38">
        <f>SUM(D9:D18)</f>
        <v>1.4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Douglas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19</v>
      </c>
      <c r="B36" s="60">
        <v>162</v>
      </c>
      <c r="C36" s="60"/>
      <c r="D36" s="60"/>
      <c r="E36" s="51"/>
      <c r="F36" s="51"/>
      <c r="G36" s="51"/>
      <c r="H36" s="51"/>
      <c r="I36" s="49">
        <f>IFERROR(B36/A36,"")</f>
        <v>8.526315789473685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25</v>
      </c>
      <c r="B37" s="60">
        <v>335</v>
      </c>
      <c r="C37" s="60">
        <v>1</v>
      </c>
      <c r="D37" s="60">
        <v>54</v>
      </c>
      <c r="E37" s="51"/>
      <c r="F37" s="51"/>
      <c r="G37" s="51">
        <v>1</v>
      </c>
      <c r="H37" s="51"/>
      <c r="I37" s="53">
        <f t="shared" ref="I37:I55" si="1">IF(A37&lt;&gt;0,(B37-(B36-D36))/(A37-A36),"")</f>
        <v>28.833333333333332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30</v>
      </c>
      <c r="B38" s="60">
        <v>421</v>
      </c>
      <c r="C38" s="60">
        <v>2</v>
      </c>
      <c r="D38" s="60">
        <v>54</v>
      </c>
      <c r="E38" s="51"/>
      <c r="F38" s="51">
        <v>1</v>
      </c>
      <c r="G38" s="51"/>
      <c r="H38" s="51"/>
      <c r="I38" s="53">
        <f t="shared" si="1"/>
        <v>28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35</v>
      </c>
      <c r="B39" s="60">
        <v>505</v>
      </c>
      <c r="C39" s="60">
        <v>3</v>
      </c>
      <c r="D39" s="60">
        <v>69</v>
      </c>
      <c r="E39" s="51">
        <v>1</v>
      </c>
      <c r="F39" s="51"/>
      <c r="G39" s="51"/>
      <c r="H39" s="51"/>
      <c r="I39" s="49">
        <f t="shared" si="1"/>
        <v>27.6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40</v>
      </c>
      <c r="B40" s="60">
        <v>564</v>
      </c>
      <c r="C40" s="60">
        <v>4</v>
      </c>
      <c r="D40" s="60">
        <v>72</v>
      </c>
      <c r="E40" s="51">
        <v>1</v>
      </c>
      <c r="F40" s="51"/>
      <c r="G40" s="51"/>
      <c r="H40" s="51"/>
      <c r="I40" s="49">
        <f t="shared" si="1"/>
        <v>25.6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45</v>
      </c>
      <c r="B41" s="60">
        <v>606</v>
      </c>
      <c r="C41" s="60">
        <v>5</v>
      </c>
      <c r="D41" s="60">
        <v>66</v>
      </c>
      <c r="E41" s="51">
        <v>1</v>
      </c>
      <c r="F41" s="51"/>
      <c r="G41" s="51"/>
      <c r="H41" s="51"/>
      <c r="I41" s="53">
        <f t="shared" si="1"/>
        <v>22.8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50</v>
      </c>
      <c r="B42" s="60">
        <v>629</v>
      </c>
      <c r="C42" s="60">
        <v>6</v>
      </c>
      <c r="D42" s="60">
        <v>48</v>
      </c>
      <c r="E42" s="51">
        <v>1</v>
      </c>
      <c r="F42" s="51"/>
      <c r="G42" s="51"/>
      <c r="H42" s="51"/>
      <c r="I42" s="53">
        <f t="shared" si="1"/>
        <v>17.8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>
        <v>55</v>
      </c>
      <c r="B43" s="60">
        <v>650</v>
      </c>
      <c r="C43" s="60">
        <v>7</v>
      </c>
      <c r="D43" s="60">
        <v>35</v>
      </c>
      <c r="E43" s="51">
        <v>1</v>
      </c>
      <c r="F43" s="51"/>
      <c r="G43" s="51"/>
      <c r="H43" s="51"/>
      <c r="I43" s="49">
        <f t="shared" si="1"/>
        <v>13.8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>
        <v>60</v>
      </c>
      <c r="B44" s="60">
        <v>666</v>
      </c>
      <c r="C44" s="60">
        <v>8</v>
      </c>
      <c r="D44" s="60">
        <v>29</v>
      </c>
      <c r="E44" s="51">
        <v>1</v>
      </c>
      <c r="F44" s="51"/>
      <c r="G44" s="51"/>
      <c r="H44" s="51"/>
      <c r="I44" s="49">
        <f t="shared" si="1"/>
        <v>10.199999999999999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6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6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6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6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6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6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Châtaignier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10</v>
      </c>
      <c r="B62" s="60">
        <v>115</v>
      </c>
      <c r="C62" s="51"/>
      <c r="D62" s="60"/>
      <c r="E62" s="51"/>
      <c r="F62" s="51"/>
      <c r="G62" s="51"/>
      <c r="H62" s="51"/>
      <c r="I62" s="53">
        <f>IFERROR(B62/A62,"")</f>
        <v>11.5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15</v>
      </c>
      <c r="B63" s="60">
        <v>184</v>
      </c>
      <c r="C63" s="60"/>
      <c r="D63" s="60"/>
      <c r="E63" s="51"/>
      <c r="F63" s="51"/>
      <c r="G63" s="51"/>
      <c r="H63" s="51"/>
      <c r="I63" s="49">
        <f>IF(A63&lt;&gt;0,(B63-(B62-D62))/(A63-A62),"")</f>
        <v>13.8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18</v>
      </c>
      <c r="B64" s="60">
        <v>225</v>
      </c>
      <c r="C64" s="60">
        <v>1</v>
      </c>
      <c r="D64" s="60">
        <v>94</v>
      </c>
      <c r="E64" s="51"/>
      <c r="F64" s="51"/>
      <c r="G64" s="51"/>
      <c r="H64" s="51">
        <v>1</v>
      </c>
      <c r="I64" s="49">
        <f>IF(A64&lt;&gt;0,(B64-(B63-D63))/(A64-A63),"")</f>
        <v>13.666666666666666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22</v>
      </c>
      <c r="B65" s="60">
        <v>151</v>
      </c>
      <c r="C65" s="60">
        <v>2</v>
      </c>
      <c r="D65" s="60">
        <v>54</v>
      </c>
      <c r="E65" s="51"/>
      <c r="F65" s="51"/>
      <c r="G65" s="51"/>
      <c r="H65" s="51">
        <v>1</v>
      </c>
      <c r="I65" s="49">
        <f>IF(A65&lt;&gt;0,(B65-(B64-D64))/(A65-A64),"")</f>
        <v>5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27</v>
      </c>
      <c r="B66" s="60">
        <v>130</v>
      </c>
      <c r="C66" s="60">
        <v>3</v>
      </c>
      <c r="D66" s="60">
        <v>38</v>
      </c>
      <c r="E66" s="51"/>
      <c r="F66" s="51"/>
      <c r="G66" s="51"/>
      <c r="H66" s="51">
        <v>1</v>
      </c>
      <c r="I66" s="49">
        <f t="shared" ref="I66:I81" si="2">IF(A66&lt;&gt;0,(B66-(B65-D65))/(A66-A65),"")</f>
        <v>6.6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35</v>
      </c>
      <c r="B67" s="60">
        <v>136</v>
      </c>
      <c r="C67" s="60"/>
      <c r="D67" s="60"/>
      <c r="E67" s="51"/>
      <c r="F67" s="51"/>
      <c r="G67" s="51"/>
      <c r="H67" s="51"/>
      <c r="I67" s="49">
        <f t="shared" si="2"/>
        <v>5.5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40</v>
      </c>
      <c r="B68" s="60">
        <v>170</v>
      </c>
      <c r="C68" s="60"/>
      <c r="D68" s="60"/>
      <c r="E68" s="51"/>
      <c r="F68" s="51"/>
      <c r="G68" s="51"/>
      <c r="H68" s="51"/>
      <c r="I68" s="49">
        <f t="shared" si="2"/>
        <v>6.8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45</v>
      </c>
      <c r="B69" s="50">
        <v>210</v>
      </c>
      <c r="C69" s="60"/>
      <c r="D69" s="60"/>
      <c r="E69" s="51"/>
      <c r="F69" s="51"/>
      <c r="G69" s="51"/>
      <c r="H69" s="51"/>
      <c r="I69" s="49">
        <f t="shared" si="2"/>
        <v>8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50</v>
      </c>
      <c r="B70" s="50">
        <v>255</v>
      </c>
      <c r="C70" s="60"/>
      <c r="D70" s="60"/>
      <c r="E70" s="51"/>
      <c r="F70" s="51"/>
      <c r="G70" s="51"/>
      <c r="H70" s="51"/>
      <c r="I70" s="49">
        <f t="shared" si="2"/>
        <v>9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/>
      <c r="B71" s="50"/>
      <c r="C71" s="60"/>
      <c r="D71" s="6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/>
      <c r="B72" s="50"/>
      <c r="C72" s="60"/>
      <c r="D72" s="6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/>
      <c r="B73" s="50"/>
      <c r="C73" s="60"/>
      <c r="D73" s="6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/>
      <c r="B74" s="50"/>
      <c r="C74" s="60"/>
      <c r="D74" s="6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/>
      <c r="B75" s="50"/>
      <c r="C75" s="60"/>
      <c r="D75" s="6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60"/>
      <c r="D76" s="6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60"/>
      <c r="D77" s="6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60"/>
      <c r="D78" s="6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60"/>
      <c r="D79" s="6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60"/>
      <c r="D80" s="6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60"/>
      <c r="D81" s="6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/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5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5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5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5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5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50"/>
      <c r="B100" s="60"/>
      <c r="C100" s="60"/>
      <c r="D100" s="60"/>
      <c r="E100" s="87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50"/>
      <c r="B101" s="60"/>
      <c r="C101" s="60"/>
      <c r="D101" s="60"/>
      <c r="E101" s="87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50"/>
      <c r="B102" s="50"/>
      <c r="C102" s="60"/>
      <c r="D102" s="50"/>
      <c r="E102" s="87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/>
      <c r="B114" s="60"/>
      <c r="C114" s="60"/>
      <c r="D114" s="60"/>
      <c r="E114" s="51"/>
      <c r="F114" s="51"/>
      <c r="G114" s="51"/>
      <c r="H114" s="87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/>
      <c r="B115" s="60"/>
      <c r="C115" s="60"/>
      <c r="D115" s="60"/>
      <c r="E115" s="51"/>
      <c r="F115" s="51"/>
      <c r="G115" s="51"/>
      <c r="H115" s="87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/>
      <c r="B116" s="60"/>
      <c r="C116" s="60"/>
      <c r="D116" s="60"/>
      <c r="E116" s="87"/>
      <c r="F116" s="87"/>
      <c r="G116" s="87"/>
      <c r="H116" s="87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/>
      <c r="B117" s="60"/>
      <c r="C117" s="60"/>
      <c r="D117" s="60"/>
      <c r="E117" s="87"/>
      <c r="F117" s="87"/>
      <c r="G117" s="87"/>
      <c r="H117" s="87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/>
      <c r="B118" s="60"/>
      <c r="C118" s="60"/>
      <c r="D118" s="60"/>
      <c r="E118" s="87"/>
      <c r="F118" s="87"/>
      <c r="G118" s="87"/>
      <c r="H118" s="87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/>
      <c r="B119" s="60"/>
      <c r="C119" s="60"/>
      <c r="D119" s="60"/>
      <c r="E119" s="87"/>
      <c r="F119" s="87"/>
      <c r="G119" s="87"/>
      <c r="H119" s="87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5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5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5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5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5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5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50"/>
      <c r="B126" s="60"/>
      <c r="C126" s="60"/>
      <c r="D126" s="60"/>
      <c r="E126" s="87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50"/>
      <c r="B127" s="60"/>
      <c r="C127" s="60"/>
      <c r="D127" s="60"/>
      <c r="E127" s="87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60"/>
      <c r="D128" s="50"/>
      <c r="E128" s="87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1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6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6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6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6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6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6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6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6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6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6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6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6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6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15" sqref="G15"/>
    </sheetView>
  </sheetViews>
  <sheetFormatPr baseColWidth="10" defaultColWidth="11.44140625" defaultRowHeight="14.4" x14ac:dyDescent="0.3"/>
  <cols>
    <col min="1" max="1" width="5.777343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4414062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1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4" bestFit="1" customWidth="1"/>
    <col min="2" max="4" width="11.44140625" style="4"/>
    <col min="5" max="5" width="9.44140625" style="4" customWidth="1"/>
    <col min="6" max="7" width="11.44140625" style="4"/>
    <col min="8" max="8" width="10.6640625" style="4" customWidth="1"/>
    <col min="9" max="9" width="9.44140625" style="4" customWidth="1"/>
    <col min="10" max="11" width="10.4414062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4414062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44140625" style="4" bestFit="1" customWidth="1"/>
    <col min="36" max="36" width="9.44140625" style="4" bestFit="1" customWidth="1"/>
    <col min="37" max="38" width="10.44140625" style="4" bestFit="1" customWidth="1"/>
    <col min="39" max="41" width="10.44140625" style="4" customWidth="1"/>
    <col min="42" max="42" width="9" style="4" bestFit="1" customWidth="1"/>
    <col min="43" max="43" width="10.4414062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44140625" style="4" bestFit="1" customWidth="1"/>
    <col min="54" max="54" width="14.33203125" style="4" customWidth="1"/>
    <col min="55" max="55" width="14" style="4" customWidth="1"/>
    <col min="56" max="56" width="10.44140625" style="4" bestFit="1" customWidth="1"/>
    <col min="57" max="57" width="9.44140625" style="4" bestFit="1" customWidth="1"/>
    <col min="58" max="59" width="10.44140625" style="4" bestFit="1" customWidth="1"/>
    <col min="60" max="62" width="10.44140625" style="4" customWidth="1"/>
    <col min="63" max="63" width="9" style="4" bestFit="1" customWidth="1"/>
    <col min="64" max="64" width="10.4414062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44140625" style="4" bestFit="1" customWidth="1"/>
    <col min="75" max="75" width="14" style="4" bestFit="1" customWidth="1"/>
    <col min="76" max="76" width="13.77734375" style="4" customWidth="1"/>
    <col min="77" max="77" width="10.44140625" style="4" bestFit="1" customWidth="1"/>
    <col min="78" max="78" width="9.44140625" style="4" bestFit="1" customWidth="1"/>
    <col min="79" max="80" width="10.44140625" style="4" bestFit="1" customWidth="1"/>
    <col min="81" max="83" width="10.44140625" style="4" customWidth="1"/>
    <col min="84" max="84" width="11.44140625" style="4"/>
    <col min="85" max="85" width="10.4414062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44140625" style="4" bestFit="1" customWidth="1"/>
    <col min="99" max="99" width="9.44140625" style="4" bestFit="1" customWidth="1"/>
    <col min="100" max="101" width="10.44140625" style="4" bestFit="1" customWidth="1"/>
    <col min="102" max="104" width="10.44140625" style="4" customWidth="1"/>
    <col min="105" max="105" width="9" style="4" bestFit="1" customWidth="1"/>
    <col min="106" max="106" width="10.4414062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44140625" style="4" bestFit="1" customWidth="1"/>
    <col min="117" max="117" width="14.33203125" style="4" customWidth="1"/>
    <col min="118" max="118" width="14" style="4" bestFit="1" customWidth="1"/>
    <col min="119" max="119" width="10.44140625" style="4" bestFit="1" customWidth="1"/>
    <col min="120" max="120" width="9.44140625" style="4" bestFit="1" customWidth="1"/>
    <col min="121" max="122" width="10.44140625" style="4" bestFit="1" customWidth="1"/>
    <col min="123" max="125" width="10.44140625" style="4" customWidth="1"/>
    <col min="126" max="126" width="9" style="4" bestFit="1" customWidth="1"/>
    <col min="127" max="127" width="10.4414062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44140625" style="4" bestFit="1" customWidth="1"/>
    <col min="138" max="139" width="14" style="4" customWidth="1"/>
    <col min="140" max="140" width="10.44140625" style="4" bestFit="1" customWidth="1"/>
    <col min="141" max="141" width="9.44140625" style="4" bestFit="1" customWidth="1"/>
    <col min="142" max="143" width="10.44140625" style="4" bestFit="1" customWidth="1"/>
    <col min="144" max="146" width="10.44140625" style="4" customWidth="1"/>
    <col min="147" max="147" width="9" style="4" bestFit="1" customWidth="1"/>
    <col min="148" max="148" width="10.4414062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44140625" style="4" bestFit="1" customWidth="1"/>
    <col min="162" max="162" width="9.44140625" style="4" bestFit="1" customWidth="1"/>
    <col min="163" max="164" width="10.44140625" style="4" bestFit="1" customWidth="1"/>
    <col min="165" max="167" width="10.44140625" style="4" customWidth="1"/>
    <col min="168" max="168" width="9" style="4" bestFit="1" customWidth="1"/>
    <col min="169" max="169" width="10.4414062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44140625" style="4" bestFit="1" customWidth="1"/>
    <col min="180" max="181" width="14" style="4" bestFit="1" customWidth="1"/>
    <col min="182" max="182" width="10.44140625" style="4" bestFit="1" customWidth="1"/>
    <col min="183" max="183" width="9.44140625" style="4" bestFit="1" customWidth="1"/>
    <col min="184" max="185" width="10.44140625" style="4" bestFit="1" customWidth="1"/>
    <col min="186" max="188" width="10.44140625" style="4" customWidth="1"/>
    <col min="189" max="189" width="9" style="4" bestFit="1" customWidth="1"/>
    <col min="190" max="190" width="10.4414062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44140625" style="4" bestFit="1" customWidth="1"/>
    <col min="201" max="201" width="14" style="4" customWidth="1"/>
    <col min="202" max="202" width="14.33203125" style="4" customWidth="1"/>
    <col min="203" max="203" width="10.44140625" style="4" bestFit="1" customWidth="1"/>
    <col min="204" max="204" width="9.44140625" style="4" bestFit="1" customWidth="1"/>
    <col min="205" max="206" width="10.44140625" style="4" bestFit="1" customWidth="1"/>
    <col min="207" max="209" width="10.44140625" style="4" customWidth="1"/>
    <col min="210" max="210" width="9" style="4" bestFit="1" customWidth="1"/>
    <col min="211" max="211" width="10.4414062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Douglas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Châtaignier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/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382.58588458673051</v>
      </c>
      <c r="T3" s="59">
        <f>IF('Données projet'!E9&gt;30,$R$33-$H$33,LOOKUP('Données projet'!$E$9,$A$3:$A$203,R3:R203)-LOOKUP('Données projet'!$E$9,$A$3:$A$203,$H$3:$H$203))</f>
        <v>485.5120768430603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188.36883552879721</v>
      </c>
      <c r="AO3" s="59">
        <f>IF('Données projet'!E10&gt;30,$AM$33-$H$33,LOOKUP('Données projet'!$E$10,$A$3:$A$203,AM3:AM203)-LOOKUP('Données projet'!$E$10,$A$3:$A$203,$H$3:$H$203))</f>
        <v>152.51465338737705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1">
        <f>IFERROR(EXP(-1.0587+0.8836*LN(C4)+0.284),0)</f>
        <v>0.41542055579923082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67">
        <f t="shared" ref="H4:H67" si="1">(B4+E4+F4)*44/12+(C4+D4)*0.475*44/12</f>
        <v>258.93888080135036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8.526315789473685</v>
      </c>
      <c r="N4" s="13">
        <f>IF('Données projet'!$A$36&gt;35,N3+M4-V3,IF(A4&lt;'Données projet'!$A$36,$K$205^A4,IF(A4='Données projet'!$A$36,'Données projet'!$B$36,N3+M4-V3)))</f>
        <v>1.3070441688874561</v>
      </c>
      <c r="O4" s="13">
        <f>N4*VLOOKUP('Données projet'!$B$9,Paramètres!$A$1:$I$89,3,0)*VLOOKUP('Données projet'!$B$9,Paramètres!$A$1:$I$89,5,0)</f>
        <v>0.73063769040808801</v>
      </c>
      <c r="P4" s="13">
        <f>EXP(-1.0587+0.8836*LN(O4)+0.284)</f>
        <v>0.34923616900555043</v>
      </c>
      <c r="Q4" s="20">
        <f t="shared" ref="Q4:Q34" si="2">(O4+P4)*0.475*44/12</f>
        <v>1.8807803051454206</v>
      </c>
      <c r="R4" s="59">
        <f t="shared" si="0"/>
        <v>259.76966919403429</v>
      </c>
      <c r="S4" s="59">
        <f ca="1">AVERAGE(OFFSET($R$3,0,0,'Données projet'!$E$9+1,1))-AVERAGE(OFFSET($H$3,0,0,'Données projet'!$E$9+1,1))</f>
        <v>382.58588458673051</v>
      </c>
      <c r="T4" s="59">
        <f>$T$3</f>
        <v>485.5120768430603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11.5</v>
      </c>
      <c r="AI4" s="13">
        <f>IF('Données projet'!$A$62&gt;35,AI3+AH4-AQ3,IF(A4&lt;'Données projet'!$A$62,$AF$205^A4,IF(A4='Données projet'!$A$62,'Données projet'!$B$62,AI3+AH4-AQ3)))</f>
        <v>1.6071994829923506</v>
      </c>
      <c r="AJ4" s="13">
        <f>AI4*VLOOKUP('Données projet'!$B$10,Paramètres!$A$1:$I$89,3,0)*VLOOKUP('Données projet'!$B$10,Paramètres!$A$1:$I$89,5,0)</f>
        <v>1.1783986609299915</v>
      </c>
      <c r="AK4" s="13">
        <f>EXP(-1.0587+0.8836*LN(AJ4)+0.284)</f>
        <v>0.53277751568396181</v>
      </c>
      <c r="AL4" s="20">
        <f t="shared" ref="AL4:AL67" si="4">(AJ4+AK4)*0.475*44/12</f>
        <v>2.9802985076026349</v>
      </c>
      <c r="AM4" s="59">
        <f t="shared" ref="AM4:AM67" si="5">AL4+(AD4+AE4)*44/12</f>
        <v>260.8691873964915</v>
      </c>
      <c r="AN4" s="59">
        <f ca="1">AVERAGE(OFFSET($AM$3,0,0,'Données projet'!$E$10+1,1))-AVERAGE(OFFSET($H$3,0,0,'Données projet'!$E$10+1,1))</f>
        <v>188.36883552879721</v>
      </c>
      <c r="AO4" s="59">
        <f>$AO$3</f>
        <v>152.51465338737705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1">
        <f t="shared" ref="D5:D68" si="32">IFERROR(EXP(-1.0587+0.8836*LN(C5)+0.284),0)</f>
        <v>0.76643986660078545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67">
        <f t="shared" si="1"/>
        <v>261.0989294343297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8.526315789473685</v>
      </c>
      <c r="N5" s="13">
        <f>IF('Données projet'!$A$36&gt;35,N4+M5-V4,IF(A5&lt;'Données projet'!$A$36,$K$205^A5,IF(A5='Données projet'!$A$36,'Données projet'!$B$36,N4+M5-V4)))</f>
        <v>1.708364459422701</v>
      </c>
      <c r="O5" s="13">
        <f>N5*VLOOKUP('Données projet'!$B$9,Paramètres!$A$1:$I$89,3,0)*VLOOKUP('Données projet'!$B$9,Paramètres!$A$1:$I$89,5,0)</f>
        <v>0.95497573281728976</v>
      </c>
      <c r="P5" s="13">
        <f t="shared" ref="P5:P68" si="33">EXP(-1.0587+0.8836*LN(O5)+0.284)</f>
        <v>0.44245926414263009</v>
      </c>
      <c r="Q5" s="20">
        <f t="shared" si="2"/>
        <v>2.4338659530385267</v>
      </c>
      <c r="R5" s="59">
        <f t="shared" si="0"/>
        <v>261.54497706414969</v>
      </c>
      <c r="S5" s="59">
        <f ca="1">AVERAGE(OFFSET($R$3,0,0,'Données projet'!$E$9+1,1))-AVERAGE(OFFSET($H$3,0,0,'Données projet'!$E$9+1,1))</f>
        <v>382.58588458673051</v>
      </c>
      <c r="T5" s="59">
        <f t="shared" ref="T5:T68" si="34">$T$3</f>
        <v>485.5120768430603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11.5</v>
      </c>
      <c r="AI5" s="13">
        <f>IF('Données projet'!$A$62&gt;35,AI4+AH5-AQ4,IF(A5&lt;'Données projet'!$A$62,$AF$205^A5,IF(A5='Données projet'!$A$62,'Données projet'!$B$62,AI4+AH5-AQ4)))</f>
        <v>2.5830901781308793</v>
      </c>
      <c r="AJ5" s="13">
        <f>AI5*VLOOKUP('Données projet'!$B$10,Paramètres!$A$1:$I$89,3,0)*VLOOKUP('Données projet'!$B$10,Paramètres!$A$1:$I$89,5,0)</f>
        <v>1.8939217186055606</v>
      </c>
      <c r="AK5" s="13">
        <f t="shared" ref="AK5:AK68" si="35">EXP(-1.0587+0.8836*LN(AJ5)+0.284)</f>
        <v>0.81026886193479808</v>
      </c>
      <c r="AL5" s="20">
        <f t="shared" si="4"/>
        <v>4.709798594441124</v>
      </c>
      <c r="AM5" s="59">
        <f t="shared" si="5"/>
        <v>263.82090970555225</v>
      </c>
      <c r="AN5" s="59">
        <f ca="1">AVERAGE(OFFSET($AM$3,0,0,'Données projet'!$E$10+1,1))-AVERAGE(OFFSET($H$3,0,0,'Données projet'!$E$10+1,1))</f>
        <v>188.36883552879721</v>
      </c>
      <c r="AO5" s="59">
        <f t="shared" ref="AO5:AO68" si="36">$AO$3</f>
        <v>152.51465338737705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1">
        <f t="shared" si="32"/>
        <v>1.0966608080083624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67">
        <f t="shared" si="1"/>
        <v>263.22275424061456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8.526315789473685</v>
      </c>
      <c r="N6" s="13">
        <f>IF('Données projet'!$A$36&gt;35,N5+M6-V5,IF(A6&lt;'Données projet'!$A$36,$K$205^A6,IF(A6='Données projet'!$A$36,'Données projet'!$B$36,N5+M6-V5)))</f>
        <v>2.2329078050230127</v>
      </c>
      <c r="O6" s="13">
        <f>N6*VLOOKUP('Données projet'!$B$9,Paramètres!$A$1:$I$89,3,0)*VLOOKUP('Données projet'!$B$9,Paramètres!$A$1:$I$89,5,0)</f>
        <v>1.248195463007864</v>
      </c>
      <c r="P6" s="13">
        <f t="shared" si="33"/>
        <v>0.56056679634040518</v>
      </c>
      <c r="Q6" s="20">
        <f t="shared" si="2"/>
        <v>3.1502609350315693</v>
      </c>
      <c r="R6" s="59">
        <f t="shared" si="0"/>
        <v>263.48359426836487</v>
      </c>
      <c r="S6" s="59">
        <f ca="1">AVERAGE(OFFSET($R$3,0,0,'Données projet'!$E$9+1,1))-AVERAGE(OFFSET($H$3,0,0,'Données projet'!$E$9+1,1))</f>
        <v>382.58588458673051</v>
      </c>
      <c r="T6" s="59">
        <f t="shared" si="34"/>
        <v>485.5120768430603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11.5</v>
      </c>
      <c r="AI6" s="13">
        <f>IF('Données projet'!$A$62&gt;35,AI5+AH6-AQ5,IF(A6&lt;'Données projet'!$A$62,$AF$205^A6,IF(A6='Données projet'!$A$62,'Données projet'!$B$62,AI5+AH6-AQ5)))</f>
        <v>4.1515411988145683</v>
      </c>
      <c r="AJ6" s="13">
        <f>AI6*VLOOKUP('Données projet'!$B$10,Paramètres!$A$1:$I$89,3,0)*VLOOKUP('Données projet'!$B$10,Paramètres!$A$1:$I$89,5,0)</f>
        <v>3.0439100069708416</v>
      </c>
      <c r="AK6" s="13">
        <f t="shared" si="35"/>
        <v>1.2322885431422059</v>
      </c>
      <c r="AL6" s="20">
        <f t="shared" si="4"/>
        <v>7.447712474780225</v>
      </c>
      <c r="AM6" s="59">
        <f t="shared" si="5"/>
        <v>267.78104580811356</v>
      </c>
      <c r="AN6" s="59">
        <f ca="1">AVERAGE(OFFSET($AM$3,0,0,'Données projet'!$E$10+1,1))-AVERAGE(OFFSET($H$3,0,0,'Données projet'!$E$10+1,1))</f>
        <v>188.36883552879721</v>
      </c>
      <c r="AO6" s="59">
        <f t="shared" si="36"/>
        <v>152.51465338737705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1">
        <f t="shared" si="32"/>
        <v>1.4140611505968179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67">
        <f t="shared" si="1"/>
        <v>265.32424983728947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8.526315789473685</v>
      </c>
      <c r="N7" s="13">
        <f>IF('Données projet'!$A$36&gt;35,N6+M7-V6,IF(A7&lt;'Données projet'!$A$36,$K$205^A7,IF(A7='Données projet'!$A$36,'Données projet'!$B$36,N6+M7-V6)))</f>
        <v>2.9185091262186176</v>
      </c>
      <c r="O7" s="13">
        <f>N7*VLOOKUP('Données projet'!$B$9,Paramètres!$A$1:$I$89,3,0)*VLOOKUP('Données projet'!$B$9,Paramètres!$A$1:$I$89,5,0)</f>
        <v>1.6314466015562072</v>
      </c>
      <c r="P7" s="13">
        <f t="shared" si="33"/>
        <v>0.71020127416305878</v>
      </c>
      <c r="Q7" s="20">
        <f t="shared" si="2"/>
        <v>4.0783700502110554</v>
      </c>
      <c r="R7" s="59">
        <f t="shared" si="0"/>
        <v>265.63392560576659</v>
      </c>
      <c r="S7" s="59">
        <f ca="1">AVERAGE(OFFSET($R$3,0,0,'Données projet'!$E$9+1,1))-AVERAGE(OFFSET($H$3,0,0,'Données projet'!$E$9+1,1))</f>
        <v>382.58588458673051</v>
      </c>
      <c r="T7" s="59">
        <f t="shared" si="34"/>
        <v>485.5120768430603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11.5</v>
      </c>
      <c r="AI7" s="13">
        <f>IF('Données projet'!$A$62&gt;35,AI6+AH7-AQ6,IF(A7&lt;'Données projet'!$A$62,$AF$205^A7,IF(A7='Données projet'!$A$62,'Données projet'!$B$62,AI6+AH7-AQ6)))</f>
        <v>6.6723548683562175</v>
      </c>
      <c r="AJ7" s="13">
        <f>AI7*VLOOKUP('Données projet'!$B$10,Paramètres!$A$1:$I$89,3,0)*VLOOKUP('Données projet'!$B$10,Paramètres!$A$1:$I$89,5,0)</f>
        <v>4.8921705894787788</v>
      </c>
      <c r="AK7" s="13">
        <f t="shared" si="35"/>
        <v>1.8741125629997808</v>
      </c>
      <c r="AL7" s="20">
        <f t="shared" si="4"/>
        <v>11.784609823900155</v>
      </c>
      <c r="AM7" s="59">
        <f t="shared" si="5"/>
        <v>273.3401653794557</v>
      </c>
      <c r="AN7" s="59">
        <f ca="1">AVERAGE(OFFSET($AM$3,0,0,'Données projet'!$E$10+1,1))-AVERAGE(OFFSET($H$3,0,0,'Données projet'!$E$10+1,1))</f>
        <v>188.36883552879721</v>
      </c>
      <c r="AO7" s="59">
        <f t="shared" si="36"/>
        <v>152.51465338737705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1">
        <f t="shared" si="32"/>
        <v>1.7222566815192897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67">
        <f t="shared" si="1"/>
        <v>267.40971372031277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8.526315789473685</v>
      </c>
      <c r="N8" s="13">
        <f>IF('Données projet'!$A$36&gt;35,N7+M8-V7,IF(A8&lt;'Données projet'!$A$36,$K$205^A8,IF(A8='Données projet'!$A$36,'Données projet'!$B$36,N7+M8-V7)))</f>
        <v>3.8146203352688688</v>
      </c>
      <c r="O8" s="13">
        <f>N8*VLOOKUP('Données projet'!$B$9,Paramètres!$A$1:$I$89,3,0)*VLOOKUP('Données projet'!$B$9,Paramètres!$A$1:$I$89,5,0)</f>
        <v>2.1323727674152977</v>
      </c>
      <c r="P8" s="13">
        <f t="shared" si="33"/>
        <v>0.89977831922200224</v>
      </c>
      <c r="Q8" s="20">
        <f t="shared" si="2"/>
        <v>5.2809964758932972</v>
      </c>
      <c r="R8" s="59">
        <f t="shared" si="0"/>
        <v>268.05877425367106</v>
      </c>
      <c r="S8" s="59">
        <f ca="1">AVERAGE(OFFSET($R$3,0,0,'Données projet'!$E$9+1,1))-AVERAGE(OFFSET($H$3,0,0,'Données projet'!$E$9+1,1))</f>
        <v>382.58588458673051</v>
      </c>
      <c r="T8" s="59">
        <f t="shared" si="34"/>
        <v>485.5120768430603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11.5</v>
      </c>
      <c r="AI8" s="13">
        <f>IF('Données projet'!$A$62&gt;35,AI7+AH8-AQ7,IF(A8&lt;'Données projet'!$A$62,$AF$205^A8,IF(A8='Données projet'!$A$62,'Données projet'!$B$62,AI7+AH8-AQ7)))</f>
        <v>10.723805294763606</v>
      </c>
      <c r="AJ8" s="13">
        <f>AI8*VLOOKUP('Données projet'!$B$10,Paramètres!$A$1:$I$89,3,0)*VLOOKUP('Données projet'!$B$10,Paramètres!$A$1:$I$89,5,0)</f>
        <v>7.8626940421206752</v>
      </c>
      <c r="AK8" s="13">
        <f t="shared" si="35"/>
        <v>2.8502236090239195</v>
      </c>
      <c r="AL8" s="20">
        <f t="shared" si="4"/>
        <v>18.658331575743503</v>
      </c>
      <c r="AM8" s="59">
        <f t="shared" si="5"/>
        <v>281.43610935352126</v>
      </c>
      <c r="AN8" s="59">
        <f ca="1">AVERAGE(OFFSET($AM$3,0,0,'Données projet'!$E$10+1,1))-AVERAGE(OFFSET($H$3,0,0,'Données projet'!$E$10+1,1))</f>
        <v>188.36883552879721</v>
      </c>
      <c r="AO8" s="59">
        <f t="shared" si="36"/>
        <v>152.51465338737705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1">
        <f t="shared" si="32"/>
        <v>2.0233099967312578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67">
        <f t="shared" si="1"/>
        <v>269.48273824430697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8.526315789473685</v>
      </c>
      <c r="N9" s="13">
        <f>IF('Données projet'!$A$36&gt;35,N8+M9-V8,IF(A9&lt;'Données projet'!$A$36,$K$205^A9,IF(A9='Données projet'!$A$36,'Données projet'!$B$36,N8+M9-V8)))</f>
        <v>4.9858772657326877</v>
      </c>
      <c r="O9" s="13">
        <f>N9*VLOOKUP('Données projet'!$B$9,Paramètres!$A$1:$I$89,3,0)*VLOOKUP('Données projet'!$B$9,Paramètres!$A$1:$I$89,5,0)</f>
        <v>2.7871053915445723</v>
      </c>
      <c r="P9" s="13">
        <f t="shared" si="33"/>
        <v>1.1399599707787778</v>
      </c>
      <c r="Q9" s="20">
        <f t="shared" si="2"/>
        <v>6.839638839379834</v>
      </c>
      <c r="R9" s="59">
        <f t="shared" si="0"/>
        <v>270.83963883937986</v>
      </c>
      <c r="S9" s="59">
        <f ca="1">AVERAGE(OFFSET($R$3,0,0,'Données projet'!$E$9+1,1))-AVERAGE(OFFSET($H$3,0,0,'Données projet'!$E$9+1,1))</f>
        <v>382.58588458673051</v>
      </c>
      <c r="T9" s="59">
        <f t="shared" si="34"/>
        <v>485.5120768430603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11.5</v>
      </c>
      <c r="AI9" s="13">
        <f>IF('Données projet'!$A$62&gt;35,AI8+AH9-AQ8,IF(A9&lt;'Données projet'!$A$62,$AF$205^A9,IF(A9='Données projet'!$A$62,'Données projet'!$B$62,AI8+AH9-AQ8)))</f>
        <v>17.235294325454703</v>
      </c>
      <c r="AJ9" s="13">
        <f>AI9*VLOOKUP('Données projet'!$B$10,Paramètres!$A$1:$I$89,3,0)*VLOOKUP('Données projet'!$B$10,Paramètres!$A$1:$I$89,5,0)</f>
        <v>12.636917799423388</v>
      </c>
      <c r="AK9" s="13">
        <f t="shared" si="35"/>
        <v>4.3347314253281013</v>
      </c>
      <c r="AL9" s="20">
        <f t="shared" si="4"/>
        <v>29.558955733108835</v>
      </c>
      <c r="AM9" s="59">
        <f t="shared" si="5"/>
        <v>293.55895573310886</v>
      </c>
      <c r="AN9" s="59">
        <f ca="1">AVERAGE(OFFSET($AM$3,0,0,'Données projet'!$E$10+1,1))-AVERAGE(OFFSET($H$3,0,0,'Données projet'!$E$10+1,1))</f>
        <v>188.36883552879721</v>
      </c>
      <c r="AO9" s="59">
        <f t="shared" si="36"/>
        <v>152.51465338737705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1">
        <f t="shared" si="32"/>
        <v>2.3185507720937846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67">
        <f t="shared" si="1"/>
        <v>271.54563926139667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8.526315789473685</v>
      </c>
      <c r="N10" s="13">
        <f>IF('Données projet'!$A$36&gt;35,N9+M10-V9,IF(A10&lt;'Données projet'!$A$36,$K$205^A10,IF(A10='Données projet'!$A$36,'Données projet'!$B$36,N9+M10-V9)))</f>
        <v>6.5167618069644444</v>
      </c>
      <c r="O10" s="13">
        <f>N10*VLOOKUP('Données projet'!$B$9,Paramètres!$A$1:$I$89,3,0)*VLOOKUP('Données projet'!$B$9,Paramètres!$A$1:$I$89,5,0)</f>
        <v>3.6428698500931249</v>
      </c>
      <c r="P10" s="13">
        <f t="shared" si="33"/>
        <v>1.4442543315575544</v>
      </c>
      <c r="Q10" s="20">
        <f t="shared" si="2"/>
        <v>8.8600746163749324</v>
      </c>
      <c r="R10" s="59">
        <f t="shared" si="0"/>
        <v>274.08229683859719</v>
      </c>
      <c r="S10" s="59">
        <f ca="1">AVERAGE(OFFSET($R$3,0,0,'Données projet'!$E$9+1,1))-AVERAGE(OFFSET($H$3,0,0,'Données projet'!$E$9+1,1))</f>
        <v>382.58588458673051</v>
      </c>
      <c r="T10" s="59">
        <f t="shared" si="34"/>
        <v>485.5120768430603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11.5</v>
      </c>
      <c r="AI10" s="13">
        <f>IF('Données projet'!$A$62&gt;35,AI9+AH10-AQ9,IF(A10&lt;'Données projet'!$A$62,$AF$205^A10,IF(A10='Données projet'!$A$62,'Données projet'!$B$62,AI9+AH10-AQ9)))</f>
        <v>27.700556129091794</v>
      </c>
      <c r="AJ10" s="13">
        <f>AI10*VLOOKUP('Données projet'!$B$10,Paramètres!$A$1:$I$89,3,0)*VLOOKUP('Données projet'!$B$10,Paramètres!$A$1:$I$89,5,0)</f>
        <v>20.310047753850103</v>
      </c>
      <c r="AK10" s="13">
        <f t="shared" si="35"/>
        <v>6.5924289133797958</v>
      </c>
      <c r="AL10" s="20">
        <f t="shared" si="4"/>
        <v>46.855146862092077</v>
      </c>
      <c r="AM10" s="59">
        <f t="shared" si="5"/>
        <v>312.07736908431428</v>
      </c>
      <c r="AN10" s="59">
        <f ca="1">AVERAGE(OFFSET($AM$3,0,0,'Données projet'!$E$10+1,1))-AVERAGE(OFFSET($H$3,0,0,'Données projet'!$E$10+1,1))</f>
        <v>188.36883552879721</v>
      </c>
      <c r="AO10" s="59">
        <f t="shared" si="36"/>
        <v>152.51465338737705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1">
        <f t="shared" si="32"/>
        <v>2.6089051793396716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67">
        <f t="shared" si="1"/>
        <v>273.60002985401661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8.526315789473685</v>
      </c>
      <c r="N11" s="13">
        <f>IF('Données projet'!$A$36&gt;35,N10+M11-V10,IF(A11&lt;'Données projet'!$A$36,$K$205^A11,IF(A11='Données projet'!$A$36,'Données projet'!$B$36,N10+M11-V10)))</f>
        <v>8.5176955198213591</v>
      </c>
      <c r="O11" s="13">
        <f>N11*VLOOKUP('Données projet'!$B$9,Paramètres!$A$1:$I$89,3,0)*VLOOKUP('Données projet'!$B$9,Paramètres!$A$1:$I$89,5,0)</f>
        <v>4.7613917955801393</v>
      </c>
      <c r="P11" s="13">
        <f t="shared" si="33"/>
        <v>1.8297752795633417</v>
      </c>
      <c r="Q11" s="20">
        <f t="shared" si="2"/>
        <v>11.479615989208229</v>
      </c>
      <c r="R11" s="59">
        <f t="shared" si="0"/>
        <v>277.9240604336527</v>
      </c>
      <c r="S11" s="59">
        <f ca="1">AVERAGE(OFFSET($R$3,0,0,'Données projet'!$E$9+1,1))-AVERAGE(OFFSET($H$3,0,0,'Données projet'!$E$9+1,1))</f>
        <v>382.58588458673051</v>
      </c>
      <c r="T11" s="59">
        <f t="shared" si="34"/>
        <v>485.5120768430603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11.5</v>
      </c>
      <c r="AI11" s="13">
        <f>IF('Données projet'!$A$62&gt;35,AI10+AH11-AQ10,IF(A11&lt;'Données projet'!$A$62,$AF$205^A11,IF(A11='Données projet'!$A$62,'Données projet'!$B$62,AI10+AH11-AQ10)))</f>
        <v>44.520319489276915</v>
      </c>
      <c r="AJ11" s="13">
        <f>AI11*VLOOKUP('Données projet'!$B$10,Paramètres!$A$1:$I$89,3,0)*VLOOKUP('Données projet'!$B$10,Paramètres!$A$1:$I$89,5,0)</f>
        <v>32.642298249537831</v>
      </c>
      <c r="AK11" s="13">
        <f t="shared" si="35"/>
        <v>10.026023463420534</v>
      </c>
      <c r="AL11" s="20">
        <f t="shared" si="4"/>
        <v>74.31399365006915</v>
      </c>
      <c r="AM11" s="59">
        <f t="shared" si="5"/>
        <v>340.75843809451362</v>
      </c>
      <c r="AN11" s="59">
        <f ca="1">AVERAGE(OFFSET($AM$3,0,0,'Données projet'!$E$10+1,1))-AVERAGE(OFFSET($H$3,0,0,'Données projet'!$E$10+1,1))</f>
        <v>188.36883552879721</v>
      </c>
      <c r="AO11" s="59">
        <f t="shared" si="36"/>
        <v>152.51465338737705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1">
        <f t="shared" si="32"/>
        <v>2.8950539664743791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67">
        <f t="shared" si="1"/>
        <v>275.64709565827621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8.526315789473685</v>
      </c>
      <c r="N12" s="13">
        <f>IF('Données projet'!$A$36&gt;35,N11+M12-V11,IF(A12&lt;'Données projet'!$A$36,$K$205^A12,IF(A12='Données projet'!$A$36,'Données projet'!$B$36,N11+M12-V11)))</f>
        <v>11.133004261541316</v>
      </c>
      <c r="O12" s="13">
        <f>N12*VLOOKUP('Données projet'!$B$9,Paramètres!$A$1:$I$89,3,0)*VLOOKUP('Données projet'!$B$9,Paramètres!$A$1:$I$89,5,0)</f>
        <v>6.2233493822015964</v>
      </c>
      <c r="P12" s="13">
        <f t="shared" si="33"/>
        <v>2.3182049730052579</v>
      </c>
      <c r="Q12" s="20">
        <f t="shared" si="2"/>
        <v>14.87654050198527</v>
      </c>
      <c r="R12" s="59">
        <f t="shared" si="0"/>
        <v>282.54320716865197</v>
      </c>
      <c r="S12" s="59">
        <f ca="1">AVERAGE(OFFSET($R$3,0,0,'Données projet'!$E$9+1,1))-AVERAGE(OFFSET($H$3,0,0,'Données projet'!$E$9+1,1))</f>
        <v>382.58588458673051</v>
      </c>
      <c r="T12" s="59">
        <f t="shared" si="34"/>
        <v>485.5120768430603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11.5</v>
      </c>
      <c r="AI12" s="13">
        <f>IF('Données projet'!$A$62&gt;35,AI11+AH12-AQ11,IF(A12&lt;'Données projet'!$A$62,$AF$205^A12,IF(A12='Données projet'!$A$62,'Données projet'!$B$62,AI11+AH12-AQ11)))</f>
        <v>71.553034465820133</v>
      </c>
      <c r="AJ12" s="13">
        <f>AI12*VLOOKUP('Données projet'!$B$10,Paramètres!$A$1:$I$89,3,0)*VLOOKUP('Données projet'!$B$10,Paramètres!$A$1:$I$89,5,0)</f>
        <v>52.462684870339316</v>
      </c>
      <c r="AK12" s="13">
        <f t="shared" si="35"/>
        <v>15.247968208658939</v>
      </c>
      <c r="AL12" s="20">
        <f t="shared" si="4"/>
        <v>117.92938744592196</v>
      </c>
      <c r="AM12" s="59">
        <f t="shared" si="5"/>
        <v>385.59605411258866</v>
      </c>
      <c r="AN12" s="59">
        <f ca="1">AVERAGE(OFFSET($AM$3,0,0,'Données projet'!$E$10+1,1))-AVERAGE(OFFSET($H$3,0,0,'Données projet'!$E$10+1,1))</f>
        <v>188.36883552879721</v>
      </c>
      <c r="AO12" s="59">
        <f t="shared" si="36"/>
        <v>152.51465338737705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1">
        <f t="shared" si="32"/>
        <v>3.177517729464268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67">
        <f t="shared" si="1"/>
        <v>277.68774337881695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8.526315789473685</v>
      </c>
      <c r="N13" s="13">
        <f>IF('Données projet'!$A$36&gt;35,N12+M13-V12,IF(A13&lt;'Données projet'!$A$36,$K$205^A13,IF(A13='Données projet'!$A$36,'Données projet'!$B$36,N12+M13-V12)))</f>
        <v>14.551328302246779</v>
      </c>
      <c r="O13" s="13">
        <f>N13*VLOOKUP('Données projet'!$B$9,Paramètres!$A$1:$I$89,3,0)*VLOOKUP('Données projet'!$B$9,Paramètres!$A$1:$I$89,5,0)</f>
        <v>8.1341925209559491</v>
      </c>
      <c r="P13" s="13">
        <f t="shared" si="33"/>
        <v>2.9370132807503975</v>
      </c>
      <c r="Q13" s="20">
        <f t="shared" si="2"/>
        <v>19.282350104638549</v>
      </c>
      <c r="R13" s="59">
        <f t="shared" si="0"/>
        <v>288.17123899352742</v>
      </c>
      <c r="S13" s="59">
        <f ca="1">AVERAGE(OFFSET($R$3,0,0,'Données projet'!$E$9+1,1))-AVERAGE(OFFSET($H$3,0,0,'Données projet'!$E$9+1,1))</f>
        <v>382.58588458673051</v>
      </c>
      <c r="T13" s="59">
        <f t="shared" si="34"/>
        <v>485.5120768430603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>
        <f>VLOOKUP(A13,'Données projet'!$A$61:$I$81,2,0)</f>
        <v>115</v>
      </c>
      <c r="AG13" s="12">
        <f>VLOOKUP(A13,'Données projet'!$A$61:$I$81,9,0)</f>
        <v>11.5</v>
      </c>
      <c r="AH13" s="12">
        <f t="array" ref="AH13">INDEX(AG:AG,MIN(IF(ISNUMBER(AG13:AG209),ROW(AG13:AG209),"")))</f>
        <v>11.5</v>
      </c>
      <c r="AI13" s="13">
        <f>IF('Données projet'!$A$62&gt;35,AI12+AH13-AQ12,IF(A13&lt;'Données projet'!$A$62,$AF$205^A13,IF(A13='Données projet'!$A$62,'Données projet'!$B$62,AI12+AH13-AQ12)))</f>
        <v>115</v>
      </c>
      <c r="AJ13" s="13">
        <f>AI13*VLOOKUP('Données projet'!$B$10,Paramètres!$A$1:$I$89,3,0)*VLOOKUP('Données projet'!$B$10,Paramètres!$A$1:$I$89,5,0)</f>
        <v>84.317999999999998</v>
      </c>
      <c r="AK13" s="13">
        <f t="shared" si="35"/>
        <v>23.189705803157239</v>
      </c>
      <c r="AL13" s="20">
        <f t="shared" si="4"/>
        <v>187.24258760716552</v>
      </c>
      <c r="AM13" s="59">
        <f t="shared" si="5"/>
        <v>456.13147649605435</v>
      </c>
      <c r="AN13" s="59">
        <f ca="1">AVERAGE(OFFSET($AM$3,0,0,'Données projet'!$E$10+1,1))-AVERAGE(OFFSET($H$3,0,0,'Données projet'!$E$10+1,1))</f>
        <v>188.36883552879721</v>
      </c>
      <c r="AO13" s="59">
        <f t="shared" si="36"/>
        <v>152.51465338737705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1">
        <f t="shared" si="32"/>
        <v>3.4567069199829903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67">
        <f t="shared" si="1"/>
        <v>279.72268788563707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8.526315789473685</v>
      </c>
      <c r="N14" s="13">
        <f>IF('Données projet'!$A$36&gt;35,N13+M14-V13,IF(A14&lt;'Données projet'!$A$36,$K$205^A14,IF(A14='Données projet'!$A$36,'Données projet'!$B$36,N13+M14-V13)))</f>
        <v>19.01922880701866</v>
      </c>
      <c r="O14" s="13">
        <f>N14*VLOOKUP('Données projet'!$B$9,Paramètres!$A$1:$I$89,3,0)*VLOOKUP('Données projet'!$B$9,Paramètres!$A$1:$I$89,5,0)</f>
        <v>10.631748903123432</v>
      </c>
      <c r="P14" s="13">
        <f t="shared" si="33"/>
        <v>3.7210027205323613</v>
      </c>
      <c r="Q14" s="20">
        <f t="shared" si="2"/>
        <v>24.997709077867171</v>
      </c>
      <c r="R14" s="59">
        <f t="shared" si="0"/>
        <v>295.10882018897831</v>
      </c>
      <c r="S14" s="59">
        <f ca="1">AVERAGE(OFFSET($R$3,0,0,'Données projet'!$E$9+1,1))-AVERAGE(OFFSET($H$3,0,0,'Données projet'!$E$9+1,1))</f>
        <v>382.58588458673051</v>
      </c>
      <c r="T14" s="59">
        <f t="shared" si="34"/>
        <v>485.5120768430603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13.8</v>
      </c>
      <c r="AI14" s="13">
        <f>IF('Données projet'!$A$62&gt;35,AI13+AH14-AQ13,IF(A14&lt;'Données projet'!$A$62,$AF$205^A14,IF(A14='Données projet'!$A$62,'Données projet'!$B$62,AI13+AH14-AQ13)))</f>
        <v>128.80000000000001</v>
      </c>
      <c r="AJ14" s="13">
        <f>AI14*VLOOKUP('Données projet'!$B$10,Paramètres!$A$1:$I$89,3,0)*VLOOKUP('Données projet'!$B$10,Paramètres!$A$1:$I$89,5,0)</f>
        <v>94.436160000000001</v>
      </c>
      <c r="AK14" s="13">
        <f t="shared" si="35"/>
        <v>25.632105611020013</v>
      </c>
      <c r="AL14" s="20">
        <f t="shared" si="4"/>
        <v>209.11889593919318</v>
      </c>
      <c r="AM14" s="59">
        <f t="shared" si="5"/>
        <v>479.23000705030432</v>
      </c>
      <c r="AN14" s="59">
        <f ca="1">AVERAGE(OFFSET($AM$3,0,0,'Données projet'!$E$10+1,1))-AVERAGE(OFFSET($H$3,0,0,'Données projet'!$E$10+1,1))</f>
        <v>188.36883552879721</v>
      </c>
      <c r="AO14" s="59">
        <f t="shared" si="36"/>
        <v>152.51465338737705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1">
        <f t="shared" si="32"/>
        <v>3.7329530817348471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67">
        <f t="shared" si="1"/>
        <v>281.75250661735487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8.526315789473685</v>
      </c>
      <c r="N15" s="13">
        <f>IF('Données projet'!$A$36&gt;35,N14+M15-V14,IF(A15&lt;'Données projet'!$A$36,$K$205^A15,IF(A15='Données projet'!$A$36,'Données projet'!$B$36,N14+M15-V14)))</f>
        <v>24.85897210895007</v>
      </c>
      <c r="O15" s="13">
        <f>N15*VLOOKUP('Données projet'!$B$9,Paramètres!$A$1:$I$89,3,0)*VLOOKUP('Données projet'!$B$9,Paramètres!$A$1:$I$89,5,0)</f>
        <v>13.896165408903089</v>
      </c>
      <c r="P15" s="13">
        <f t="shared" si="33"/>
        <v>4.7142657940830492</v>
      </c>
      <c r="Q15" s="20">
        <f t="shared" si="2"/>
        <v>32.413167678534187</v>
      </c>
      <c r="R15" s="59">
        <f t="shared" si="0"/>
        <v>303.74650101186751</v>
      </c>
      <c r="S15" s="59">
        <f ca="1">AVERAGE(OFFSET($R$3,0,0,'Données projet'!$E$9+1,1))-AVERAGE(OFFSET($H$3,0,0,'Données projet'!$E$9+1,1))</f>
        <v>382.58588458673051</v>
      </c>
      <c r="T15" s="59">
        <f t="shared" si="34"/>
        <v>485.5120768430603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13.8</v>
      </c>
      <c r="AI15" s="13">
        <f>IF('Données projet'!$A$62&gt;35,AI14+AH15-AQ14,IF(A15&lt;'Données projet'!$A$62,$AF$205^A15,IF(A15='Données projet'!$A$62,'Données projet'!$B$62,AI14+AH15-AQ14)))</f>
        <v>142.60000000000002</v>
      </c>
      <c r="AJ15" s="13">
        <f>AI15*VLOOKUP('Données projet'!$B$10,Paramètres!$A$1:$I$89,3,0)*VLOOKUP('Données projet'!$B$10,Paramètres!$A$1:$I$89,5,0)</f>
        <v>104.55432000000002</v>
      </c>
      <c r="AK15" s="13">
        <f t="shared" si="35"/>
        <v>28.044173158356262</v>
      </c>
      <c r="AL15" s="20">
        <f t="shared" si="4"/>
        <v>230.94237558413718</v>
      </c>
      <c r="AM15" s="59">
        <f t="shared" si="5"/>
        <v>502.27570891747052</v>
      </c>
      <c r="AN15" s="59">
        <f ca="1">AVERAGE(OFFSET($AM$3,0,0,'Données projet'!$E$10+1,1))-AVERAGE(OFFSET($H$3,0,0,'Données projet'!$E$10+1,1))</f>
        <v>188.36883552879721</v>
      </c>
      <c r="AO15" s="59">
        <f t="shared" si="36"/>
        <v>152.51465338737705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1">
        <f t="shared" si="32"/>
        <v>4.0065293501366055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67">
        <f t="shared" si="1"/>
        <v>283.77767528482127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8.526315789473685</v>
      </c>
      <c r="N16" s="13">
        <f>IF('Données projet'!$A$36&gt;35,N15+M16-V15,IF(A16&lt;'Données projet'!$A$36,$K$205^A16,IF(A16='Données projet'!$A$36,'Données projet'!$B$36,N15+M16-V15)))</f>
        <v>32.491774539539094</v>
      </c>
      <c r="O16" s="13">
        <f>N16*VLOOKUP('Données projet'!$B$9,Paramètres!$A$1:$I$89,3,0)*VLOOKUP('Données projet'!$B$9,Paramètres!$A$1:$I$89,5,0)</f>
        <v>18.162901967602355</v>
      </c>
      <c r="P16" s="13">
        <f t="shared" si="33"/>
        <v>5.9726648020514927</v>
      </c>
      <c r="Q16" s="20">
        <f t="shared" si="2"/>
        <v>42.036112123813787</v>
      </c>
      <c r="R16" s="59">
        <f t="shared" si="0"/>
        <v>314.59166767936932</v>
      </c>
      <c r="S16" s="59">
        <f ca="1">AVERAGE(OFFSET($R$3,0,0,'Données projet'!$E$9+1,1))-AVERAGE(OFFSET($H$3,0,0,'Données projet'!$E$9+1,1))</f>
        <v>382.58588458673051</v>
      </c>
      <c r="T16" s="59">
        <f t="shared" si="34"/>
        <v>485.5120768430603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13.8</v>
      </c>
      <c r="AI16" s="13">
        <f>IF('Données projet'!$A$62&gt;35,AI15+AH16-AQ15,IF(A16&lt;'Données projet'!$A$62,$AF$205^A16,IF(A16='Données projet'!$A$62,'Données projet'!$B$62,AI15+AH16-AQ15)))</f>
        <v>156.40000000000003</v>
      </c>
      <c r="AJ16" s="13">
        <f>AI16*VLOOKUP('Données projet'!$B$10,Paramètres!$A$1:$I$89,3,0)*VLOOKUP('Données projet'!$B$10,Paramètres!$A$1:$I$89,5,0)</f>
        <v>114.67248000000002</v>
      </c>
      <c r="AK16" s="13">
        <f t="shared" si="35"/>
        <v>30.42917784146039</v>
      </c>
      <c r="AL16" s="20">
        <f t="shared" si="4"/>
        <v>252.71872074054355</v>
      </c>
      <c r="AM16" s="59">
        <f t="shared" si="5"/>
        <v>525.27427629609906</v>
      </c>
      <c r="AN16" s="59">
        <f ca="1">AVERAGE(OFFSET($AM$3,0,0,'Données projet'!$E$10+1,1))-AVERAGE(OFFSET($H$3,0,0,'Données projet'!$E$10+1,1))</f>
        <v>188.36883552879721</v>
      </c>
      <c r="AO16" s="59">
        <f t="shared" si="36"/>
        <v>152.51465338737705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1">
        <f t="shared" si="32"/>
        <v>4.2776644527179633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67">
        <f t="shared" si="1"/>
        <v>285.79859225515048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8.526315789473685</v>
      </c>
      <c r="N17" s="13">
        <f>IF('Données projet'!$A$36&gt;35,N16+M17-V16,IF(A17&lt;'Données projet'!$A$36,$K$205^A17,IF(A17='Données projet'!$A$36,'Données projet'!$B$36,N16+M17-V16)))</f>
        <v>42.468184448710481</v>
      </c>
      <c r="O17" s="13">
        <f>N17*VLOOKUP('Données projet'!$B$9,Paramètres!$A$1:$I$89,3,0)*VLOOKUP('Données projet'!$B$9,Paramètres!$A$1:$I$89,5,0)</f>
        <v>23.739715106829159</v>
      </c>
      <c r="P17" s="13">
        <f t="shared" si="33"/>
        <v>7.5669736064602473</v>
      </c>
      <c r="Q17" s="20">
        <f t="shared" si="2"/>
        <v>54.525816175645708</v>
      </c>
      <c r="R17" s="59">
        <f t="shared" si="0"/>
        <v>328.3035939534235</v>
      </c>
      <c r="S17" s="59">
        <f ca="1">AVERAGE(OFFSET($R$3,0,0,'Données projet'!$E$9+1,1))-AVERAGE(OFFSET($H$3,0,0,'Données projet'!$E$9+1,1))</f>
        <v>382.58588458673051</v>
      </c>
      <c r="T17" s="59">
        <f t="shared" si="34"/>
        <v>485.5120768430603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13.8</v>
      </c>
      <c r="AI17" s="13">
        <f>IF('Données projet'!$A$62&gt;35,AI16+AH17-AQ16,IF(A17&lt;'Données projet'!$A$62,$AF$205^A17,IF(A17='Données projet'!$A$62,'Données projet'!$B$62,AI16+AH17-AQ16)))</f>
        <v>170.20000000000005</v>
      </c>
      <c r="AJ17" s="13">
        <f>AI17*VLOOKUP('Données projet'!$B$10,Paramètres!$A$1:$I$89,3,0)*VLOOKUP('Données projet'!$B$10,Paramètres!$A$1:$I$89,5,0)</f>
        <v>124.79064000000002</v>
      </c>
      <c r="AK17" s="13">
        <f t="shared" si="35"/>
        <v>32.789779085419845</v>
      </c>
      <c r="AL17" s="20">
        <f t="shared" si="4"/>
        <v>274.45256324043959</v>
      </c>
      <c r="AM17" s="59">
        <f t="shared" si="5"/>
        <v>548.23034101821736</v>
      </c>
      <c r="AN17" s="59">
        <f ca="1">AVERAGE(OFFSET($AM$3,0,0,'Données projet'!$E$10+1,1))-AVERAGE(OFFSET($H$3,0,0,'Données projet'!$E$10+1,1))</f>
        <v>188.36883552879721</v>
      </c>
      <c r="AO17" s="59">
        <f t="shared" si="36"/>
        <v>152.51465338737705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1">
        <f t="shared" si="32"/>
        <v>4.5465525901071517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67">
        <f t="shared" si="1"/>
        <v>287.81559576110328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8.526315789473685</v>
      </c>
      <c r="N18" s="13">
        <f>IF('Données projet'!$A$36&gt;35,N17+M18-V17,IF(A18&lt;'Données projet'!$A$36,$K$205^A18,IF(A18='Données projet'!$A$36,'Données projet'!$B$36,N17+M18-V17)))</f>
        <v>55.507792846923991</v>
      </c>
      <c r="O18" s="13">
        <f>N18*VLOOKUP('Données projet'!$B$9,Paramètres!$A$1:$I$89,3,0)*VLOOKUP('Données projet'!$B$9,Paramètres!$A$1:$I$89,5,0)</f>
        <v>31.028856201430514</v>
      </c>
      <c r="P18" s="13">
        <f t="shared" si="33"/>
        <v>9.5868580371693835</v>
      </c>
      <c r="Q18" s="20">
        <f t="shared" si="2"/>
        <v>70.739035632228152</v>
      </c>
      <c r="R18" s="59">
        <f t="shared" si="0"/>
        <v>345.73903563222814</v>
      </c>
      <c r="S18" s="59">
        <f ca="1">AVERAGE(OFFSET($R$3,0,0,'Données projet'!$E$9+1,1))-AVERAGE(OFFSET($H$3,0,0,'Données projet'!$E$9+1,1))</f>
        <v>382.58588458673051</v>
      </c>
      <c r="T18" s="59">
        <f t="shared" si="34"/>
        <v>485.5120768430603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>
        <f>VLOOKUP(A18,'Données projet'!$A$61:$I$81,2,0)</f>
        <v>184</v>
      </c>
      <c r="AG18" s="12">
        <f>VLOOKUP(A18,'Données projet'!$A$61:$I$81,9,0)</f>
        <v>13.8</v>
      </c>
      <c r="AH18" s="12">
        <f t="array" ref="AH18">INDEX(AG:AG,MIN(IF(ISNUMBER(AG18:AG214),ROW(AG18:AG214),"")))</f>
        <v>13.8</v>
      </c>
      <c r="AI18" s="13">
        <f>IF('Données projet'!$A$62&gt;35,AI17+AH18-AQ17,IF(A18&lt;'Données projet'!$A$62,$AF$205^A18,IF(A18='Données projet'!$A$62,'Données projet'!$B$62,AI17+AH18-AQ17)))</f>
        <v>184.00000000000006</v>
      </c>
      <c r="AJ18" s="13">
        <f>AI18*VLOOKUP('Données projet'!$B$10,Paramètres!$A$1:$I$89,3,0)*VLOOKUP('Données projet'!$B$10,Paramètres!$A$1:$I$89,5,0)</f>
        <v>134.90880000000004</v>
      </c>
      <c r="AK18" s="13">
        <f t="shared" si="35"/>
        <v>35.128180500859067</v>
      </c>
      <c r="AL18" s="20">
        <f t="shared" si="4"/>
        <v>296.14774103899623</v>
      </c>
      <c r="AM18" s="59">
        <f t="shared" si="5"/>
        <v>571.14774103899617</v>
      </c>
      <c r="AN18" s="59">
        <f ca="1">AVERAGE(OFFSET($AM$3,0,0,'Données projet'!$E$10+1,1))-AVERAGE(OFFSET($H$3,0,0,'Données projet'!$E$10+1,1))</f>
        <v>188.36883552879721</v>
      </c>
      <c r="AO18" s="59">
        <f t="shared" si="36"/>
        <v>152.51465338737705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1">
        <f t="shared" si="32"/>
        <v>4.81336060460516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67">
        <f t="shared" si="1"/>
        <v>289.82897638635399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8.526315789473685</v>
      </c>
      <c r="N19" s="13">
        <f>IF('Données projet'!$A$36&gt;35,N18+M19-V18,IF(A19&lt;'Données projet'!$A$36,$K$205^A19,IF(A19='Données projet'!$A$36,'Données projet'!$B$36,N18+M19-V18)))</f>
        <v>72.551136968384853</v>
      </c>
      <c r="O19" s="13">
        <f>N19*VLOOKUP('Données projet'!$B$9,Paramètres!$A$1:$I$89,3,0)*VLOOKUP('Données projet'!$B$9,Paramètres!$A$1:$I$89,5,0)</f>
        <v>40.55608556532713</v>
      </c>
      <c r="P19" s="13">
        <f t="shared" si="33"/>
        <v>12.145918805157919</v>
      </c>
      <c r="Q19" s="20">
        <f t="shared" si="2"/>
        <v>91.78932427859479</v>
      </c>
      <c r="R19" s="59">
        <f t="shared" si="0"/>
        <v>368.01154650081702</v>
      </c>
      <c r="S19" s="59">
        <f ca="1">AVERAGE(OFFSET($R$3,0,0,'Données projet'!$E$9+1,1))-AVERAGE(OFFSET($H$3,0,0,'Données projet'!$E$9+1,1))</f>
        <v>382.58588458673051</v>
      </c>
      <c r="T19" s="59">
        <f t="shared" si="34"/>
        <v>485.5120768430603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13.666666666666666</v>
      </c>
      <c r="AI19" s="13">
        <f>IF('Données projet'!$A$62&gt;35,AI18+AH19-AQ18,IF(A19&lt;'Données projet'!$A$62,$AF$205^A19,IF(A19='Données projet'!$A$62,'Données projet'!$B$62,AI18+AH19-AQ18)))</f>
        <v>197.66666666666671</v>
      </c>
      <c r="AJ19" s="13">
        <f>AI19*VLOOKUP('Données projet'!$B$10,Paramètres!$A$1:$I$89,3,0)*VLOOKUP('Données projet'!$B$10,Paramètres!$A$1:$I$89,5,0)</f>
        <v>144.92920000000004</v>
      </c>
      <c r="AK19" s="13">
        <f t="shared" si="35"/>
        <v>37.423931852603523</v>
      </c>
      <c r="AL19" s="20">
        <f t="shared" si="4"/>
        <v>317.59837130995112</v>
      </c>
      <c r="AM19" s="59">
        <f t="shared" si="5"/>
        <v>593.82059353217335</v>
      </c>
      <c r="AN19" s="59">
        <f ca="1">AVERAGE(OFFSET($AM$3,0,0,'Données projet'!$E$10+1,1))-AVERAGE(OFFSET($H$3,0,0,'Données projet'!$E$10+1,1))</f>
        <v>188.36883552879721</v>
      </c>
      <c r="AO19" s="59">
        <f t="shared" si="36"/>
        <v>152.51465338737705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1">
        <f t="shared" si="32"/>
        <v>5.0782333044806931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67">
        <f t="shared" si="1"/>
        <v>291.83898633863726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8.526315789473685</v>
      </c>
      <c r="N20" s="13">
        <f>IF('Données projet'!$A$36&gt;35,N19+M20-V19,IF(A20&lt;'Données projet'!$A$36,$K$205^A20,IF(A20='Données projet'!$A$36,'Données projet'!$B$36,N19+M20-V19)))</f>
        <v>94.827540520682575</v>
      </c>
      <c r="O20" s="13">
        <f>N20*VLOOKUP('Données projet'!$B$9,Paramètres!$A$1:$I$89,3,0)*VLOOKUP('Données projet'!$B$9,Paramètres!$A$1:$I$89,5,0)</f>
        <v>53.008595151061563</v>
      </c>
      <c r="P20" s="13">
        <f t="shared" si="33"/>
        <v>15.388080542084102</v>
      </c>
      <c r="Q20" s="20">
        <f t="shared" si="2"/>
        <v>119.12421016556203</v>
      </c>
      <c r="R20" s="59">
        <f t="shared" si="0"/>
        <v>396.56865461000649</v>
      </c>
      <c r="S20" s="59">
        <f ca="1">AVERAGE(OFFSET($R$3,0,0,'Données projet'!$E$9+1,1))-AVERAGE(OFFSET($H$3,0,0,'Données projet'!$E$9+1,1))</f>
        <v>382.58588458673051</v>
      </c>
      <c r="T20" s="59">
        <f t="shared" si="34"/>
        <v>485.5120768430603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13.666666666666666</v>
      </c>
      <c r="AI20" s="13">
        <f>IF('Données projet'!$A$62&gt;35,AI19+AH20-AQ19,IF(A20&lt;'Données projet'!$A$62,$AF$205^A20,IF(A20='Données projet'!$A$62,'Données projet'!$B$62,AI19+AH20-AQ19)))</f>
        <v>211.33333333333337</v>
      </c>
      <c r="AJ20" s="13">
        <f>AI20*VLOOKUP('Données projet'!$B$10,Paramètres!$A$1:$I$89,3,0)*VLOOKUP('Données projet'!$B$10,Paramètres!$A$1:$I$89,5,0)</f>
        <v>154.94960000000003</v>
      </c>
      <c r="AK20" s="13">
        <f t="shared" si="35"/>
        <v>39.701265909428457</v>
      </c>
      <c r="AL20" s="20">
        <f t="shared" si="4"/>
        <v>339.0169247922546</v>
      </c>
      <c r="AM20" s="59">
        <f t="shared" si="5"/>
        <v>616.46136923669906</v>
      </c>
      <c r="AN20" s="59">
        <f ca="1">AVERAGE(OFFSET($AM$3,0,0,'Données projet'!$E$10+1,1))-AVERAGE(OFFSET($H$3,0,0,'Données projet'!$E$10+1,1))</f>
        <v>188.36883552879721</v>
      </c>
      <c r="AO20" s="59">
        <f t="shared" si="36"/>
        <v>152.51465338737705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1">
        <f t="shared" si="32"/>
        <v>5.3412974993444182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67">
        <f t="shared" si="1"/>
        <v>293.8458464780249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8.526315789473685</v>
      </c>
      <c r="N21" s="13">
        <f>IF('Données projet'!$A$36&gt;35,N20+M21-V20,IF(A21&lt;'Données projet'!$A$36,$K$205^A21,IF(A21='Données projet'!$A$36,'Données projet'!$B$36,N20+M21-V20)))</f>
        <v>123.94378388749713</v>
      </c>
      <c r="O21" s="13">
        <f>N21*VLOOKUP('Données projet'!$B$9,Paramètres!$A$1:$I$89,3,0)*VLOOKUP('Données projet'!$B$9,Paramètres!$A$1:$I$89,5,0)</f>
        <v>69.284575193110896</v>
      </c>
      <c r="P21" s="13">
        <f t="shared" si="33"/>
        <v>19.495686293334202</v>
      </c>
      <c r="Q21" s="20">
        <f t="shared" si="2"/>
        <v>154.62562208889187</v>
      </c>
      <c r="R21" s="59">
        <f t="shared" si="0"/>
        <v>433.29228875555856</v>
      </c>
      <c r="S21" s="59">
        <f ca="1">AVERAGE(OFFSET($R$3,0,0,'Données projet'!$E$9+1,1))-AVERAGE(OFFSET($H$3,0,0,'Données projet'!$E$9+1,1))</f>
        <v>382.58588458673051</v>
      </c>
      <c r="T21" s="59">
        <f t="shared" si="34"/>
        <v>485.5120768430603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>
        <f>VLOOKUP(A21,'Données projet'!$A$61:$I$81,2,0)</f>
        <v>225</v>
      </c>
      <c r="AG21" s="12">
        <f>VLOOKUP(A21,'Données projet'!$A$61:$I$81,9,0)</f>
        <v>13.666666666666666</v>
      </c>
      <c r="AH21" s="12">
        <f t="array" ref="AH21">INDEX(AG:AG,MIN(IF(ISNUMBER(AG21:AG217),ROW(AG21:AG217),"")))</f>
        <v>13.666666666666666</v>
      </c>
      <c r="AI21" s="13">
        <f>IF('Données projet'!$A$62&gt;35,AI20+AH21-AQ20,IF(A21&lt;'Données projet'!$A$62,$AF$205^A21,IF(A21='Données projet'!$A$62,'Données projet'!$B$62,AI20+AH21-AQ20)))</f>
        <v>225.00000000000003</v>
      </c>
      <c r="AJ21" s="13">
        <f>AI21*VLOOKUP('Données projet'!$B$10,Paramètres!$A$1:$I$89,3,0)*VLOOKUP('Données projet'!$B$10,Paramètres!$A$1:$I$89,5,0)</f>
        <v>164.97000000000003</v>
      </c>
      <c r="AK21" s="13">
        <f t="shared" si="35"/>
        <v>41.961509246867301</v>
      </c>
      <c r="AL21" s="20">
        <f t="shared" si="4"/>
        <v>360.40571193829396</v>
      </c>
      <c r="AM21" s="59">
        <f t="shared" si="5"/>
        <v>639.0723786049607</v>
      </c>
      <c r="AN21" s="59">
        <f ca="1">AVERAGE(OFFSET($AM$3,0,0,'Données projet'!$E$10+1,1))-AVERAGE(OFFSET($H$3,0,0,'Données projet'!$E$10+1,1))</f>
        <v>188.36883552879721</v>
      </c>
      <c r="AO21" s="59">
        <f t="shared" si="36"/>
        <v>152.51465338737705</v>
      </c>
      <c r="AP21" s="15">
        <f>IF(ISNA(VLOOKUP(A21,'Données projet'!$A$61:$I$81,3,0)),0,VLOOKUP(A21,'Données projet'!$A$61:$I$81,3,0))</f>
        <v>1</v>
      </c>
      <c r="AQ21" s="15">
        <f>IF(ISNA(VLOOKUP(A21,'Données projet'!$A$61:$I$81,4,0)),0,VLOOKUP(A21,'Données projet'!$A$61:$I$81,4,0))</f>
        <v>94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1">
        <f t="shared" si="32"/>
        <v>5.6026651130643481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67">
        <f t="shared" si="1"/>
        <v>295.84975173858709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>
        <f>VLOOKUP(A22,'Données projet'!$A$35:$I$55,2,0)</f>
        <v>162</v>
      </c>
      <c r="L22" s="12">
        <f>VLOOKUP(A22,'Données projet'!$A$35:$I$55,9,0)</f>
        <v>8.526315789473685</v>
      </c>
      <c r="M22" s="12">
        <f t="array" ref="M22">INDEX(L:L,MIN(IF(ISNUMBER(L22:L218),ROW(L22:L218),"")))</f>
        <v>8.526315789473685</v>
      </c>
      <c r="N22" s="13">
        <f>IF('Données projet'!$A$36&gt;35,N21+M22-V21,IF(A22&lt;'Données projet'!$A$36,$K$205^A22,IF(A22='Données projet'!$A$36,'Données projet'!$B$36,N21+M22-V21)))</f>
        <v>162</v>
      </c>
      <c r="O22" s="13">
        <f>N22*VLOOKUP('Données projet'!$B$9,Paramètres!$A$1:$I$89,3,0)*VLOOKUP('Données projet'!$B$9,Paramètres!$A$1:$I$89,5,0)</f>
        <v>90.557999999999993</v>
      </c>
      <c r="P22" s="13">
        <f t="shared" si="33"/>
        <v>24.699752708509138</v>
      </c>
      <c r="Q22" s="20">
        <f t="shared" si="2"/>
        <v>200.74058596732007</v>
      </c>
      <c r="R22" s="59">
        <f t="shared" si="0"/>
        <v>480.62947485620896</v>
      </c>
      <c r="S22" s="59">
        <f ca="1">AVERAGE(OFFSET($R$3,0,0,'Données projet'!$E$9+1,1))-AVERAGE(OFFSET($H$3,0,0,'Données projet'!$E$9+1,1))</f>
        <v>382.58588458673051</v>
      </c>
      <c r="T22" s="59">
        <f t="shared" si="34"/>
        <v>485.5120768430603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5</v>
      </c>
      <c r="AI22" s="13">
        <f>IF('Données projet'!$A$62&gt;35,AI21+AH22-AQ21,IF(A22&lt;'Données projet'!$A$62,$AF$205^A22,IF(A22='Données projet'!$A$62,'Données projet'!$B$62,AI21+AH22-AQ21)))</f>
        <v>136.00000000000003</v>
      </c>
      <c r="AJ22" s="13">
        <f>AI22*VLOOKUP('Données projet'!$B$10,Paramètres!$A$1:$I$89,3,0)*VLOOKUP('Données projet'!$B$10,Paramètres!$A$1:$I$89,5,0)</f>
        <v>99.71520000000001</v>
      </c>
      <c r="AK22" s="13">
        <f t="shared" si="35"/>
        <v>26.894136617382181</v>
      </c>
      <c r="AL22" s="20">
        <f t="shared" si="4"/>
        <v>220.51126127527394</v>
      </c>
      <c r="AM22" s="59">
        <f t="shared" si="5"/>
        <v>500.40015016416282</v>
      </c>
      <c r="AN22" s="59">
        <f ca="1">AVERAGE(OFFSET($AM$3,0,0,'Données projet'!$E$10+1,1))-AVERAGE(OFFSET($H$3,0,0,'Données projet'!$E$10+1,1))</f>
        <v>188.36883552879721</v>
      </c>
      <c r="AO22" s="59">
        <f t="shared" si="36"/>
        <v>152.51465338737705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1">
        <f t="shared" si="32"/>
        <v>5.862435622634961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67">
        <f t="shared" si="1"/>
        <v>297.85087537608922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28.833333333333332</v>
      </c>
      <c r="N23" s="13">
        <f>IF('Données projet'!$A$36&gt;35,N22+M23-V22,IF(A23&lt;'Données projet'!$A$36,$K$205^A23,IF(A23='Données projet'!$A$36,'Données projet'!$B$36,N22+M23-V22)))</f>
        <v>190.83333333333334</v>
      </c>
      <c r="O23" s="13">
        <f>N23*VLOOKUP('Données projet'!$B$9,Paramètres!$A$1:$I$89,3,0)*VLOOKUP('Données projet'!$B$9,Paramètres!$A$1:$I$89,5,0)</f>
        <v>106.67583333333334</v>
      </c>
      <c r="P23" s="13">
        <f t="shared" si="33"/>
        <v>28.546391754319739</v>
      </c>
      <c r="Q23" s="20">
        <f t="shared" si="2"/>
        <v>235.51204202766243</v>
      </c>
      <c r="R23" s="59">
        <f t="shared" si="0"/>
        <v>516.62315313877355</v>
      </c>
      <c r="S23" s="59">
        <f ca="1">AVERAGE(OFFSET($R$3,0,0,'Données projet'!$E$9+1,1))-AVERAGE(OFFSET($H$3,0,0,'Données projet'!$E$9+1,1))</f>
        <v>382.58588458673051</v>
      </c>
      <c r="T23" s="59">
        <f t="shared" si="34"/>
        <v>485.5120768430603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5</v>
      </c>
      <c r="AI23" s="13">
        <f>IF('Données projet'!$A$62&gt;35,AI22+AH23-AQ22,IF(A23&lt;'Données projet'!$A$62,$AF$205^A23,IF(A23='Données projet'!$A$62,'Données projet'!$B$62,AI22+AH23-AQ22)))</f>
        <v>141.00000000000003</v>
      </c>
      <c r="AJ23" s="13">
        <f>AI23*VLOOKUP('Données projet'!$B$10,Paramètres!$A$1:$I$89,3,0)*VLOOKUP('Données projet'!$B$10,Paramètres!$A$1:$I$89,5,0)</f>
        <v>103.38120000000002</v>
      </c>
      <c r="AK23" s="13">
        <f t="shared" si="35"/>
        <v>27.765956260923325</v>
      </c>
      <c r="AL23" s="20">
        <f t="shared" si="4"/>
        <v>228.41463048777482</v>
      </c>
      <c r="AM23" s="59">
        <f t="shared" si="5"/>
        <v>509.52574159888593</v>
      </c>
      <c r="AN23" s="59">
        <f ca="1">AVERAGE(OFFSET($AM$3,0,0,'Données projet'!$E$10+1,1))-AVERAGE(OFFSET($H$3,0,0,'Données projet'!$E$10+1,1))</f>
        <v>188.36883552879721</v>
      </c>
      <c r="AO23" s="59">
        <f t="shared" si="36"/>
        <v>152.51465338737705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1">
        <f t="shared" si="32"/>
        <v>6.1206979954107776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67">
        <f t="shared" si="1"/>
        <v>299.84937234200714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28.833333333333332</v>
      </c>
      <c r="N24" s="13">
        <f>IF('Données projet'!$A$36&gt;35,N23+M24-V23,IF(A24&lt;'Données projet'!$A$36,$K$205^A24,IF(A24='Données projet'!$A$36,'Données projet'!$B$36,N23+M24-V23)))</f>
        <v>219.66666666666669</v>
      </c>
      <c r="O24" s="13">
        <f>N24*VLOOKUP('Données projet'!$B$9,Paramètres!$A$1:$I$89,3,0)*VLOOKUP('Données projet'!$B$9,Paramètres!$A$1:$I$89,5,0)</f>
        <v>122.79366666666668</v>
      </c>
      <c r="P24" s="13">
        <f t="shared" si="33"/>
        <v>32.32570088253398</v>
      </c>
      <c r="Q24" s="20">
        <f t="shared" si="2"/>
        <v>270.16623181485778</v>
      </c>
      <c r="R24" s="59">
        <f t="shared" si="0"/>
        <v>552.4995651481911</v>
      </c>
      <c r="S24" s="59">
        <f ca="1">AVERAGE(OFFSET($R$3,0,0,'Données projet'!$E$9+1,1))-AVERAGE(OFFSET($H$3,0,0,'Données projet'!$E$9+1,1))</f>
        <v>382.58588458673051</v>
      </c>
      <c r="T24" s="59">
        <f t="shared" si="34"/>
        <v>485.5120768430603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5</v>
      </c>
      <c r="AI24" s="13">
        <f>IF('Données projet'!$A$62&gt;35,AI23+AH24-AQ23,IF(A24&lt;'Données projet'!$A$62,$AF$205^A24,IF(A24='Données projet'!$A$62,'Données projet'!$B$62,AI23+AH24-AQ23)))</f>
        <v>146.00000000000003</v>
      </c>
      <c r="AJ24" s="13">
        <f>AI24*VLOOKUP('Données projet'!$B$10,Paramètres!$A$1:$I$89,3,0)*VLOOKUP('Données projet'!$B$10,Paramètres!$A$1:$I$89,5,0)</f>
        <v>107.0472</v>
      </c>
      <c r="AK24" s="13">
        <f t="shared" si="35"/>
        <v>28.634183951187907</v>
      </c>
      <c r="AL24" s="20">
        <f t="shared" si="4"/>
        <v>236.3117437149856</v>
      </c>
      <c r="AM24" s="59">
        <f t="shared" si="5"/>
        <v>518.64507704831885</v>
      </c>
      <c r="AN24" s="59">
        <f ca="1">AVERAGE(OFFSET($AM$3,0,0,'Données projet'!$E$10+1,1))-AVERAGE(OFFSET($H$3,0,0,'Données projet'!$E$10+1,1))</f>
        <v>188.36883552879721</v>
      </c>
      <c r="AO24" s="59">
        <f t="shared" si="36"/>
        <v>152.51465338737705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1">
        <f t="shared" si="32"/>
        <v>6.3775322468881095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67">
        <f t="shared" si="1"/>
        <v>301.84538199666349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28.833333333333332</v>
      </c>
      <c r="N25" s="13">
        <f>IF('Données projet'!$A$36&gt;35,N24+M25-V24,IF(A25&lt;'Données projet'!$A$36,$K$205^A25,IF(A25='Données projet'!$A$36,'Données projet'!$B$36,N24+M25-V24)))</f>
        <v>248.50000000000003</v>
      </c>
      <c r="O25" s="13">
        <f>N25*VLOOKUP('Données projet'!$B$9,Paramètres!$A$1:$I$89,3,0)*VLOOKUP('Données projet'!$B$9,Paramètres!$A$1:$I$89,5,0)</f>
        <v>138.91150000000002</v>
      </c>
      <c r="P25" s="13">
        <f t="shared" si="33"/>
        <v>36.047532265727178</v>
      </c>
      <c r="Q25" s="20">
        <f t="shared" si="2"/>
        <v>304.72031452947482</v>
      </c>
      <c r="R25" s="59">
        <f t="shared" si="0"/>
        <v>588.27587008503042</v>
      </c>
      <c r="S25" s="59">
        <f ca="1">AVERAGE(OFFSET($R$3,0,0,'Données projet'!$E$9+1,1))-AVERAGE(OFFSET($H$3,0,0,'Données projet'!$E$9+1,1))</f>
        <v>382.58588458673051</v>
      </c>
      <c r="T25" s="59">
        <f t="shared" si="34"/>
        <v>485.5120768430603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>
        <f>VLOOKUP(A25,'Données projet'!$A$61:$I$81,2,0)</f>
        <v>151</v>
      </c>
      <c r="AG25" s="12">
        <f>VLOOKUP(A25,'Données projet'!$A$61:$I$81,9,0)</f>
        <v>5</v>
      </c>
      <c r="AH25" s="12">
        <f t="array" ref="AH25">INDEX(AG:AG,MIN(IF(ISNUMBER(AG25:AG221),ROW(AG25:AG221),"")))</f>
        <v>5</v>
      </c>
      <c r="AI25" s="13">
        <f>IF('Données projet'!$A$62&gt;35,AI24+AH25-AQ24,IF(A25&lt;'Données projet'!$A$62,$AF$205^A25,IF(A25='Données projet'!$A$62,'Données projet'!$B$62,AI24+AH25-AQ24)))</f>
        <v>151.00000000000003</v>
      </c>
      <c r="AJ25" s="13">
        <f>AI25*VLOOKUP('Données projet'!$B$10,Paramètres!$A$1:$I$89,3,0)*VLOOKUP('Données projet'!$B$10,Paramètres!$A$1:$I$89,5,0)</f>
        <v>110.71320000000003</v>
      </c>
      <c r="AK25" s="13">
        <f t="shared" si="35"/>
        <v>29.498956799987518</v>
      </c>
      <c r="AL25" s="20">
        <f t="shared" si="4"/>
        <v>244.20283975997833</v>
      </c>
      <c r="AM25" s="59">
        <f t="shared" si="5"/>
        <v>527.7583953155339</v>
      </c>
      <c r="AN25" s="59">
        <f ca="1">AVERAGE(OFFSET($AM$3,0,0,'Données projet'!$E$10+1,1))-AVERAGE(OFFSET($H$3,0,0,'Données projet'!$E$10+1,1))</f>
        <v>188.36883552879721</v>
      </c>
      <c r="AO25" s="59">
        <f t="shared" si="36"/>
        <v>152.51465338737705</v>
      </c>
      <c r="AP25" s="15">
        <f>IF(ISNA(VLOOKUP(A25,'Données projet'!$A$61:$I$81,3,0)),0,VLOOKUP(A25,'Données projet'!$A$61:$I$81,3,0))</f>
        <v>2</v>
      </c>
      <c r="AQ25" s="15">
        <f>IF(ISNA(VLOOKUP(A25,'Données projet'!$A$61:$I$81,4,0)),0,VLOOKUP(A25,'Données projet'!$A$61:$I$81,4,0))</f>
        <v>54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1">
        <f t="shared" si="32"/>
        <v>6.6330107072474558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67">
        <f t="shared" si="1"/>
        <v>303.83903031512267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28.833333333333332</v>
      </c>
      <c r="N26" s="13">
        <f>IF('Données projet'!$A$36&gt;35,N25+M26-V25,IF(A26&lt;'Données projet'!$A$36,$K$205^A26,IF(A26='Données projet'!$A$36,'Données projet'!$B$36,N25+M26-V25)))</f>
        <v>277.33333333333337</v>
      </c>
      <c r="O26" s="13">
        <f>N26*VLOOKUP('Données projet'!$B$9,Paramètres!$A$1:$I$89,3,0)*VLOOKUP('Données projet'!$B$9,Paramètres!$A$1:$I$89,5,0)</f>
        <v>155.02933333333334</v>
      </c>
      <c r="P26" s="13">
        <f t="shared" si="33"/>
        <v>39.719316712120367</v>
      </c>
      <c r="Q26" s="20">
        <f t="shared" si="2"/>
        <v>339.1872321624985</v>
      </c>
      <c r="R26" s="59">
        <f t="shared" si="0"/>
        <v>623.96500994027633</v>
      </c>
      <c r="S26" s="59">
        <f ca="1">AVERAGE(OFFSET($R$3,0,0,'Données projet'!$E$9+1,1))-AVERAGE(OFFSET($H$3,0,0,'Données projet'!$E$9+1,1))</f>
        <v>382.58588458673051</v>
      </c>
      <c r="T26" s="59">
        <f t="shared" si="34"/>
        <v>485.5120768430603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6.6</v>
      </c>
      <c r="AI26" s="13">
        <f>IF('Données projet'!$A$62&gt;35,AI25+AH26-AQ25,IF(A26&lt;'Données projet'!$A$62,$AF$205^A26,IF(A26='Données projet'!$A$62,'Données projet'!$B$62,AI25+AH26-AQ25)))</f>
        <v>103.60000000000002</v>
      </c>
      <c r="AJ26" s="13">
        <f>AI26*VLOOKUP('Données projet'!$B$10,Paramètres!$A$1:$I$89,3,0)*VLOOKUP('Données projet'!$B$10,Paramètres!$A$1:$I$89,5,0)</f>
        <v>75.959520000000012</v>
      </c>
      <c r="AK26" s="13">
        <f t="shared" si="35"/>
        <v>21.146305742114752</v>
      </c>
      <c r="AL26" s="20">
        <f t="shared" si="4"/>
        <v>169.1259798341832</v>
      </c>
      <c r="AM26" s="59">
        <f t="shared" si="5"/>
        <v>453.90375761196094</v>
      </c>
      <c r="AN26" s="59">
        <f ca="1">AVERAGE(OFFSET($AM$3,0,0,'Données projet'!$E$10+1,1))-AVERAGE(OFFSET($H$3,0,0,'Données projet'!$E$10+1,1))</f>
        <v>188.36883552879721</v>
      </c>
      <c r="AO26" s="59">
        <f t="shared" si="36"/>
        <v>152.51465338737705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1">
        <f t="shared" si="32"/>
        <v>6.8871990614123195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67">
        <f t="shared" si="1"/>
        <v>305.83043169862646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28.833333333333332</v>
      </c>
      <c r="N27" s="13">
        <f>IF('Données projet'!$A$36&gt;35,N26+M27-V26,IF(A27&lt;'Données projet'!$A$36,$K$205^A27,IF(A27='Données projet'!$A$36,'Données projet'!$B$36,N26+M27-V26)))</f>
        <v>306.16666666666669</v>
      </c>
      <c r="O27" s="13">
        <f>N27*VLOOKUP('Données projet'!$B$9,Paramètres!$A$1:$I$89,3,0)*VLOOKUP('Données projet'!$B$9,Paramètres!$A$1:$I$89,5,0)</f>
        <v>171.14716666666669</v>
      </c>
      <c r="P27" s="13">
        <f t="shared" si="33"/>
        <v>43.346850105371793</v>
      </c>
      <c r="Q27" s="20">
        <f t="shared" si="2"/>
        <v>373.57707921130037</v>
      </c>
      <c r="R27" s="59">
        <f t="shared" si="0"/>
        <v>659.57707921130032</v>
      </c>
      <c r="S27" s="59">
        <f ca="1">AVERAGE(OFFSET($R$3,0,0,'Données projet'!$E$9+1,1))-AVERAGE(OFFSET($H$3,0,0,'Données projet'!$E$9+1,1))</f>
        <v>382.58588458673051</v>
      </c>
      <c r="T27" s="59">
        <f t="shared" si="34"/>
        <v>485.5120768430603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6.6</v>
      </c>
      <c r="AI27" s="13">
        <f>IF('Données projet'!$A$62&gt;35,AI26+AH27-AQ26,IF(A27&lt;'Données projet'!$A$62,$AF$205^A27,IF(A27='Données projet'!$A$62,'Données projet'!$B$62,AI26+AH27-AQ26)))</f>
        <v>110.20000000000002</v>
      </c>
      <c r="AJ27" s="13">
        <f>AI27*VLOOKUP('Données projet'!$B$10,Paramètres!$A$1:$I$89,3,0)*VLOOKUP('Données projet'!$B$10,Paramètres!$A$1:$I$89,5,0)</f>
        <v>80.798640000000006</v>
      </c>
      <c r="AK27" s="13">
        <f t="shared" si="35"/>
        <v>22.332342724937131</v>
      </c>
      <c r="AL27" s="20">
        <f t="shared" si="4"/>
        <v>179.61979491259885</v>
      </c>
      <c r="AM27" s="59">
        <f t="shared" si="5"/>
        <v>465.61979491259888</v>
      </c>
      <c r="AN27" s="59">
        <f ca="1">AVERAGE(OFFSET($AM$3,0,0,'Données projet'!$E$10+1,1))-AVERAGE(OFFSET($H$3,0,0,'Données projet'!$E$10+1,1))</f>
        <v>188.36883552879721</v>
      </c>
      <c r="AO27" s="59">
        <f t="shared" si="36"/>
        <v>152.51465338737705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1">
        <f t="shared" si="32"/>
        <v>7.140157210880437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67">
        <f t="shared" si="1"/>
        <v>307.81969047561677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335</v>
      </c>
      <c r="L28" s="12">
        <f>VLOOKUP(A28,'Données projet'!$A$35:$I$55,9,0)</f>
        <v>28.833333333333332</v>
      </c>
      <c r="M28" s="12">
        <f t="array" ref="M28">INDEX(L:L,MIN(IF(ISNUMBER(L28:L224),ROW(L28:L224),"")))</f>
        <v>28.833333333333332</v>
      </c>
      <c r="N28" s="13">
        <f>IF('Données projet'!$A$36&gt;35,N27+M28-V27,IF(A28&lt;'Données projet'!$A$36,$K$205^A28,IF(A28='Données projet'!$A$36,'Données projet'!$B$36,N27+M28-V27)))</f>
        <v>335</v>
      </c>
      <c r="O28" s="13">
        <f>N28*VLOOKUP('Données projet'!$B$9,Paramètres!$A$1:$I$89,3,0)*VLOOKUP('Données projet'!$B$9,Paramètres!$A$1:$I$89,5,0)</f>
        <v>187.26500000000001</v>
      </c>
      <c r="P28" s="13">
        <f t="shared" si="33"/>
        <v>46.934773872544483</v>
      </c>
      <c r="Q28" s="20">
        <f t="shared" si="2"/>
        <v>407.89793949468162</v>
      </c>
      <c r="R28" s="59">
        <f t="shared" si="0"/>
        <v>695.12016171690379</v>
      </c>
      <c r="S28" s="59">
        <f ca="1">AVERAGE(OFFSET($R$3,0,0,'Données projet'!$E$9+1,1))-AVERAGE(OFFSET($H$3,0,0,'Données projet'!$E$9+1,1))</f>
        <v>382.58588458673051</v>
      </c>
      <c r="T28" s="59">
        <f t="shared" si="34"/>
        <v>485.5120768430603</v>
      </c>
      <c r="U28" s="15">
        <f>IF(ISNA(VLOOKUP(A28,'Données projet'!$A$35:$I$55,3,0)),0,VLOOKUP(A28,'Données projet'!$A$35:$I$55,3,0))</f>
        <v>1</v>
      </c>
      <c r="V28" s="15">
        <f>IF(ISNA(VLOOKUP(A28,'Données projet'!$A$35:$I$55,4,0)),0,VLOOKUP(A28,'Données projet'!$A$35:$I$55,4,0))</f>
        <v>54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1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34.177564133133899</v>
      </c>
      <c r="AC28" s="22">
        <f t="shared" si="3"/>
        <v>34.177564133133899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6.6</v>
      </c>
      <c r="AI28" s="13">
        <f>IF('Données projet'!$A$62&gt;35,AI27+AH28-AQ27,IF(A28&lt;'Données projet'!$A$62,$AF$205^A28,IF(A28='Données projet'!$A$62,'Données projet'!$B$62,AI27+AH28-AQ27)))</f>
        <v>116.80000000000001</v>
      </c>
      <c r="AJ28" s="13">
        <f>AI28*VLOOKUP('Données projet'!$B$10,Paramètres!$A$1:$I$89,3,0)*VLOOKUP('Données projet'!$B$10,Paramètres!$A$1:$I$89,5,0)</f>
        <v>85.63776</v>
      </c>
      <c r="AK28" s="13">
        <f t="shared" si="35"/>
        <v>23.510135010014299</v>
      </c>
      <c r="AL28" s="20">
        <f t="shared" si="4"/>
        <v>190.09925047577488</v>
      </c>
      <c r="AM28" s="59">
        <f t="shared" si="5"/>
        <v>477.32147269799714</v>
      </c>
      <c r="AN28" s="59">
        <f ca="1">AVERAGE(OFFSET($AM$3,0,0,'Données projet'!$E$10+1,1))-AVERAGE(OFFSET($H$3,0,0,'Données projet'!$E$10+1,1))</f>
        <v>188.36883552879721</v>
      </c>
      <c r="AO28" s="59">
        <f t="shared" si="36"/>
        <v>152.51465338737705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1">
        <f t="shared" si="32"/>
        <v>7.3919399937804329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67">
        <f t="shared" si="1"/>
        <v>309.80690215583428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28</v>
      </c>
      <c r="N29" s="13">
        <f>IF('Données projet'!$A$36&gt;35,N28+M29-V28,IF(A29&lt;'Données projet'!$A$36,$K$205^A29,IF(A29='Données projet'!$A$36,'Données projet'!$B$36,N28+M29-V28)))</f>
        <v>309</v>
      </c>
      <c r="O29" s="13">
        <f>N29*VLOOKUP('Données projet'!$B$9,Paramètres!$A$1:$I$89,3,0)*VLOOKUP('Données projet'!$B$9,Paramètres!$A$1:$I$89,5,0)</f>
        <v>172.73100000000002</v>
      </c>
      <c r="P29" s="13">
        <f t="shared" si="33"/>
        <v>43.701108252019125</v>
      </c>
      <c r="Q29" s="20">
        <f t="shared" si="2"/>
        <v>376.9525885389333</v>
      </c>
      <c r="R29" s="59">
        <f t="shared" si="0"/>
        <v>665.39703298337781</v>
      </c>
      <c r="S29" s="59">
        <f ca="1">AVERAGE(OFFSET($R$3,0,0,'Données projet'!$E$9+1,1))-AVERAGE(OFFSET($H$3,0,0,'Données projet'!$E$9+1,1))</f>
        <v>382.58588458673051</v>
      </c>
      <c r="T29" s="59">
        <f t="shared" si="34"/>
        <v>485.5120768430603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24.16718736297711</v>
      </c>
      <c r="AC29" s="22">
        <f t="shared" si="3"/>
        <v>24.16718736297711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6.6</v>
      </c>
      <c r="AI29" s="13">
        <f>IF('Données projet'!$A$62&gt;35,AI28+AH29-AQ28,IF(A29&lt;'Données projet'!$A$62,$AF$205^A29,IF(A29='Données projet'!$A$62,'Données projet'!$B$62,AI28+AH29-AQ28)))</f>
        <v>123.4</v>
      </c>
      <c r="AJ29" s="13">
        <f>AI29*VLOOKUP('Données projet'!$B$10,Paramètres!$A$1:$I$89,3,0)*VLOOKUP('Données projet'!$B$10,Paramètres!$A$1:$I$89,5,0)</f>
        <v>90.476879999999994</v>
      </c>
      <c r="AK29" s="13">
        <f t="shared" si="35"/>
        <v>24.680201568735427</v>
      </c>
      <c r="AL29" s="20">
        <f t="shared" si="4"/>
        <v>200.56525039888083</v>
      </c>
      <c r="AM29" s="59">
        <f t="shared" si="5"/>
        <v>489.00969484332529</v>
      </c>
      <c r="AN29" s="59">
        <f ca="1">AVERAGE(OFFSET($AM$3,0,0,'Données projet'!$E$10+1,1))-AVERAGE(OFFSET($H$3,0,0,'Données projet'!$E$10+1,1))</f>
        <v>188.36883552879721</v>
      </c>
      <c r="AO29" s="59">
        <f t="shared" si="36"/>
        <v>152.51465338737705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1">
        <f t="shared" si="32"/>
        <v>7.6425977910346958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67">
        <f t="shared" si="1"/>
        <v>311.79215448605208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28</v>
      </c>
      <c r="N30" s="13">
        <f>IF('Données projet'!$A$36&gt;35,N29+M30-V29,IF(A30&lt;'Données projet'!$A$36,$K$205^A30,IF(A30='Données projet'!$A$36,'Données projet'!$B$36,N29+M30-V29)))</f>
        <v>337</v>
      </c>
      <c r="O30" s="13">
        <f>N30*VLOOKUP('Données projet'!$B$9,Paramètres!$A$1:$I$89,3,0)*VLOOKUP('Données projet'!$B$9,Paramètres!$A$1:$I$89,5,0)</f>
        <v>188.38300000000001</v>
      </c>
      <c r="P30" s="13">
        <f t="shared" si="33"/>
        <v>47.182279474248382</v>
      </c>
      <c r="Q30" s="20">
        <f t="shared" si="2"/>
        <v>410.27619508431599</v>
      </c>
      <c r="R30" s="59">
        <f t="shared" si="0"/>
        <v>699.94286175098273</v>
      </c>
      <c r="S30" s="59">
        <f ca="1">AVERAGE(OFFSET($R$3,0,0,'Données projet'!$E$9+1,1))-AVERAGE(OFFSET($H$3,0,0,'Données projet'!$E$9+1,1))</f>
        <v>382.58588458673051</v>
      </c>
      <c r="T30" s="59">
        <f t="shared" si="34"/>
        <v>485.5120768430603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17.088782066566953</v>
      </c>
      <c r="AC30" s="22">
        <f t="shared" si="3"/>
        <v>17.088782066566953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>
        <f>VLOOKUP(A30,'Données projet'!$A$61:$I$81,2,0)</f>
        <v>130</v>
      </c>
      <c r="AG30" s="12">
        <f>VLOOKUP(A30,'Données projet'!$A$61:$I$81,9,0)</f>
        <v>6.6</v>
      </c>
      <c r="AH30" s="12">
        <f t="array" ref="AH30">INDEX(AG:AG,MIN(IF(ISNUMBER(AG30:AG226),ROW(AG30:AG226),"")))</f>
        <v>6.6</v>
      </c>
      <c r="AI30" s="13">
        <f>IF('Données projet'!$A$62&gt;35,AI29+AH30-AQ29,IF(A30&lt;'Données projet'!$A$62,$AF$205^A30,IF(A30='Données projet'!$A$62,'Données projet'!$B$62,AI29+AH30-AQ29)))</f>
        <v>130</v>
      </c>
      <c r="AJ30" s="13">
        <f>AI30*VLOOKUP('Données projet'!$B$10,Paramètres!$A$1:$I$89,3,0)*VLOOKUP('Données projet'!$B$10,Paramètres!$A$1:$I$89,5,0)</f>
        <v>95.315999999999988</v>
      </c>
      <c r="AK30" s="13">
        <f t="shared" si="35"/>
        <v>25.843002723192381</v>
      </c>
      <c r="AL30" s="20">
        <f t="shared" si="4"/>
        <v>211.01859640956005</v>
      </c>
      <c r="AM30" s="59">
        <f t="shared" si="5"/>
        <v>500.68526307622676</v>
      </c>
      <c r="AN30" s="59">
        <f ca="1">AVERAGE(OFFSET($AM$3,0,0,'Données projet'!$E$10+1,1))-AVERAGE(OFFSET($H$3,0,0,'Données projet'!$E$10+1,1))</f>
        <v>188.36883552879721</v>
      </c>
      <c r="AO30" s="59">
        <f t="shared" si="36"/>
        <v>152.51465338737705</v>
      </c>
      <c r="AP30" s="15">
        <f>IF(ISNA(VLOOKUP(A30,'Données projet'!$A$61:$I$81,3,0)),0,VLOOKUP(A30,'Données projet'!$A$61:$I$81,3,0))</f>
        <v>3</v>
      </c>
      <c r="AQ30" s="15">
        <f>IF(ISNA(VLOOKUP(A30,'Données projet'!$A$61:$I$81,4,0)),0,VLOOKUP(A30,'Données projet'!$A$61:$I$81,4,0))</f>
        <v>38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1">
        <f t="shared" si="32"/>
        <v>7.8921770401958202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67">
        <f t="shared" si="1"/>
        <v>313.77552834500773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28</v>
      </c>
      <c r="N31" s="13">
        <f>IF('Données projet'!$A$36&gt;35,N30+M31-V30,IF(A31&lt;'Données projet'!$A$36,$K$205^A31,IF(A31='Données projet'!$A$36,'Données projet'!$B$36,N30+M31-V30)))</f>
        <v>365</v>
      </c>
      <c r="O31" s="13">
        <f>N31*VLOOKUP('Données projet'!$B$9,Paramètres!$A$1:$I$89,3,0)*VLOOKUP('Données projet'!$B$9,Paramètres!$A$1:$I$89,5,0)</f>
        <v>204.035</v>
      </c>
      <c r="P31" s="13">
        <f t="shared" si="33"/>
        <v>50.629905099971396</v>
      </c>
      <c r="Q31" s="20">
        <f t="shared" si="2"/>
        <v>443.54137638245015</v>
      </c>
      <c r="R31" s="59">
        <f t="shared" si="0"/>
        <v>734.43026527133907</v>
      </c>
      <c r="S31" s="59">
        <f ca="1">AVERAGE(OFFSET($R$3,0,0,'Données projet'!$E$9+1,1))-AVERAGE(OFFSET($H$3,0,0,'Données projet'!$E$9+1,1))</f>
        <v>382.58588458673051</v>
      </c>
      <c r="T31" s="59">
        <f t="shared" si="34"/>
        <v>485.5120768430603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12.083593681488557</v>
      </c>
      <c r="AC31" s="22">
        <f t="shared" si="3"/>
        <v>12.083593681488557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5.5</v>
      </c>
      <c r="AI31" s="13">
        <f>IF('Données projet'!$A$62&gt;35,AI30+AH31-AQ30,IF(A31&lt;'Données projet'!$A$62,$AF$205^A31,IF(A31='Données projet'!$A$62,'Données projet'!$B$62,AI30+AH31-AQ30)))</f>
        <v>97.5</v>
      </c>
      <c r="AJ31" s="13">
        <f>AI31*VLOOKUP('Données projet'!$B$10,Paramètres!$A$1:$I$89,3,0)*VLOOKUP('Données projet'!$B$10,Paramètres!$A$1:$I$89,5,0)</f>
        <v>71.486999999999995</v>
      </c>
      <c r="AK31" s="13">
        <f t="shared" si="35"/>
        <v>20.042279102156858</v>
      </c>
      <c r="AL31" s="20">
        <f t="shared" si="4"/>
        <v>159.41349443625651</v>
      </c>
      <c r="AM31" s="59">
        <f t="shared" si="5"/>
        <v>450.30238332514534</v>
      </c>
      <c r="AN31" s="59">
        <f ca="1">AVERAGE(OFFSET($AM$3,0,0,'Données projet'!$E$10+1,1))-AVERAGE(OFFSET($H$3,0,0,'Données projet'!$E$10+1,1))</f>
        <v>188.36883552879721</v>
      </c>
      <c r="AO31" s="59">
        <f t="shared" si="36"/>
        <v>152.51465338737705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1">
        <f t="shared" si="32"/>
        <v>8.1407206738151334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67">
        <f t="shared" si="1"/>
        <v>315.75709850689469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28</v>
      </c>
      <c r="N32" s="13">
        <f>IF('Données projet'!$A$36&gt;35,N31+M32-V31,IF(A32&lt;'Données projet'!$A$36,$K$205^A32,IF(A32='Données projet'!$A$36,'Données projet'!$B$36,N31+M32-V31)))</f>
        <v>393</v>
      </c>
      <c r="O32" s="13">
        <f>N32*VLOOKUP('Données projet'!$B$9,Paramètres!$A$1:$I$89,3,0)*VLOOKUP('Données projet'!$B$9,Paramètres!$A$1:$I$89,5,0)</f>
        <v>219.68700000000001</v>
      </c>
      <c r="P32" s="13">
        <f t="shared" si="33"/>
        <v>54.046851081096591</v>
      </c>
      <c r="Q32" s="20">
        <f t="shared" si="2"/>
        <v>476.75312396624321</v>
      </c>
      <c r="R32" s="59">
        <f t="shared" si="0"/>
        <v>768.86423507735435</v>
      </c>
      <c r="S32" s="59">
        <f ca="1">AVERAGE(OFFSET($R$3,0,0,'Données projet'!$E$9+1,1))-AVERAGE(OFFSET($H$3,0,0,'Données projet'!$E$9+1,1))</f>
        <v>382.58588458673051</v>
      </c>
      <c r="T32" s="59">
        <f t="shared" si="34"/>
        <v>485.5120768430603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8.5443910332834783</v>
      </c>
      <c r="AC32" s="22">
        <f t="shared" si="3"/>
        <v>8.5443910332834783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5.5</v>
      </c>
      <c r="AI32" s="13">
        <f>IF('Données projet'!$A$62&gt;35,AI31+AH32-AQ31,IF(A32&lt;'Données projet'!$A$62,$AF$205^A32,IF(A32='Données projet'!$A$62,'Données projet'!$B$62,AI31+AH32-AQ31)))</f>
        <v>103</v>
      </c>
      <c r="AJ32" s="13">
        <f>AI32*VLOOKUP('Données projet'!$B$10,Paramètres!$A$1:$I$89,3,0)*VLOOKUP('Données projet'!$B$10,Paramètres!$A$1:$I$89,5,0)</f>
        <v>75.519599999999997</v>
      </c>
      <c r="AK32" s="13">
        <f t="shared" si="35"/>
        <v>21.03805562204553</v>
      </c>
      <c r="AL32" s="20">
        <f t="shared" si="4"/>
        <v>168.17125020839597</v>
      </c>
      <c r="AM32" s="59">
        <f t="shared" si="5"/>
        <v>460.28236131950712</v>
      </c>
      <c r="AN32" s="59">
        <f ca="1">AVERAGE(OFFSET($AM$3,0,0,'Données projet'!$E$10+1,1))-AVERAGE(OFFSET($H$3,0,0,'Données projet'!$E$10+1,1))</f>
        <v>188.36883552879721</v>
      </c>
      <c r="AO32" s="59">
        <f t="shared" si="36"/>
        <v>152.51465338737705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1">
        <f t="shared" si="32"/>
        <v>8.388268495647786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67">
        <f t="shared" si="1"/>
        <v>317.73693429658658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421</v>
      </c>
      <c r="L33" s="12">
        <f>VLOOKUP(A33,'Données projet'!$A$35:$I$55,9,0)</f>
        <v>28</v>
      </c>
      <c r="M33" s="12">
        <f t="array" ref="M33">INDEX(L:L,MIN(IF(ISNUMBER(L33:L229),ROW(L33:L229),"")))</f>
        <v>28</v>
      </c>
      <c r="N33" s="13">
        <f>IF('Données projet'!$A$36&gt;35,N32+M33-V32,IF(A33&lt;'Données projet'!$A$36,$K$205^A33,IF(A33='Données projet'!$A$36,'Données projet'!$B$36,N32+M33-V32)))</f>
        <v>421</v>
      </c>
      <c r="O33" s="13">
        <f>N33*VLOOKUP('Données projet'!$B$9,Paramètres!$A$1:$I$89,3,0)*VLOOKUP('Données projet'!$B$9,Paramètres!$A$1:$I$89,5,0)</f>
        <v>235.339</v>
      </c>
      <c r="P33" s="13">
        <f t="shared" si="33"/>
        <v>57.43555185051494</v>
      </c>
      <c r="Q33" s="20">
        <f t="shared" si="2"/>
        <v>509.91567780631357</v>
      </c>
      <c r="R33" s="59">
        <f t="shared" si="0"/>
        <v>803.24901113964688</v>
      </c>
      <c r="S33" s="59">
        <f ca="1">AVERAGE(OFFSET($R$3,0,0,'Données projet'!$E$9+1,1))-AVERAGE(OFFSET($H$3,0,0,'Données projet'!$E$9+1,1))</f>
        <v>382.58588458673051</v>
      </c>
      <c r="T33" s="59">
        <f t="shared" si="34"/>
        <v>485.5120768430603</v>
      </c>
      <c r="U33" s="15">
        <f>IF(ISNA(VLOOKUP(A33,'Données projet'!$A$35:$I$55,3,0)),0,VLOOKUP(A33,'Données projet'!$A$35:$I$55,3,0))</f>
        <v>2</v>
      </c>
      <c r="V33" s="15">
        <f>IF(ISNA(VLOOKUP(A33,'Données projet'!$A$35:$I$55,4,0)),0,VLOOKUP(A33,'Données projet'!$A$35:$I$55,4,0))</f>
        <v>54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0.55000000000000004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21.937304095826462</v>
      </c>
      <c r="AB33" s="21">
        <f>EXP(-LN(2)/2)*AB32+(1-EXP(-LN(2)/2))/(LN(2)/2)*V33*Y33*VLOOKUP('Données projet'!$B$9,Paramètres!$A$1:$I$89,3,0)*0.475*44/12</f>
        <v>6.0417968407442793</v>
      </c>
      <c r="AC33" s="22">
        <f t="shared" si="3"/>
        <v>27.979100936570742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5.5</v>
      </c>
      <c r="AI33" s="13">
        <f>IF('Données projet'!$A$62&gt;35,AI32+AH33-AQ32,IF(A33&lt;'Données projet'!$A$62,$AF$205^A33,IF(A33='Données projet'!$A$62,'Données projet'!$B$62,AI32+AH33-AQ32)))</f>
        <v>108.5</v>
      </c>
      <c r="AJ33" s="13">
        <f>AI33*VLOOKUP('Données projet'!$B$10,Paramètres!$A$1:$I$89,3,0)*VLOOKUP('Données projet'!$B$10,Paramètres!$A$1:$I$89,5,0)</f>
        <v>79.552199999999999</v>
      </c>
      <c r="AK33" s="13">
        <f t="shared" si="35"/>
        <v>22.027658957299707</v>
      </c>
      <c r="AL33" s="20">
        <f t="shared" si="4"/>
        <v>176.91825435063029</v>
      </c>
      <c r="AM33" s="59">
        <f t="shared" si="5"/>
        <v>470.25158768396363</v>
      </c>
      <c r="AN33" s="59">
        <f ca="1">AVERAGE(OFFSET($AM$3,0,0,'Données projet'!$E$10+1,1))-AVERAGE(OFFSET($H$3,0,0,'Données projet'!$E$10+1,1))</f>
        <v>188.36883552879721</v>
      </c>
      <c r="AO33" s="59">
        <f t="shared" si="36"/>
        <v>152.51465338737705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1">
        <f t="shared" si="32"/>
        <v>8.6348575052881742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67">
        <f t="shared" si="1"/>
        <v>319.71510015504356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27.6</v>
      </c>
      <c r="N34" s="13">
        <f>IF('Données projet'!$A$36&gt;35,N33+M34-V33,IF(A34&lt;'Données projet'!$A$36,$K$205^A34,IF(A34='Données projet'!$A$36,'Données projet'!$B$36,N33+M34-V33)))</f>
        <v>394.6</v>
      </c>
      <c r="O34" s="13">
        <f>N34*VLOOKUP('Données projet'!$B$9,Paramètres!$A$1:$I$89,3,0)*VLOOKUP('Données projet'!$B$9,Paramètres!$A$1:$I$89,5,0)</f>
        <v>220.5814</v>
      </c>
      <c r="P34" s="13">
        <f t="shared" si="33"/>
        <v>54.241230721401301</v>
      </c>
      <c r="Q34" s="20">
        <f t="shared" si="2"/>
        <v>478.64941517310723</v>
      </c>
      <c r="R34" s="59">
        <f t="shared" si="0"/>
        <v>771.98274850644054</v>
      </c>
      <c r="S34" s="59">
        <f ca="1">AVERAGE(OFFSET($R$3,0,0,'Données projet'!$E$9+1,1))-AVERAGE(OFFSET($H$3,0,0,'Données projet'!$E$9+1,1))</f>
        <v>382.58588458673051</v>
      </c>
      <c r="T34" s="59">
        <f t="shared" si="34"/>
        <v>485.5120768430603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21.337427361693404</v>
      </c>
      <c r="AB34" s="21">
        <f>EXP(-LN(2)/2)*AB33+(1-EXP(-LN(2)/2))/(LN(2)/2)*V34*Y34*VLOOKUP('Données projet'!$B$9,Paramètres!$A$1:$I$89,3,0)*0.475*44/12</f>
        <v>4.2721955166417391</v>
      </c>
      <c r="AC34" s="22">
        <f t="shared" si="3"/>
        <v>25.609622878335145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5.5</v>
      </c>
      <c r="AI34" s="13">
        <f>IF('Données projet'!$A$62&gt;35,AI33+AH34-AQ33,IF(A34&lt;'Données projet'!$A$62,$AF$205^A34,IF(A34='Données projet'!$A$62,'Données projet'!$B$62,AI33+AH34-AQ33)))</f>
        <v>114</v>
      </c>
      <c r="AJ34" s="13">
        <f>AI34*VLOOKUP('Données projet'!$B$10,Paramètres!$A$1:$I$89,3,0)*VLOOKUP('Données projet'!$B$10,Paramètres!$A$1:$I$89,5,0)</f>
        <v>83.584800000000001</v>
      </c>
      <c r="AK34" s="13">
        <f t="shared" si="35"/>
        <v>23.011437736237617</v>
      </c>
      <c r="AL34" s="20">
        <f t="shared" si="4"/>
        <v>185.65511405728049</v>
      </c>
      <c r="AM34" s="59">
        <f t="shared" si="5"/>
        <v>478.98844739061383</v>
      </c>
      <c r="AN34" s="59">
        <f ca="1">AVERAGE(OFFSET($AM$3,0,0,'Données projet'!$E$10+1,1))-AVERAGE(OFFSET($H$3,0,0,'Données projet'!$E$10+1,1))</f>
        <v>188.36883552879721</v>
      </c>
      <c r="AO34" s="59">
        <f t="shared" si="36"/>
        <v>152.51465338737705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1">
        <f t="shared" si="32"/>
        <v>8.8805221797401579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67">
        <f t="shared" si="1"/>
        <v>321.69165612971409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27.6</v>
      </c>
      <c r="N35" s="13">
        <f>IF('Données projet'!$A$36&gt;35,N34+M35-V34,IF(A35&lt;'Données projet'!$A$36,$K$205^A35,IF(A35='Données projet'!$A$36,'Données projet'!$B$36,N34+M35-V34)))</f>
        <v>422.20000000000005</v>
      </c>
      <c r="O35" s="13">
        <f>N35*VLOOKUP('Données projet'!$B$9,Paramètres!$A$1:$I$89,3,0)*VLOOKUP('Données projet'!$B$9,Paramètres!$A$1:$I$89,5,0)</f>
        <v>236.00980000000004</v>
      </c>
      <c r="P35" s="13">
        <f t="shared" si="33"/>
        <v>57.580183613654185</v>
      </c>
      <c r="Q35" s="20">
        <f t="shared" ref="Q35:Q66" si="53">(O35+P35)*0.475*44/12</f>
        <v>511.3358881271144</v>
      </c>
      <c r="R35" s="59">
        <f t="shared" si="0"/>
        <v>804.66922146044772</v>
      </c>
      <c r="S35" s="59">
        <f ca="1">AVERAGE(OFFSET($R$3,0,0,'Données projet'!$E$9+1,1))-AVERAGE(OFFSET($H$3,0,0,'Données projet'!$E$9+1,1))</f>
        <v>382.58588458673051</v>
      </c>
      <c r="T35" s="59">
        <f t="shared" si="34"/>
        <v>485.5120768430603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20.75395428840136</v>
      </c>
      <c r="AB35" s="21">
        <f>EXP(-LN(2)/2)*AB34+(1-EXP(-LN(2)/2))/(LN(2)/2)*V35*Y35*VLOOKUP('Données projet'!$B$9,Paramètres!$A$1:$I$89,3,0)*0.475*44/12</f>
        <v>3.0208984203721396</v>
      </c>
      <c r="AC35" s="22">
        <f t="shared" si="3"/>
        <v>23.774852708773501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5.5</v>
      </c>
      <c r="AI35" s="13">
        <f>IF('Données projet'!$A$62&gt;35,AI34+AH35-AQ34,IF(A35&lt;'Données projet'!$A$62,$AF$205^A35,IF(A35='Données projet'!$A$62,'Données projet'!$B$62,AI34+AH35-AQ34)))</f>
        <v>119.5</v>
      </c>
      <c r="AJ35" s="13">
        <f>AI35*VLOOKUP('Données projet'!$B$10,Paramètres!$A$1:$I$89,3,0)*VLOOKUP('Données projet'!$B$10,Paramètres!$A$1:$I$89,5,0)</f>
        <v>87.617400000000004</v>
      </c>
      <c r="AK35" s="13">
        <f t="shared" si="35"/>
        <v>23.989705046942845</v>
      </c>
      <c r="AL35" s="20">
        <f t="shared" si="4"/>
        <v>194.38237462342545</v>
      </c>
      <c r="AM35" s="59">
        <f t="shared" si="5"/>
        <v>487.71570795675876</v>
      </c>
      <c r="AN35" s="59">
        <f ca="1">AVERAGE(OFFSET($AM$3,0,0,'Données projet'!$E$10+1,1))-AVERAGE(OFFSET($H$3,0,0,'Données projet'!$E$10+1,1))</f>
        <v>188.36883552879721</v>
      </c>
      <c r="AO35" s="59">
        <f t="shared" si="36"/>
        <v>152.51465338737705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1">
        <f t="shared" si="32"/>
        <v>9.1252947188023139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67">
        <f t="shared" si="1"/>
        <v>323.66665830191403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27.6</v>
      </c>
      <c r="N36" s="13">
        <f>IF('Données projet'!$A$36&gt;35,N35+M36-V35,IF(A36&lt;'Données projet'!$A$36,$K$205^A36,IF(A36='Données projet'!$A$36,'Données projet'!$B$36,N35+M36-V35)))</f>
        <v>449.80000000000007</v>
      </c>
      <c r="O36" s="13">
        <f>N36*VLOOKUP('Données projet'!$B$9,Paramètres!$A$1:$I$89,3,0)*VLOOKUP('Données projet'!$B$9,Paramètres!$A$1:$I$89,5,0)</f>
        <v>251.43820000000002</v>
      </c>
      <c r="P36" s="13">
        <f t="shared" si="33"/>
        <v>60.893806844597648</v>
      </c>
      <c r="Q36" s="20">
        <f t="shared" si="53"/>
        <v>543.978245254341</v>
      </c>
      <c r="R36" s="59">
        <f t="shared" si="0"/>
        <v>837.31157858767438</v>
      </c>
      <c r="S36" s="59">
        <f ca="1">AVERAGE(OFFSET($R$3,0,0,'Données projet'!$E$9+1,1))-AVERAGE(OFFSET($H$3,0,0,'Données projet'!$E$9+1,1))</f>
        <v>382.58588458673051</v>
      </c>
      <c r="T36" s="59">
        <f t="shared" si="34"/>
        <v>485.5120768430603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20.186436316982004</v>
      </c>
      <c r="AB36" s="21">
        <f>EXP(-LN(2)/2)*AB35+(1-EXP(-LN(2)/2))/(LN(2)/2)*V36*Y36*VLOOKUP('Données projet'!$B$9,Paramètres!$A$1:$I$89,3,0)*0.475*44/12</f>
        <v>2.1360977583208696</v>
      </c>
      <c r="AC36" s="22">
        <f t="shared" si="3"/>
        <v>22.322534075302872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5.5</v>
      </c>
      <c r="AI36" s="13">
        <f>IF('Données projet'!$A$62&gt;35,AI35+AH36-AQ35,IF(A36&lt;'Données projet'!$A$62,$AF$205^A36,IF(A36='Données projet'!$A$62,'Données projet'!$B$62,AI35+AH36-AQ35)))</f>
        <v>125</v>
      </c>
      <c r="AJ36" s="13">
        <f>AI36*VLOOKUP('Données projet'!$B$10,Paramètres!$A$1:$I$89,3,0)*VLOOKUP('Données projet'!$B$10,Paramètres!$A$1:$I$89,5,0)</f>
        <v>91.65</v>
      </c>
      <c r="AK36" s="13">
        <f t="shared" si="35"/>
        <v>24.962743528770854</v>
      </c>
      <c r="AL36" s="20">
        <f t="shared" si="4"/>
        <v>203.10052831260927</v>
      </c>
      <c r="AM36" s="59">
        <f t="shared" si="5"/>
        <v>496.43386164594256</v>
      </c>
      <c r="AN36" s="59">
        <f ca="1">AVERAGE(OFFSET($AM$3,0,0,'Données projet'!$E$10+1,1))-AVERAGE(OFFSET($H$3,0,0,'Données projet'!$E$10+1,1))</f>
        <v>188.36883552879721</v>
      </c>
      <c r="AO36" s="59">
        <f t="shared" si="36"/>
        <v>152.51465338737705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1">
        <f t="shared" si="32"/>
        <v>9.3692052598737909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67">
        <f t="shared" si="1"/>
        <v>325.64015916094684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27.6</v>
      </c>
      <c r="N37" s="13">
        <f>IF('Données projet'!$A$36&gt;35,N36+M37-V36,IF(A37&lt;'Données projet'!$A$36,$K$205^A37,IF(A37='Données projet'!$A$36,'Données projet'!$B$36,N36+M37-V36)))</f>
        <v>477.40000000000009</v>
      </c>
      <c r="O37" s="13">
        <f>N37*VLOOKUP('Données projet'!$B$9,Paramètres!$A$1:$I$89,3,0)*VLOOKUP('Données projet'!$B$9,Paramètres!$A$1:$I$89,5,0)</f>
        <v>266.86660000000006</v>
      </c>
      <c r="P37" s="13">
        <f t="shared" si="33"/>
        <v>64.183831628008477</v>
      </c>
      <c r="Q37" s="20">
        <f t="shared" si="53"/>
        <v>576.57950175211477</v>
      </c>
      <c r="R37" s="59">
        <f t="shared" si="0"/>
        <v>869.91283508544802</v>
      </c>
      <c r="S37" s="59">
        <f ca="1">AVERAGE(OFFSET($R$3,0,0,'Données projet'!$E$9+1,1))-AVERAGE(OFFSET($H$3,0,0,'Données projet'!$E$9+1,1))</f>
        <v>382.58588458673051</v>
      </c>
      <c r="T37" s="59">
        <f t="shared" si="34"/>
        <v>485.5120768430603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19.634437154335583</v>
      </c>
      <c r="AB37" s="21">
        <f>EXP(-LN(2)/2)*AB36+(1-EXP(-LN(2)/2))/(LN(2)/2)*V37*Y37*VLOOKUP('Données projet'!$B$9,Paramètres!$A$1:$I$89,3,0)*0.475*44/12</f>
        <v>1.5104492101860698</v>
      </c>
      <c r="AC37" s="22">
        <f t="shared" si="3"/>
        <v>21.144886364521653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5.5</v>
      </c>
      <c r="AI37" s="13">
        <f>IF('Données projet'!$A$62&gt;35,AI36+AH37-AQ36,IF(A37&lt;'Données projet'!$A$62,$AF$205^A37,IF(A37='Données projet'!$A$62,'Données projet'!$B$62,AI36+AH37-AQ36)))</f>
        <v>130.5</v>
      </c>
      <c r="AJ37" s="13">
        <f>AI37*VLOOKUP('Données projet'!$B$10,Paramètres!$A$1:$I$89,3,0)*VLOOKUP('Données projet'!$B$10,Paramètres!$A$1:$I$89,5,0)</f>
        <v>95.682599999999994</v>
      </c>
      <c r="AK37" s="13">
        <f t="shared" si="35"/>
        <v>25.930809542453641</v>
      </c>
      <c r="AL37" s="20">
        <f t="shared" si="4"/>
        <v>211.81002161977344</v>
      </c>
      <c r="AM37" s="59">
        <f t="shared" si="5"/>
        <v>505.14335495310672</v>
      </c>
      <c r="AN37" s="59">
        <f ca="1">AVERAGE(OFFSET($AM$3,0,0,'Données projet'!$E$10+1,1))-AVERAGE(OFFSET($H$3,0,0,'Données projet'!$E$10+1,1))</f>
        <v>188.36883552879721</v>
      </c>
      <c r="AO37" s="59">
        <f t="shared" si="36"/>
        <v>152.51465338737705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1">
        <f t="shared" si="32"/>
        <v>9.612282066778798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67">
        <f t="shared" si="1"/>
        <v>327.61220793297304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505</v>
      </c>
      <c r="L38" s="12">
        <f>VLOOKUP(A38,'Données projet'!$A$35:$I$55,9,0)</f>
        <v>27.6</v>
      </c>
      <c r="M38" s="12">
        <f t="array" ref="M38">INDEX(L:L,MIN(IF(ISNUMBER(L38:L234),ROW(L38:L234),"")))</f>
        <v>27.6</v>
      </c>
      <c r="N38" s="13">
        <f>IF('Données projet'!$A$36&gt;35,N37+M38-V37,IF(A38&lt;'Données projet'!$A$36,$K$205^A38,IF(A38='Données projet'!$A$36,'Données projet'!$B$36,N37+M38-V37)))</f>
        <v>505.00000000000011</v>
      </c>
      <c r="O38" s="13">
        <f>N38*VLOOKUP('Données projet'!$B$9,Paramètres!$A$1:$I$89,3,0)*VLOOKUP('Données projet'!$B$9,Paramètres!$A$1:$I$89,5,0)</f>
        <v>282.29500000000007</v>
      </c>
      <c r="P38" s="13">
        <f t="shared" si="33"/>
        <v>67.451777696853824</v>
      </c>
      <c r="Q38" s="20">
        <f t="shared" si="53"/>
        <v>609.14230448868716</v>
      </c>
      <c r="R38" s="59">
        <f t="shared" si="0"/>
        <v>902.47563782202042</v>
      </c>
      <c r="S38" s="59">
        <f ca="1">AVERAGE(OFFSET($R$3,0,0,'Données projet'!$E$9+1,1))-AVERAGE(OFFSET($H$3,0,0,'Données projet'!$E$9+1,1))</f>
        <v>382.58588458673051</v>
      </c>
      <c r="T38" s="59">
        <f t="shared" si="34"/>
        <v>485.5120768430603</v>
      </c>
      <c r="U38" s="15">
        <f>IF(ISNA(VLOOKUP(A38,'Données projet'!$A$35:$I$55,3,0)),0,VLOOKUP(A38,'Données projet'!$A$35:$I$55,3,0))</f>
        <v>3</v>
      </c>
      <c r="V38" s="15">
        <f>IF(ISNA(VLOOKUP(A38,'Données projet'!$A$35:$I$55,4,0)),0,VLOOKUP(A38,'Données projet'!$A$35:$I$55,4,0))</f>
        <v>69</v>
      </c>
      <c r="W38" s="16">
        <f>IF(ISNA(VLOOKUP(A38,'Données projet'!$A$35:$I$55,5,0)),0%,VLOOKUP(A38,'Données projet'!$A$35:$I$55,5,0)*VLOOKUP('Données projet'!$B$9,Paramètres!$A$1:$I$89,7,0))</f>
        <v>0.55000000000000004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28.14180468591718</v>
      </c>
      <c r="AA38" s="21">
        <f>EXP(-LN(2)/25)*AA37+(1-EXP(-LN(2)/25))/(LN(2)/25)*Calculateur!V38*Calculateur!X38*VLOOKUP('Données projet'!$B$9,Paramètres!$A$1:$I$89,3,0)*0.475*44/12</f>
        <v>19.097532437820103</v>
      </c>
      <c r="AB38" s="21">
        <f>EXP(-LN(2)/2)*AB37+(1-EXP(-LN(2)/2))/(LN(2)/2)*V38*Y38*VLOOKUP('Données projet'!$B$9,Paramètres!$A$1:$I$89,3,0)*0.475*44/12</f>
        <v>1.0680488791604348</v>
      </c>
      <c r="AC38" s="22">
        <f t="shared" si="3"/>
        <v>48.307386002897722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136</v>
      </c>
      <c r="AG38" s="12">
        <f>VLOOKUP(A38,'Données projet'!$A$61:$I$81,9,0)</f>
        <v>5.5</v>
      </c>
      <c r="AH38" s="12">
        <f t="array" ref="AH38">INDEX(AG:AG,MIN(IF(ISNUMBER(AG38:AG234),ROW(AG38:AG234),"")))</f>
        <v>5.5</v>
      </c>
      <c r="AI38" s="13">
        <f>IF('Données projet'!$A$62&gt;35,AI37+AH38-AQ37,IF(A38&lt;'Données projet'!$A$62,$AF$205^A38,IF(A38='Données projet'!$A$62,'Données projet'!$B$62,AI37+AH38-AQ37)))</f>
        <v>136</v>
      </c>
      <c r="AJ38" s="13">
        <f>AI38*VLOOKUP('Données projet'!$B$10,Paramètres!$A$1:$I$89,3,0)*VLOOKUP('Données projet'!$B$10,Paramètres!$A$1:$I$89,5,0)</f>
        <v>99.715199999999996</v>
      </c>
      <c r="AK38" s="13">
        <f t="shared" si="35"/>
        <v>26.894136617382181</v>
      </c>
      <c r="AL38" s="20">
        <f t="shared" si="4"/>
        <v>220.51126127527394</v>
      </c>
      <c r="AM38" s="59">
        <f t="shared" si="5"/>
        <v>513.84459460860728</v>
      </c>
      <c r="AN38" s="59">
        <f ca="1">AVERAGE(OFFSET($AM$3,0,0,'Données projet'!$E$10+1,1))-AVERAGE(OFFSET($H$3,0,0,'Données projet'!$E$10+1,1))</f>
        <v>188.36883552879721</v>
      </c>
      <c r="AO38" s="59">
        <f t="shared" si="36"/>
        <v>152.51465338737705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1">
        <f t="shared" si="32"/>
        <v>9.8545516964045738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67">
        <f t="shared" si="1"/>
        <v>329.58285087123795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25.6</v>
      </c>
      <c r="N39" s="13">
        <f>IF('Données projet'!$A$36&gt;35,N38+M39-V38,IF(A39&lt;'Données projet'!$A$36,$K$205^A39,IF(A39='Données projet'!$A$36,'Données projet'!$B$36,N38+M39-V38)))</f>
        <v>461.60000000000014</v>
      </c>
      <c r="O39" s="13">
        <f>N39*VLOOKUP('Données projet'!$B$9,Paramètres!$A$1:$I$89,3,0)*VLOOKUP('Données projet'!$B$9,Paramètres!$A$1:$I$89,5,0)</f>
        <v>258.03440000000006</v>
      </c>
      <c r="P39" s="13">
        <f t="shared" si="33"/>
        <v>62.303206596431174</v>
      </c>
      <c r="Q39" s="20">
        <f t="shared" si="53"/>
        <v>557.9213314887844</v>
      </c>
      <c r="R39" s="59">
        <f t="shared" si="0"/>
        <v>851.25466482211777</v>
      </c>
      <c r="S39" s="59">
        <f ca="1">AVERAGE(OFFSET($R$3,0,0,'Données projet'!$E$9+1,1))-AVERAGE(OFFSET($H$3,0,0,'Données projet'!$E$9+1,1))</f>
        <v>382.58588458673051</v>
      </c>
      <c r="T39" s="59">
        <f t="shared" si="34"/>
        <v>485.5120768430603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27.589961060832319</v>
      </c>
      <c r="AA39" s="21">
        <f>EXP(-LN(2)/25)*AA38+(1-EXP(-LN(2)/25))/(LN(2)/25)*Calculateur!V39*Calculateur!X39*VLOOKUP('Données projet'!$B$9,Paramètres!$A$1:$I$89,3,0)*0.475*44/12</f>
        <v>18.575309409012331</v>
      </c>
      <c r="AB39" s="21">
        <f>EXP(-LN(2)/2)*AB38+(1-EXP(-LN(2)/2))/(LN(2)/2)*V39*Y39*VLOOKUP('Données projet'!$B$9,Paramètres!$A$1:$I$89,3,0)*0.475*44/12</f>
        <v>0.75522460509303491</v>
      </c>
      <c r="AC39" s="22">
        <f t="shared" si="3"/>
        <v>46.920495074937683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6.8</v>
      </c>
      <c r="AI39" s="13">
        <f>IF('Données projet'!$A$62&gt;35,AI38+AH39-AQ38,IF(A39&lt;'Données projet'!$A$62,$AF$205^A39,IF(A39='Données projet'!$A$62,'Données projet'!$B$62,AI38+AH39-AQ38)))</f>
        <v>142.80000000000001</v>
      </c>
      <c r="AJ39" s="13">
        <f>AI39*VLOOKUP('Données projet'!$B$10,Paramètres!$A$1:$I$89,3,0)*VLOOKUP('Données projet'!$B$10,Paramètres!$A$1:$I$89,5,0)</f>
        <v>104.70096000000001</v>
      </c>
      <c r="AK39" s="13">
        <f t="shared" si="35"/>
        <v>28.07892464469024</v>
      </c>
      <c r="AL39" s="20">
        <f t="shared" si="4"/>
        <v>231.25829908950217</v>
      </c>
      <c r="AM39" s="59">
        <f t="shared" si="5"/>
        <v>524.59163242283546</v>
      </c>
      <c r="AN39" s="59">
        <f ca="1">AVERAGE(OFFSET($AM$3,0,0,'Données projet'!$E$10+1,1))-AVERAGE(OFFSET($H$3,0,0,'Données projet'!$E$10+1,1))</f>
        <v>188.36883552879721</v>
      </c>
      <c r="AO39" s="59">
        <f t="shared" si="36"/>
        <v>152.51465338737705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1">
        <f t="shared" si="32"/>
        <v>10.096039146303498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67">
        <f t="shared" si="1"/>
        <v>331.55213151314524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25.6</v>
      </c>
      <c r="N40" s="13">
        <f>IF('Données projet'!$A$36&gt;35,N39+M40-V39,IF(A40&lt;'Données projet'!$A$36,$K$205^A40,IF(A40='Données projet'!$A$36,'Données projet'!$B$36,N39+M40-V39)))</f>
        <v>487.20000000000016</v>
      </c>
      <c r="O40" s="13">
        <f>N40*VLOOKUP('Données projet'!$B$9,Paramètres!$A$1:$I$89,3,0)*VLOOKUP('Données projet'!$B$9,Paramètres!$A$1:$I$89,5,0)</f>
        <v>272.34480000000008</v>
      </c>
      <c r="P40" s="13">
        <f t="shared" si="33"/>
        <v>65.346644318451709</v>
      </c>
      <c r="Q40" s="20">
        <f t="shared" si="53"/>
        <v>588.14593218797006</v>
      </c>
      <c r="R40" s="59">
        <f t="shared" si="0"/>
        <v>881.47926552130343</v>
      </c>
      <c r="S40" s="59">
        <f ca="1">AVERAGE(OFFSET($R$3,0,0,'Données projet'!$E$9+1,1))-AVERAGE(OFFSET($H$3,0,0,'Données projet'!$E$9+1,1))</f>
        <v>382.58588458673051</v>
      </c>
      <c r="T40" s="59">
        <f t="shared" si="34"/>
        <v>485.5120768430603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27.048938752643995</v>
      </c>
      <c r="AA40" s="21">
        <f>EXP(-LN(2)/25)*AA39+(1-EXP(-LN(2)/25))/(LN(2)/25)*Calculateur!V40*Calculateur!X40*VLOOKUP('Données projet'!$B$9,Paramètres!$A$1:$I$89,3,0)*0.475*44/12</f>
        <v>18.067366596389821</v>
      </c>
      <c r="AB40" s="21">
        <f>EXP(-LN(2)/2)*AB39+(1-EXP(-LN(2)/2))/(LN(2)/2)*V40*Y40*VLOOKUP('Données projet'!$B$9,Paramètres!$A$1:$I$89,3,0)*0.475*44/12</f>
        <v>0.53402443958021739</v>
      </c>
      <c r="AC40" s="22">
        <f t="shared" si="3"/>
        <v>45.65032978861403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6.8</v>
      </c>
      <c r="AI40" s="13">
        <f>IF('Données projet'!$A$62&gt;35,AI39+AH40-AQ39,IF(A40&lt;'Données projet'!$A$62,$AF$205^A40,IF(A40='Données projet'!$A$62,'Données projet'!$B$62,AI39+AH40-AQ39)))</f>
        <v>149.60000000000002</v>
      </c>
      <c r="AJ40" s="13">
        <f>AI40*VLOOKUP('Données projet'!$B$10,Paramètres!$A$1:$I$89,3,0)*VLOOKUP('Données projet'!$B$10,Paramètres!$A$1:$I$89,5,0)</f>
        <v>109.68672000000002</v>
      </c>
      <c r="AK40" s="13">
        <f t="shared" si="35"/>
        <v>29.257161113605147</v>
      </c>
      <c r="AL40" s="20">
        <f t="shared" si="4"/>
        <v>241.9939262728623</v>
      </c>
      <c r="AM40" s="59">
        <f t="shared" si="5"/>
        <v>535.32725960619564</v>
      </c>
      <c r="AN40" s="59">
        <f ca="1">AVERAGE(OFFSET($AM$3,0,0,'Données projet'!$E$10+1,1))-AVERAGE(OFFSET($H$3,0,0,'Données projet'!$E$10+1,1))</f>
        <v>188.36883552879721</v>
      </c>
      <c r="AO40" s="59">
        <f t="shared" si="36"/>
        <v>152.51465338737705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1">
        <f t="shared" si="32"/>
        <v>10.336767985889495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67">
        <f t="shared" si="1"/>
        <v>333.52009090875754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25.6</v>
      </c>
      <c r="N41" s="13">
        <f>IF('Données projet'!$A$36&gt;35,N40+M41-V40,IF(A41&lt;'Données projet'!$A$36,$K$205^A41,IF(A41='Données projet'!$A$36,'Données projet'!$B$36,N40+M41-V40)))</f>
        <v>512.80000000000018</v>
      </c>
      <c r="O41" s="13">
        <f>N41*VLOOKUP('Données projet'!$B$9,Paramètres!$A$1:$I$89,3,0)*VLOOKUP('Données projet'!$B$9,Paramètres!$A$1:$I$89,5,0)</f>
        <v>286.65520000000009</v>
      </c>
      <c r="P41" s="13">
        <f t="shared" si="33"/>
        <v>68.37151538584105</v>
      </c>
      <c r="Q41" s="20">
        <f t="shared" si="53"/>
        <v>618.33819596367323</v>
      </c>
      <c r="R41" s="59">
        <f t="shared" si="0"/>
        <v>911.6715292970066</v>
      </c>
      <c r="S41" s="59">
        <f ca="1">AVERAGE(OFFSET($R$3,0,0,'Données projet'!$E$9+1,1))-AVERAGE(OFFSET($H$3,0,0,'Données projet'!$E$9+1,1))</f>
        <v>382.58588458673051</v>
      </c>
      <c r="T41" s="59">
        <f t="shared" si="34"/>
        <v>485.5120768430603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26.518525561928222</v>
      </c>
      <c r="AA41" s="21">
        <f>EXP(-LN(2)/25)*AA40+(1-EXP(-LN(2)/25))/(LN(2)/25)*Calculateur!V41*Calculateur!X41*VLOOKUP('Données projet'!$B$9,Paramètres!$A$1:$I$89,3,0)*0.475*44/12</f>
        <v>17.573313506690024</v>
      </c>
      <c r="AB41" s="21">
        <f>EXP(-LN(2)/2)*AB40+(1-EXP(-LN(2)/2))/(LN(2)/2)*V41*Y41*VLOOKUP('Données projet'!$B$9,Paramètres!$A$1:$I$89,3,0)*0.475*44/12</f>
        <v>0.37761230254651745</v>
      </c>
      <c r="AC41" s="22">
        <f t="shared" si="3"/>
        <v>44.469451371164759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6.8</v>
      </c>
      <c r="AI41" s="13">
        <f>IF('Données projet'!$A$62&gt;35,AI40+AH41-AQ40,IF(A41&lt;'Données projet'!$A$62,$AF$205^A41,IF(A41='Données projet'!$A$62,'Données projet'!$B$62,AI40+AH41-AQ40)))</f>
        <v>156.40000000000003</v>
      </c>
      <c r="AJ41" s="13">
        <f>AI41*VLOOKUP('Données projet'!$B$10,Paramètres!$A$1:$I$89,3,0)*VLOOKUP('Données projet'!$B$10,Paramètres!$A$1:$I$89,5,0)</f>
        <v>114.67248000000002</v>
      </c>
      <c r="AK41" s="13">
        <f t="shared" si="35"/>
        <v>30.42917784146039</v>
      </c>
      <c r="AL41" s="20">
        <f t="shared" si="4"/>
        <v>252.71872074054355</v>
      </c>
      <c r="AM41" s="59">
        <f t="shared" si="5"/>
        <v>546.05205407387689</v>
      </c>
      <c r="AN41" s="59">
        <f ca="1">AVERAGE(OFFSET($AM$3,0,0,'Données projet'!$E$10+1,1))-AVERAGE(OFFSET($H$3,0,0,'Données projet'!$E$10+1,1))</f>
        <v>188.36883552879721</v>
      </c>
      <c r="AO41" s="59">
        <f t="shared" si="36"/>
        <v>152.51465338737705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1">
        <f t="shared" si="32"/>
        <v>10.576760473435781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67">
        <f t="shared" si="1"/>
        <v>335.48676782456732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25.6</v>
      </c>
      <c r="N42" s="13">
        <f>IF('Données projet'!$A$36&gt;35,N41+M42-V41,IF(A42&lt;'Données projet'!$A$36,$K$205^A42,IF(A42='Données projet'!$A$36,'Données projet'!$B$36,N41+M42-V41)))</f>
        <v>538.4000000000002</v>
      </c>
      <c r="O42" s="13">
        <f>N42*VLOOKUP('Données projet'!$B$9,Paramètres!$A$1:$I$89,3,0)*VLOOKUP('Données projet'!$B$9,Paramètres!$A$1:$I$89,5,0)</f>
        <v>300.96560000000011</v>
      </c>
      <c r="P42" s="13">
        <f t="shared" si="33"/>
        <v>71.378852450242803</v>
      </c>
      <c r="Q42" s="20">
        <f t="shared" si="53"/>
        <v>648.49992135083971</v>
      </c>
      <c r="R42" s="59">
        <f t="shared" si="0"/>
        <v>941.83325468417297</v>
      </c>
      <c r="S42" s="59">
        <f ca="1">AVERAGE(OFFSET($R$3,0,0,'Données projet'!$E$9+1,1))-AVERAGE(OFFSET($H$3,0,0,'Données projet'!$E$9+1,1))</f>
        <v>382.58588458673051</v>
      </c>
      <c r="T42" s="59">
        <f t="shared" si="34"/>
        <v>485.5120768430603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25.998513450362282</v>
      </c>
      <c r="AA42" s="21">
        <f>EXP(-LN(2)/25)*AA41+(1-EXP(-LN(2)/25))/(LN(2)/25)*Calculateur!V42*Calculateur!X42*VLOOKUP('Données projet'!$B$9,Paramètres!$A$1:$I$89,3,0)*0.475*44/12</f>
        <v>17.092770324709193</v>
      </c>
      <c r="AB42" s="21">
        <f>EXP(-LN(2)/2)*AB41+(1-EXP(-LN(2)/2))/(LN(2)/2)*V42*Y42*VLOOKUP('Données projet'!$B$9,Paramètres!$A$1:$I$89,3,0)*0.475*44/12</f>
        <v>0.2670122197901087</v>
      </c>
      <c r="AC42" s="22">
        <f t="shared" si="3"/>
        <v>43.358295994861585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6.8</v>
      </c>
      <c r="AI42" s="13">
        <f>IF('Données projet'!$A$62&gt;35,AI41+AH42-AQ41,IF(A42&lt;'Données projet'!$A$62,$AF$205^A42,IF(A42='Données projet'!$A$62,'Données projet'!$B$62,AI41+AH42-AQ41)))</f>
        <v>163.20000000000005</v>
      </c>
      <c r="AJ42" s="13">
        <f>AI42*VLOOKUP('Données projet'!$B$10,Paramètres!$A$1:$I$89,3,0)*VLOOKUP('Données projet'!$B$10,Paramètres!$A$1:$I$89,5,0)</f>
        <v>119.65824000000003</v>
      </c>
      <c r="AK42" s="13">
        <f t="shared" si="35"/>
        <v>31.595276160231336</v>
      </c>
      <c r="AL42" s="20">
        <f t="shared" si="4"/>
        <v>263.43320731240294</v>
      </c>
      <c r="AM42" s="59">
        <f t="shared" si="5"/>
        <v>556.76654064573631</v>
      </c>
      <c r="AN42" s="59">
        <f ca="1">AVERAGE(OFFSET($AM$3,0,0,'Données projet'!$E$10+1,1))-AVERAGE(OFFSET($H$3,0,0,'Données projet'!$E$10+1,1))</f>
        <v>188.36883552879721</v>
      </c>
      <c r="AO42" s="59">
        <f t="shared" si="36"/>
        <v>152.51465338737705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1">
        <f t="shared" si="32"/>
        <v>10.816037660735208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67">
        <f t="shared" si="1"/>
        <v>337.45219892578052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564</v>
      </c>
      <c r="L43" s="12">
        <f>VLOOKUP(A43,'Données projet'!$A$35:$I$55,9,0)</f>
        <v>25.6</v>
      </c>
      <c r="M43" s="12">
        <f t="array" ref="M43">INDEX(L:L,MIN(IF(ISNUMBER(L43:L239),ROW(L43:L239),"")))</f>
        <v>25.6</v>
      </c>
      <c r="N43" s="13">
        <f>IF('Données projet'!$A$36&gt;35,N42+M43-V42,IF(A43&lt;'Données projet'!$A$36,$K$205^A43,IF(A43='Données projet'!$A$36,'Données projet'!$B$36,N42+M43-V42)))</f>
        <v>564.00000000000023</v>
      </c>
      <c r="O43" s="13">
        <f>N43*VLOOKUP('Données projet'!$B$9,Paramètres!$A$1:$I$89,3,0)*VLOOKUP('Données projet'!$B$9,Paramètres!$A$1:$I$89,5,0)</f>
        <v>315.27600000000012</v>
      </c>
      <c r="P43" s="13">
        <f t="shared" si="33"/>
        <v>74.36958441265493</v>
      </c>
      <c r="Q43" s="20">
        <f t="shared" si="53"/>
        <v>678.63272618537417</v>
      </c>
      <c r="R43" s="59">
        <f t="shared" si="0"/>
        <v>971.96605951870743</v>
      </c>
      <c r="S43" s="59">
        <f ca="1">AVERAGE(OFFSET($R$3,0,0,'Données projet'!$E$9+1,1))-AVERAGE(OFFSET($H$3,0,0,'Données projet'!$E$9+1,1))</f>
        <v>382.58588458673051</v>
      </c>
      <c r="T43" s="59">
        <f t="shared" si="34"/>
        <v>485.5120768430603</v>
      </c>
      <c r="U43" s="15">
        <f>IF(ISNA(VLOOKUP(A43,'Données projet'!$A$35:$I$55,3,0)),0,VLOOKUP(A43,'Données projet'!$A$35:$I$55,3,0))</f>
        <v>4</v>
      </c>
      <c r="V43" s="15">
        <f>IF(ISNA(VLOOKUP(A43,'Données projet'!$A$35:$I$55,4,0)),0,VLOOKUP(A43,'Données projet'!$A$35:$I$55,4,0))</f>
        <v>72</v>
      </c>
      <c r="W43" s="16">
        <f>IF(ISNA(VLOOKUP(A43,'Données projet'!$A$35:$I$55,5,0)),0%,VLOOKUP(A43,'Données projet'!$A$35:$I$55,5,0)*VLOOKUP('Données projet'!$B$9,Paramètres!$A$1:$I$89,7,0))</f>
        <v>0.55000000000000004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54.854059870519919</v>
      </c>
      <c r="AA43" s="21">
        <f>EXP(-LN(2)/25)*AA42+(1-EXP(-LN(2)/25))/(LN(2)/25)*Calculateur!V43*Calculateur!X43*VLOOKUP('Données projet'!$B$9,Paramètres!$A$1:$I$89,3,0)*0.475*44/12</f>
        <v>16.625367621310293</v>
      </c>
      <c r="AB43" s="21">
        <f>EXP(-LN(2)/2)*AB42+(1-EXP(-LN(2)/2))/(LN(2)/2)*V43*Y43*VLOOKUP('Données projet'!$B$9,Paramètres!$A$1:$I$89,3,0)*0.475*44/12</f>
        <v>0.18880615127325873</v>
      </c>
      <c r="AC43" s="22">
        <f t="shared" si="3"/>
        <v>71.668233643103463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170</v>
      </c>
      <c r="AG43" s="12">
        <f>VLOOKUP(A43,'Données projet'!$A$61:$I$81,9,0)</f>
        <v>6.8</v>
      </c>
      <c r="AH43" s="12">
        <f t="array" ref="AH43">INDEX(AG:AG,MIN(IF(ISNUMBER(AG43:AG239),ROW(AG43:AG239),"")))</f>
        <v>6.8</v>
      </c>
      <c r="AI43" s="13">
        <f>IF('Données projet'!$A$62&gt;35,AI42+AH43-AQ42,IF(A43&lt;'Données projet'!$A$62,$AF$205^A43,IF(A43='Données projet'!$A$62,'Données projet'!$B$62,AI42+AH43-AQ42)))</f>
        <v>170.00000000000006</v>
      </c>
      <c r="AJ43" s="13">
        <f>AI43*VLOOKUP('Données projet'!$B$10,Paramètres!$A$1:$I$89,3,0)*VLOOKUP('Données projet'!$B$10,Paramètres!$A$1:$I$89,5,0)</f>
        <v>124.64400000000003</v>
      </c>
      <c r="AK43" s="13">
        <f t="shared" si="35"/>
        <v>32.755730870217214</v>
      </c>
      <c r="AL43" s="20">
        <f t="shared" si="4"/>
        <v>274.1378645989617</v>
      </c>
      <c r="AM43" s="59">
        <f t="shared" si="5"/>
        <v>567.47119793229501</v>
      </c>
      <c r="AN43" s="59">
        <f ca="1">AVERAGE(OFFSET($AM$3,0,0,'Données projet'!$E$10+1,1))-AVERAGE(OFFSET($H$3,0,0,'Données projet'!$E$10+1,1))</f>
        <v>188.36883552879721</v>
      </c>
      <c r="AO43" s="59">
        <f t="shared" si="36"/>
        <v>152.51465338737705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1">
        <f t="shared" si="32"/>
        <v>11.054619486999963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67">
        <f t="shared" si="1"/>
        <v>339.41641893985832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22.8</v>
      </c>
      <c r="N44" s="13">
        <f>IF('Données projet'!$A$36&gt;35,N43+M44-V43,IF(A44&lt;'Données projet'!$A$36,$K$205^A44,IF(A44='Données projet'!$A$36,'Données projet'!$B$36,N43+M44-V43)))</f>
        <v>514.80000000000018</v>
      </c>
      <c r="O44" s="13">
        <f>N44*VLOOKUP('Données projet'!$B$9,Paramètres!$A$1:$I$89,3,0)*VLOOKUP('Données projet'!$B$9,Paramètres!$A$1:$I$89,5,0)</f>
        <v>287.77320000000009</v>
      </c>
      <c r="P44" s="13">
        <f t="shared" si="33"/>
        <v>68.607082381743922</v>
      </c>
      <c r="Q44" s="20">
        <f t="shared" si="53"/>
        <v>620.69565848153741</v>
      </c>
      <c r="R44" s="59">
        <f t="shared" si="0"/>
        <v>914.02899181487078</v>
      </c>
      <c r="S44" s="59">
        <f ca="1">AVERAGE(OFFSET($R$3,0,0,'Données projet'!$E$9+1,1))-AVERAGE(OFFSET($H$3,0,0,'Données projet'!$E$9+1,1))</f>
        <v>382.58588458673051</v>
      </c>
      <c r="T44" s="59">
        <f t="shared" si="34"/>
        <v>485.5120768430603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53.778405214131872</v>
      </c>
      <c r="AA44" s="21">
        <f>EXP(-LN(2)/25)*AA43+(1-EXP(-LN(2)/25))/(LN(2)/25)*Calculateur!V44*Calculateur!X44*VLOOKUP('Données projet'!$B$9,Paramètres!$A$1:$I$89,3,0)*0.475*44/12</f>
        <v>16.170746069415479</v>
      </c>
      <c r="AB44" s="21">
        <f>EXP(-LN(2)/2)*AB43+(1-EXP(-LN(2)/2))/(LN(2)/2)*V44*Y44*VLOOKUP('Données projet'!$B$9,Paramètres!$A$1:$I$89,3,0)*0.475*44/12</f>
        <v>0.13350610989505435</v>
      </c>
      <c r="AC44" s="22">
        <f t="shared" si="3"/>
        <v>70.082657393442403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8</v>
      </c>
      <c r="AI44" s="13">
        <f>IF('Données projet'!$A$62&gt;35,AI43+AH44-AQ43,IF(A44&lt;'Données projet'!$A$62,$AF$205^A44,IF(A44='Données projet'!$A$62,'Données projet'!$B$62,AI43+AH44-AQ43)))</f>
        <v>178.00000000000006</v>
      </c>
      <c r="AJ44" s="13">
        <f>AI44*VLOOKUP('Données projet'!$B$10,Paramètres!$A$1:$I$89,3,0)*VLOOKUP('Données projet'!$B$10,Paramètres!$A$1:$I$89,5,0)</f>
        <v>130.50960000000003</v>
      </c>
      <c r="AK44" s="13">
        <f t="shared" si="35"/>
        <v>34.11408610445698</v>
      </c>
      <c r="AL44" s="20">
        <f t="shared" si="4"/>
        <v>286.7195866319293</v>
      </c>
      <c r="AM44" s="59">
        <f t="shared" si="5"/>
        <v>580.05291996526262</v>
      </c>
      <c r="AN44" s="59">
        <f ca="1">AVERAGE(OFFSET($AM$3,0,0,'Données projet'!$E$10+1,1))-AVERAGE(OFFSET($H$3,0,0,'Données projet'!$E$10+1,1))</f>
        <v>188.36883552879721</v>
      </c>
      <c r="AO44" s="59">
        <f t="shared" si="36"/>
        <v>152.51465338737705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1">
        <f t="shared" si="32"/>
        <v>11.292524863342397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67">
        <f t="shared" si="1"/>
        <v>341.37946080365469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22.8</v>
      </c>
      <c r="N45" s="13">
        <f>IF('Données projet'!$A$36&gt;35,N44+M45-V44,IF(A45&lt;'Données projet'!$A$36,$K$205^A45,IF(A45='Données projet'!$A$36,'Données projet'!$B$36,N44+M45-V44)))</f>
        <v>537.60000000000014</v>
      </c>
      <c r="O45" s="13">
        <f>N45*VLOOKUP('Données projet'!$B$9,Paramètres!$A$1:$I$89,3,0)*VLOOKUP('Données projet'!$B$9,Paramètres!$A$1:$I$89,5,0)</f>
        <v>300.5184000000001</v>
      </c>
      <c r="P45" s="13">
        <f t="shared" si="33"/>
        <v>71.285129105116411</v>
      </c>
      <c r="Q45" s="20">
        <f t="shared" si="53"/>
        <v>647.55781319141124</v>
      </c>
      <c r="R45" s="59">
        <f t="shared" si="0"/>
        <v>940.8911465247445</v>
      </c>
      <c r="S45" s="59">
        <f ca="1">AVERAGE(OFFSET($R$3,0,0,'Données projet'!$E$9+1,1))-AVERAGE(OFFSET($H$3,0,0,'Données projet'!$E$9+1,1))</f>
        <v>382.58588458673051</v>
      </c>
      <c r="T45" s="59">
        <f t="shared" si="34"/>
        <v>485.5120768430603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52.723843489471037</v>
      </c>
      <c r="AA45" s="21">
        <f>EXP(-LN(2)/25)*AA44+(1-EXP(-LN(2)/25))/(LN(2)/25)*Calculateur!V45*Calculateur!X45*VLOOKUP('Données projet'!$B$9,Paramètres!$A$1:$I$89,3,0)*0.475*44/12</f>
        <v>15.728556167764737</v>
      </c>
      <c r="AB45" s="21">
        <f>EXP(-LN(2)/2)*AB44+(1-EXP(-LN(2)/2))/(LN(2)/2)*V45*Y45*VLOOKUP('Données projet'!$B$9,Paramètres!$A$1:$I$89,3,0)*0.475*44/12</f>
        <v>9.4403075636629363E-2</v>
      </c>
      <c r="AC45" s="22">
        <f t="shared" si="3"/>
        <v>68.546802732872408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8</v>
      </c>
      <c r="AI45" s="13">
        <f>IF('Données projet'!$A$62&gt;35,AI44+AH45-AQ44,IF(A45&lt;'Données projet'!$A$62,$AF$205^A45,IF(A45='Données projet'!$A$62,'Données projet'!$B$62,AI44+AH45-AQ44)))</f>
        <v>186.00000000000006</v>
      </c>
      <c r="AJ45" s="13">
        <f>AI45*VLOOKUP('Données projet'!$B$10,Paramètres!$A$1:$I$89,3,0)*VLOOKUP('Données projet'!$B$10,Paramètres!$A$1:$I$89,5,0)</f>
        <v>136.37520000000004</v>
      </c>
      <c r="AK45" s="13">
        <f t="shared" si="35"/>
        <v>35.465351191684015</v>
      </c>
      <c r="AL45" s="20">
        <f t="shared" si="4"/>
        <v>299.28895999218304</v>
      </c>
      <c r="AM45" s="59">
        <f t="shared" si="5"/>
        <v>592.62229332551635</v>
      </c>
      <c r="AN45" s="59">
        <f ca="1">AVERAGE(OFFSET($AM$3,0,0,'Données projet'!$E$10+1,1))-AVERAGE(OFFSET($H$3,0,0,'Données projet'!$E$10+1,1))</f>
        <v>188.36883552879721</v>
      </c>
      <c r="AO45" s="59">
        <f t="shared" si="36"/>
        <v>152.51465338737705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1">
        <f t="shared" si="32"/>
        <v>11.529771748983352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67">
        <f t="shared" si="1"/>
        <v>343.34135579614605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22.8</v>
      </c>
      <c r="N46" s="13">
        <f>IF('Données projet'!$A$36&gt;35,N45+M46-V45,IF(A46&lt;'Données projet'!$A$36,$K$205^A46,IF(A46='Données projet'!$A$36,'Données projet'!$B$36,N45+M46-V45)))</f>
        <v>560.40000000000009</v>
      </c>
      <c r="O46" s="13">
        <f>N46*VLOOKUP('Données projet'!$B$9,Paramètres!$A$1:$I$89,3,0)*VLOOKUP('Données projet'!$B$9,Paramètres!$A$1:$I$89,5,0)</f>
        <v>313.26360000000005</v>
      </c>
      <c r="P46" s="13">
        <f t="shared" si="33"/>
        <v>73.949983766039026</v>
      </c>
      <c r="Q46" s="20">
        <f t="shared" si="53"/>
        <v>674.39699172585131</v>
      </c>
      <c r="R46" s="59">
        <f t="shared" si="0"/>
        <v>967.73032505918468</v>
      </c>
      <c r="S46" s="59">
        <f ca="1">AVERAGE(OFFSET($R$3,0,0,'Données projet'!$E$9+1,1))-AVERAGE(OFFSET($H$3,0,0,'Données projet'!$E$9+1,1))</f>
        <v>382.58588458673051</v>
      </c>
      <c r="T46" s="59">
        <f t="shared" si="34"/>
        <v>485.5120768430603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51.68996107701166</v>
      </c>
      <c r="AA46" s="21">
        <f>EXP(-LN(2)/25)*AA45+(1-EXP(-LN(2)/25))/(LN(2)/25)*Calculateur!V46*Calculateur!X46*VLOOKUP('Données projet'!$B$9,Paramètres!$A$1:$I$89,3,0)*0.475*44/12</f>
        <v>15.298457972228389</v>
      </c>
      <c r="AB46" s="21">
        <f>EXP(-LN(2)/2)*AB45+(1-EXP(-LN(2)/2))/(LN(2)/2)*V46*Y46*VLOOKUP('Données projet'!$B$9,Paramètres!$A$1:$I$89,3,0)*0.475*44/12</f>
        <v>6.6753054947527174E-2</v>
      </c>
      <c r="AC46" s="22">
        <f t="shared" si="3"/>
        <v>67.055172104187577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8</v>
      </c>
      <c r="AI46" s="13">
        <f>IF('Données projet'!$A$62&gt;35,AI45+AH46-AQ45,IF(A46&lt;'Données projet'!$A$62,$AF$205^A46,IF(A46='Données projet'!$A$62,'Données projet'!$B$62,AI45+AH46-AQ45)))</f>
        <v>194.00000000000006</v>
      </c>
      <c r="AJ46" s="13">
        <f>AI46*VLOOKUP('Données projet'!$B$10,Paramètres!$A$1:$I$89,3,0)*VLOOKUP('Données projet'!$B$10,Paramètres!$A$1:$I$89,5,0)</f>
        <v>142.24080000000004</v>
      </c>
      <c r="AK46" s="13">
        <f t="shared" si="35"/>
        <v>36.809865943965384</v>
      </c>
      <c r="AL46" s="20">
        <f t="shared" si="4"/>
        <v>311.8465765190731</v>
      </c>
      <c r="AM46" s="59">
        <f t="shared" si="5"/>
        <v>605.17990985240635</v>
      </c>
      <c r="AN46" s="59">
        <f ca="1">AVERAGE(OFFSET($AM$3,0,0,'Données projet'!$E$10+1,1))-AVERAGE(OFFSET($H$3,0,0,'Données projet'!$E$10+1,1))</f>
        <v>188.36883552879721</v>
      </c>
      <c r="AO46" s="59">
        <f t="shared" si="36"/>
        <v>152.51465338737705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1">
        <f t="shared" si="32"/>
        <v>11.766377220171686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67">
        <f t="shared" si="1"/>
        <v>345.30213365846572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22.8</v>
      </c>
      <c r="N47" s="13">
        <f>IF('Données projet'!$A$36&gt;35,N46+M47-V46,IF(A47&lt;'Données projet'!$A$36,$K$205^A47,IF(A47='Données projet'!$A$36,'Données projet'!$B$36,N46+M47-V46)))</f>
        <v>583.20000000000005</v>
      </c>
      <c r="O47" s="13">
        <f>N47*VLOOKUP('Données projet'!$B$9,Paramètres!$A$1:$I$89,3,0)*VLOOKUP('Données projet'!$B$9,Paramètres!$A$1:$I$89,5,0)</f>
        <v>326.00880000000001</v>
      </c>
      <c r="P47" s="13">
        <f t="shared" si="33"/>
        <v>76.602244480772981</v>
      </c>
      <c r="Q47" s="20">
        <f t="shared" si="53"/>
        <v>701.2142358040129</v>
      </c>
      <c r="R47" s="59">
        <f t="shared" si="0"/>
        <v>994.54756913734627</v>
      </c>
      <c r="S47" s="59">
        <f ca="1">AVERAGE(OFFSET($R$3,0,0,'Données projet'!$E$9+1,1))-AVERAGE(OFFSET($H$3,0,0,'Données projet'!$E$9+1,1))</f>
        <v>382.58588458673051</v>
      </c>
      <c r="T47" s="59">
        <f t="shared" si="34"/>
        <v>485.5120768430603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50.67635246805461</v>
      </c>
      <c r="AA47" s="21">
        <f>EXP(-LN(2)/25)*AA46+(1-EXP(-LN(2)/25))/(LN(2)/25)*Calculateur!V47*Calculateur!X47*VLOOKUP('Données projet'!$B$9,Paramètres!$A$1:$I$89,3,0)*0.475*44/12</f>
        <v>14.880120834466865</v>
      </c>
      <c r="AB47" s="21">
        <f>EXP(-LN(2)/2)*AB46+(1-EXP(-LN(2)/2))/(LN(2)/2)*V47*Y47*VLOOKUP('Données projet'!$B$9,Paramètres!$A$1:$I$89,3,0)*0.475*44/12</f>
        <v>4.7201537818314682E-2</v>
      </c>
      <c r="AC47" s="22">
        <f t="shared" si="3"/>
        <v>65.603674840339792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8</v>
      </c>
      <c r="AI47" s="13">
        <f>IF('Données projet'!$A$62&gt;35,AI46+AH47-AQ46,IF(A47&lt;'Données projet'!$A$62,$AF$205^A47,IF(A47='Données projet'!$A$62,'Données projet'!$B$62,AI46+AH47-AQ46)))</f>
        <v>202.00000000000006</v>
      </c>
      <c r="AJ47" s="13">
        <f>AI47*VLOOKUP('Données projet'!$B$10,Paramètres!$A$1:$I$89,3,0)*VLOOKUP('Données projet'!$B$10,Paramètres!$A$1:$I$89,5,0)</f>
        <v>148.10640000000004</v>
      </c>
      <c r="AK47" s="13">
        <f t="shared" si="35"/>
        <v>38.147940561860452</v>
      </c>
      <c r="AL47" s="20">
        <f t="shared" si="4"/>
        <v>324.39297647857364</v>
      </c>
      <c r="AM47" s="59">
        <f t="shared" si="5"/>
        <v>617.72630981190696</v>
      </c>
      <c r="AN47" s="59">
        <f ca="1">AVERAGE(OFFSET($AM$3,0,0,'Données projet'!$E$10+1,1))-AVERAGE(OFFSET($H$3,0,0,'Données projet'!$E$10+1,1))</f>
        <v>188.36883552879721</v>
      </c>
      <c r="AO47" s="59">
        <f t="shared" si="36"/>
        <v>152.51465338737705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0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1">
        <f t="shared" si="32"/>
        <v>12.002357532661732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67">
        <f t="shared" si="1"/>
        <v>347.2618227027192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606</v>
      </c>
      <c r="L48" s="12">
        <f>VLOOKUP(A48,'Données projet'!$A$35:$I$55,9,0)</f>
        <v>22.8</v>
      </c>
      <c r="M48" s="12">
        <f t="array" ref="M48">INDEX(L:L,MIN(IF(ISNUMBER(L48:L244),ROW(L48:L244),"")))</f>
        <v>22.8</v>
      </c>
      <c r="N48" s="13">
        <f>IF('Données projet'!$A$36&gt;35,N47+M48-V47,IF(A48&lt;'Données projet'!$A$36,$K$205^A48,IF(A48='Données projet'!$A$36,'Données projet'!$B$36,N47+M48-V47)))</f>
        <v>606</v>
      </c>
      <c r="O48" s="13">
        <f>N48*VLOOKUP('Données projet'!$B$9,Paramètres!$A$1:$I$89,3,0)*VLOOKUP('Données projet'!$B$9,Paramètres!$A$1:$I$89,5,0)</f>
        <v>338.75400000000002</v>
      </c>
      <c r="P48" s="13">
        <f t="shared" si="33"/>
        <v>79.242459951408904</v>
      </c>
      <c r="Q48" s="20">
        <f t="shared" si="53"/>
        <v>728.01050108203719</v>
      </c>
      <c r="R48" s="59">
        <f t="shared" si="0"/>
        <v>1021.3438344153706</v>
      </c>
      <c r="S48" s="59">
        <f ca="1">AVERAGE(OFFSET($R$3,0,0,'Données projet'!$E$9+1,1))-AVERAGE(OFFSET($H$3,0,0,'Données projet'!$E$9+1,1))</f>
        <v>382.58588458673051</v>
      </c>
      <c r="T48" s="59">
        <f t="shared" si="34"/>
        <v>485.5120768430603</v>
      </c>
      <c r="U48" s="15">
        <f>IF(ISNA(VLOOKUP(A48,'Données projet'!$A$35:$I$55,3,0)),0,VLOOKUP(A48,'Données projet'!$A$35:$I$55,3,0))</f>
        <v>5</v>
      </c>
      <c r="V48" s="15">
        <f>IF(ISNA(VLOOKUP(A48,'Données projet'!$A$35:$I$55,4,0)),0,VLOOKUP(A48,'Données projet'!$A$35:$I$55,4,0))</f>
        <v>66</v>
      </c>
      <c r="W48" s="16">
        <f>IF(ISNA(VLOOKUP(A48,'Données projet'!$A$35:$I$55,5,0)),0%,VLOOKUP(A48,'Données projet'!$A$35:$I$55,5,0)*VLOOKUP('Données projet'!$B$9,Paramètres!$A$1:$I$89,7,0))</f>
        <v>0.55000000000000004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76.600868066121521</v>
      </c>
      <c r="AA48" s="21">
        <f>EXP(-LN(2)/25)*AA47+(1-EXP(-LN(2)/25))/(LN(2)/25)*Calculateur!V48*Calculateur!X48*VLOOKUP('Données projet'!$B$9,Paramètres!$A$1:$I$89,3,0)*0.475*44/12</f>
        <v>14.473223147736823</v>
      </c>
      <c r="AB48" s="21">
        <f>EXP(-LN(2)/2)*AB47+(1-EXP(-LN(2)/2))/(LN(2)/2)*V48*Y48*VLOOKUP('Données projet'!$B$9,Paramètres!$A$1:$I$89,3,0)*0.475*44/12</f>
        <v>3.3376527473763587E-2</v>
      </c>
      <c r="AC48" s="22">
        <f t="shared" si="3"/>
        <v>91.107467741332101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210</v>
      </c>
      <c r="AG48" s="12">
        <f>VLOOKUP(A48,'Données projet'!$A$61:$I$81,9,0)</f>
        <v>8</v>
      </c>
      <c r="AH48" s="12">
        <f t="array" ref="AH48">INDEX(AG:AG,MIN(IF(ISNUMBER(AG48:AG244),ROW(AG48:AG244),"")))</f>
        <v>8</v>
      </c>
      <c r="AI48" s="13">
        <f>IF('Données projet'!$A$62&gt;35,AI47+AH48-AQ47,IF(A48&lt;'Données projet'!$A$62,$AF$205^A48,IF(A48='Données projet'!$A$62,'Données projet'!$B$62,AI47+AH48-AQ47)))</f>
        <v>210.00000000000006</v>
      </c>
      <c r="AJ48" s="13">
        <f>AI48*VLOOKUP('Données projet'!$B$10,Paramètres!$A$1:$I$89,3,0)*VLOOKUP('Données projet'!$B$10,Paramètres!$A$1:$I$89,5,0)</f>
        <v>153.97200000000004</v>
      </c>
      <c r="AK48" s="13">
        <f t="shared" si="35"/>
        <v>39.479859284656413</v>
      </c>
      <c r="AL48" s="20">
        <f t="shared" si="4"/>
        <v>336.92865492077664</v>
      </c>
      <c r="AM48" s="59">
        <f t="shared" si="5"/>
        <v>630.26198825410995</v>
      </c>
      <c r="AN48" s="59">
        <f ca="1">AVERAGE(OFFSET($AM$3,0,0,'Données projet'!$E$10+1,1))-AVERAGE(OFFSET($H$3,0,0,'Données projet'!$E$10+1,1))</f>
        <v>188.36883552879721</v>
      </c>
      <c r="AO48" s="59">
        <f t="shared" si="36"/>
        <v>152.51465338737705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0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1">
        <f t="shared" si="32"/>
        <v>12.237728178480605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67">
        <f t="shared" si="1"/>
        <v>349.22044991085374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17.8</v>
      </c>
      <c r="N49" s="13">
        <f>IF('Données projet'!$A$36&gt;35,N48+M49-V48,IF(A49&lt;'Données projet'!$A$36,$K$205^A49,IF(A49='Données projet'!$A$36,'Données projet'!$B$36,N48+M49-V48)))</f>
        <v>557.79999999999995</v>
      </c>
      <c r="O49" s="13">
        <f>N49*VLOOKUP('Données projet'!$B$9,Paramètres!$A$1:$I$89,3,0)*VLOOKUP('Données projet'!$B$9,Paramètres!$A$1:$I$89,5,0)</f>
        <v>311.81020000000001</v>
      </c>
      <c r="P49" s="13">
        <f t="shared" si="33"/>
        <v>73.646743780370684</v>
      </c>
      <c r="Q49" s="20">
        <f t="shared" si="53"/>
        <v>671.33751041747894</v>
      </c>
      <c r="R49" s="59">
        <f t="shared" si="0"/>
        <v>964.67084375081231</v>
      </c>
      <c r="S49" s="59">
        <f ca="1">AVERAGE(OFFSET($R$3,0,0,'Données projet'!$E$9+1,1))-AVERAGE(OFFSET($H$3,0,0,'Données projet'!$E$9+1,1))</f>
        <v>382.58588458673051</v>
      </c>
      <c r="T49" s="59">
        <f t="shared" si="34"/>
        <v>485.5120768430603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75.098771765260992</v>
      </c>
      <c r="AA49" s="21">
        <f>EXP(-LN(2)/25)*AA48+(1-EXP(-LN(2)/25))/(LN(2)/25)*Calculateur!V49*Calculateur!X49*VLOOKUP('Données projet'!$B$9,Paramètres!$A$1:$I$89,3,0)*0.475*44/12</f>
        <v>14.077452099648234</v>
      </c>
      <c r="AB49" s="21">
        <f>EXP(-LN(2)/2)*AB48+(1-EXP(-LN(2)/2))/(LN(2)/2)*V49*Y49*VLOOKUP('Données projet'!$B$9,Paramètres!$A$1:$I$89,3,0)*0.475*44/12</f>
        <v>2.3600768909157341E-2</v>
      </c>
      <c r="AC49" s="22">
        <f t="shared" si="3"/>
        <v>89.19982463381838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9</v>
      </c>
      <c r="AI49" s="13">
        <f>IF('Données projet'!$A$62&gt;35,AI48+AH49-AQ48,IF(A49&lt;'Données projet'!$A$62,$AF$205^A49,IF(A49='Données projet'!$A$62,'Données projet'!$B$62,AI48+AH49-AQ48)))</f>
        <v>219.00000000000006</v>
      </c>
      <c r="AJ49" s="13">
        <f>AI49*VLOOKUP('Données projet'!$B$10,Paramètres!$A$1:$I$89,3,0)*VLOOKUP('Données projet'!$B$10,Paramètres!$A$1:$I$89,5,0)</f>
        <v>160.57080000000005</v>
      </c>
      <c r="AK49" s="13">
        <f t="shared" si="35"/>
        <v>40.971234244168215</v>
      </c>
      <c r="AL49" s="20">
        <f t="shared" si="4"/>
        <v>351.01904297525971</v>
      </c>
      <c r="AM49" s="59">
        <f t="shared" si="5"/>
        <v>644.35237630859297</v>
      </c>
      <c r="AN49" s="59">
        <f ca="1">AVERAGE(OFFSET($AM$3,0,0,'Données projet'!$E$10+1,1))-AVERAGE(OFFSET($H$3,0,0,'Données projet'!$E$10+1,1))</f>
        <v>188.36883552879721</v>
      </c>
      <c r="AO49" s="59">
        <f t="shared" si="36"/>
        <v>152.51465338737705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0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1">
        <f t="shared" si="32"/>
        <v>12.472503937619972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67">
        <f t="shared" si="1"/>
        <v>351.17804102468818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17.8</v>
      </c>
      <c r="N50" s="13">
        <f>IF('Données projet'!$A$36&gt;35,N49+M50-V49,IF(A50&lt;'Données projet'!$A$36,$K$205^A50,IF(A50='Données projet'!$A$36,'Données projet'!$B$36,N49+M50-V49)))</f>
        <v>575.59999999999991</v>
      </c>
      <c r="O50" s="13">
        <f>N50*VLOOKUP('Données projet'!$B$9,Paramètres!$A$1:$I$89,3,0)*VLOOKUP('Données projet'!$B$9,Paramètres!$A$1:$I$89,5,0)</f>
        <v>321.76039999999995</v>
      </c>
      <c r="P50" s="13">
        <f t="shared" si="33"/>
        <v>75.719522083505169</v>
      </c>
      <c r="Q50" s="20">
        <f t="shared" si="53"/>
        <v>692.27753096210472</v>
      </c>
      <c r="R50" s="59">
        <f t="shared" si="0"/>
        <v>985.61086429543798</v>
      </c>
      <c r="S50" s="59">
        <f ca="1">AVERAGE(OFFSET($R$3,0,0,'Données projet'!$E$9+1,1))-AVERAGE(OFFSET($H$3,0,0,'Données projet'!$E$9+1,1))</f>
        <v>382.58588458673051</v>
      </c>
      <c r="T50" s="59">
        <f t="shared" si="34"/>
        <v>485.5120768430603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73.626130656672061</v>
      </c>
      <c r="AA50" s="21">
        <f>EXP(-LN(2)/25)*AA49+(1-EXP(-LN(2)/25))/(LN(2)/25)*Calculateur!V50*Calculateur!X50*VLOOKUP('Données projet'!$B$9,Paramètres!$A$1:$I$89,3,0)*0.475*44/12</f>
        <v>13.692503431682322</v>
      </c>
      <c r="AB50" s="21">
        <f>EXP(-LN(2)/2)*AB49+(1-EXP(-LN(2)/2))/(LN(2)/2)*V50*Y50*VLOOKUP('Données projet'!$B$9,Paramètres!$A$1:$I$89,3,0)*0.475*44/12</f>
        <v>1.6688263736881793E-2</v>
      </c>
      <c r="AC50" s="22">
        <f t="shared" si="3"/>
        <v>87.335322352091268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9</v>
      </c>
      <c r="AI50" s="13">
        <f>IF('Données projet'!$A$62&gt;35,AI49+AH50-AQ49,IF(A50&lt;'Données projet'!$A$62,$AF$205^A50,IF(A50='Données projet'!$A$62,'Données projet'!$B$62,AI49+AH50-AQ49)))</f>
        <v>228.00000000000006</v>
      </c>
      <c r="AJ50" s="13">
        <f>AI50*VLOOKUP('Données projet'!$B$10,Paramètres!$A$1:$I$89,3,0)*VLOOKUP('Données projet'!$B$10,Paramètres!$A$1:$I$89,5,0)</f>
        <v>167.16960000000003</v>
      </c>
      <c r="AK50" s="13">
        <f t="shared" si="35"/>
        <v>42.455490039298851</v>
      </c>
      <c r="AL50" s="20">
        <f t="shared" si="4"/>
        <v>365.09703181844549</v>
      </c>
      <c r="AM50" s="59">
        <f t="shared" si="5"/>
        <v>658.4303651517788</v>
      </c>
      <c r="AN50" s="59">
        <f ca="1">AVERAGE(OFFSET($AM$3,0,0,'Données projet'!$E$10+1,1))-AVERAGE(OFFSET($H$3,0,0,'Données projet'!$E$10+1,1))</f>
        <v>188.36883552879721</v>
      </c>
      <c r="AO50" s="59">
        <f t="shared" si="36"/>
        <v>152.51465338737705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0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1">
        <f t="shared" si="32"/>
        <v>12.706698925204435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67">
        <f t="shared" si="1"/>
        <v>353.13462062806445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17.8</v>
      </c>
      <c r="N51" s="13">
        <f>IF('Données projet'!$A$36&gt;35,N50+M51-V50,IF(A51&lt;'Données projet'!$A$36,$K$205^A51,IF(A51='Données projet'!$A$36,'Données projet'!$B$36,N50+M51-V50)))</f>
        <v>593.39999999999986</v>
      </c>
      <c r="O51" s="13">
        <f>N51*VLOOKUP('Données projet'!$B$9,Paramètres!$A$1:$I$89,3,0)*VLOOKUP('Données projet'!$B$9,Paramètres!$A$1:$I$89,5,0)</f>
        <v>331.71059999999994</v>
      </c>
      <c r="P51" s="13">
        <f t="shared" si="33"/>
        <v>77.784851407016433</v>
      </c>
      <c r="Q51" s="20">
        <f t="shared" si="53"/>
        <v>713.20457786722011</v>
      </c>
      <c r="R51" s="59">
        <f t="shared" si="0"/>
        <v>1006.5379112005535</v>
      </c>
      <c r="S51" s="59">
        <f ca="1">AVERAGE(OFFSET($R$3,0,0,'Données projet'!$E$9+1,1))-AVERAGE(OFFSET($H$3,0,0,'Données projet'!$E$9+1,1))</f>
        <v>382.58588458673051</v>
      </c>
      <c r="T51" s="59">
        <f t="shared" si="34"/>
        <v>485.5120768430603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72.182367142000174</v>
      </c>
      <c r="AA51" s="21">
        <f>EXP(-LN(2)/25)*AA50+(1-EXP(-LN(2)/25))/(LN(2)/25)*Calculateur!V51*Calculateur!X51*VLOOKUP('Données projet'!$B$9,Paramètres!$A$1:$I$89,3,0)*0.475*44/12</f>
        <v>13.318081205285509</v>
      </c>
      <c r="AB51" s="21">
        <f>EXP(-LN(2)/2)*AB50+(1-EXP(-LN(2)/2))/(LN(2)/2)*V51*Y51*VLOOKUP('Données projet'!$B$9,Paramètres!$A$1:$I$89,3,0)*0.475*44/12</f>
        <v>1.180038445457867E-2</v>
      </c>
      <c r="AC51" s="22">
        <f t="shared" si="3"/>
        <v>85.512248731740257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9</v>
      </c>
      <c r="AI51" s="13">
        <f>IF('Données projet'!$A$62&gt;35,AI50+AH51-AQ50,IF(A51&lt;'Données projet'!$A$62,$AF$205^A51,IF(A51='Données projet'!$A$62,'Données projet'!$B$62,AI50+AH51-AQ50)))</f>
        <v>237.00000000000006</v>
      </c>
      <c r="AJ51" s="13">
        <f>AI51*VLOOKUP('Données projet'!$B$10,Paramètres!$A$1:$I$89,3,0)*VLOOKUP('Données projet'!$B$10,Paramètres!$A$1:$I$89,5,0)</f>
        <v>173.76840000000004</v>
      </c>
      <c r="AK51" s="13">
        <f t="shared" si="35"/>
        <v>43.932939846426045</v>
      </c>
      <c r="AL51" s="20">
        <f t="shared" si="4"/>
        <v>379.16316689919205</v>
      </c>
      <c r="AM51" s="59">
        <f t="shared" si="5"/>
        <v>672.49650023252536</v>
      </c>
      <c r="AN51" s="59">
        <f ca="1">AVERAGE(OFFSET($AM$3,0,0,'Données projet'!$E$10+1,1))-AVERAGE(OFFSET($H$3,0,0,'Données projet'!$E$10+1,1))</f>
        <v>188.36883552879721</v>
      </c>
      <c r="AO51" s="59">
        <f t="shared" si="36"/>
        <v>152.51465338737705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0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1">
        <f t="shared" si="32"/>
        <v>12.940326634618209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67">
        <f t="shared" si="1"/>
        <v>355.09021222196009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17.8</v>
      </c>
      <c r="N52" s="13">
        <f>IF('Données projet'!$A$36&gt;35,N51+M52-V51,IF(A52&lt;'Données projet'!$A$36,$K$205^A52,IF(A52='Données projet'!$A$36,'Données projet'!$B$36,N51+M52-V51)))</f>
        <v>611.19999999999982</v>
      </c>
      <c r="O52" s="13">
        <f>N52*VLOOKUP('Données projet'!$B$9,Paramètres!$A$1:$I$89,3,0)*VLOOKUP('Données projet'!$B$9,Paramètres!$A$1:$I$89,5,0)</f>
        <v>341.66079999999988</v>
      </c>
      <c r="P52" s="13">
        <f t="shared" si="33"/>
        <v>79.842980844864144</v>
      </c>
      <c r="Q52" s="20">
        <f t="shared" si="53"/>
        <v>734.11908497147158</v>
      </c>
      <c r="R52" s="59">
        <f t="shared" si="0"/>
        <v>1027.452418304805</v>
      </c>
      <c r="S52" s="59">
        <f ca="1">AVERAGE(OFFSET($R$3,0,0,'Données projet'!$E$9+1,1))-AVERAGE(OFFSET($H$3,0,0,'Données projet'!$E$9+1,1))</f>
        <v>382.58588458673051</v>
      </c>
      <c r="T52" s="59">
        <f t="shared" si="34"/>
        <v>485.5120768430603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70.766914949242206</v>
      </c>
      <c r="AA52" s="21">
        <f>EXP(-LN(2)/25)*AA51+(1-EXP(-LN(2)/25))/(LN(2)/25)*Calculateur!V52*Calculateur!X52*VLOOKUP('Données projet'!$B$9,Paramètres!$A$1:$I$89,3,0)*0.475*44/12</f>
        <v>12.953897574359525</v>
      </c>
      <c r="AB52" s="21">
        <f>EXP(-LN(2)/2)*AB51+(1-EXP(-LN(2)/2))/(LN(2)/2)*V52*Y52*VLOOKUP('Données projet'!$B$9,Paramètres!$A$1:$I$89,3,0)*0.475*44/12</f>
        <v>8.3441318684408967E-3</v>
      </c>
      <c r="AC52" s="22">
        <f t="shared" si="3"/>
        <v>83.729156655470177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9</v>
      </c>
      <c r="AI52" s="13">
        <f>IF('Données projet'!$A$62&gt;35,AI51+AH52-AQ51,IF(A52&lt;'Données projet'!$A$62,$AF$205^A52,IF(A52='Données projet'!$A$62,'Données projet'!$B$62,AI51+AH52-AQ51)))</f>
        <v>246.00000000000006</v>
      </c>
      <c r="AJ52" s="13">
        <f>AI52*VLOOKUP('Données projet'!$B$10,Paramètres!$A$1:$I$89,3,0)*VLOOKUP('Données projet'!$B$10,Paramètres!$A$1:$I$89,5,0)</f>
        <v>180.36720000000003</v>
      </c>
      <c r="AK52" s="13">
        <f t="shared" si="35"/>
        <v>45.403871709149094</v>
      </c>
      <c r="AL52" s="20">
        <f t="shared" si="4"/>
        <v>393.21794989343471</v>
      </c>
      <c r="AM52" s="59">
        <f t="shared" si="5"/>
        <v>686.55128322676796</v>
      </c>
      <c r="AN52" s="59">
        <f ca="1">AVERAGE(OFFSET($AM$3,0,0,'Données projet'!$E$10+1,1))-AVERAGE(OFFSET($H$3,0,0,'Données projet'!$E$10+1,1))</f>
        <v>188.36883552879721</v>
      </c>
      <c r="AO52" s="59">
        <f t="shared" si="36"/>
        <v>152.51465338737705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0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1">
        <f t="shared" si="32"/>
        <v>13.17339997701186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67">
        <f t="shared" si="1"/>
        <v>357.0448382932957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629</v>
      </c>
      <c r="L53" s="12">
        <f>VLOOKUP(A53,'Données projet'!$A$35:$I$55,9,0)</f>
        <v>17.8</v>
      </c>
      <c r="M53" s="12">
        <f t="array" ref="M53">INDEX(L:L,MIN(IF(ISNUMBER(L53:L249),ROW(L53:L249),"")))</f>
        <v>17.8</v>
      </c>
      <c r="N53" s="13">
        <f>IF('Données projet'!$A$36&gt;35,N52+M53-V52,IF(A53&lt;'Données projet'!$A$36,$K$205^A53,IF(A53='Données projet'!$A$36,'Données projet'!$B$36,N52+M53-V52)))</f>
        <v>628.99999999999977</v>
      </c>
      <c r="O53" s="13">
        <f>N53*VLOOKUP('Données projet'!$B$9,Paramètres!$A$1:$I$89,3,0)*VLOOKUP('Données projet'!$B$9,Paramètres!$A$1:$I$89,5,0)</f>
        <v>351.61099999999988</v>
      </c>
      <c r="P53" s="13">
        <f t="shared" si="33"/>
        <v>81.89414415728541</v>
      </c>
      <c r="Q53" s="20">
        <f t="shared" si="53"/>
        <v>755.02145940727178</v>
      </c>
      <c r="R53" s="59">
        <f t="shared" si="0"/>
        <v>1048.354792740605</v>
      </c>
      <c r="S53" s="59">
        <f ca="1">AVERAGE(OFFSET($R$3,0,0,'Données projet'!$E$9+1,1))-AVERAGE(OFFSET($H$3,0,0,'Données projet'!$E$9+1,1))</f>
        <v>382.58588458673051</v>
      </c>
      <c r="T53" s="59">
        <f t="shared" si="34"/>
        <v>485.5120768430603</v>
      </c>
      <c r="U53" s="15">
        <f>IF(ISNA(VLOOKUP(A53,'Données projet'!$A$35:$I$55,3,0)),0,VLOOKUP(A53,'Données projet'!$A$35:$I$55,3,0))</f>
        <v>6</v>
      </c>
      <c r="V53" s="15">
        <f>IF(ISNA(VLOOKUP(A53,'Données projet'!$A$35:$I$55,4,0)),0,VLOOKUP(A53,'Données projet'!$A$35:$I$55,4,0))</f>
        <v>48</v>
      </c>
      <c r="W53" s="16">
        <f>IF(ISNA(VLOOKUP(A53,'Données projet'!$A$35:$I$55,5,0)),0%,VLOOKUP(A53,'Données projet'!$A$35:$I$55,5,0)*VLOOKUP('Données projet'!$B$9,Paramètres!$A$1:$I$89,7,0))</f>
        <v>0.55000000000000004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88.956126518238207</v>
      </c>
      <c r="AA53" s="21">
        <f>EXP(-LN(2)/25)*AA52+(1-EXP(-LN(2)/25))/(LN(2)/25)*Calculateur!V53*Calculateur!X53*VLOOKUP('Données projet'!$B$9,Paramètres!$A$1:$I$89,3,0)*0.475*44/12</f>
        <v>12.599672563972797</v>
      </c>
      <c r="AB53" s="21">
        <f>EXP(-LN(2)/2)*AB52+(1-EXP(-LN(2)/2))/(LN(2)/2)*V53*Y53*VLOOKUP('Données projet'!$B$9,Paramètres!$A$1:$I$89,3,0)*0.475*44/12</f>
        <v>5.9001922272893352E-3</v>
      </c>
      <c r="AC53" s="22">
        <f t="shared" si="3"/>
        <v>101.5616992744383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255</v>
      </c>
      <c r="AG53" s="12">
        <f>VLOOKUP(A53,'Données projet'!$A$61:$I$81,9,0)</f>
        <v>9</v>
      </c>
      <c r="AH53" s="12">
        <f t="array" ref="AH53">INDEX(AG:AG,MIN(IF(ISNUMBER(AG53:AG249),ROW(AG53:AG249),"")))</f>
        <v>9</v>
      </c>
      <c r="AI53" s="13">
        <f>IF('Données projet'!$A$62&gt;35,AI52+AH53-AQ52,IF(A53&lt;'Données projet'!$A$62,$AF$205^A53,IF(A53='Données projet'!$A$62,'Données projet'!$B$62,AI52+AH53-AQ52)))</f>
        <v>255.00000000000006</v>
      </c>
      <c r="AJ53" s="13">
        <f>AI53*VLOOKUP('Données projet'!$B$10,Paramètres!$A$1:$I$89,3,0)*VLOOKUP('Données projet'!$B$10,Paramètres!$A$1:$I$89,5,0)</f>
        <v>186.96600000000004</v>
      </c>
      <c r="AK53" s="13">
        <f t="shared" si="35"/>
        <v>46.868551400324648</v>
      </c>
      <c r="AL53" s="20">
        <f t="shared" si="4"/>
        <v>407.26184368889881</v>
      </c>
      <c r="AM53" s="59">
        <f t="shared" si="5"/>
        <v>700.59517702223206</v>
      </c>
      <c r="AN53" s="59">
        <f ca="1">AVERAGE(OFFSET($AM$3,0,0,'Données projet'!$E$10+1,1))-AVERAGE(OFFSET($H$3,0,0,'Données projet'!$E$10+1,1))</f>
        <v>188.36883552879721</v>
      </c>
      <c r="AO53" s="59">
        <f t="shared" si="36"/>
        <v>152.51465338737705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0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1">
        <f t="shared" si="32"/>
        <v>13.405931317559242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67">
        <f t="shared" si="1"/>
        <v>358.99852037808239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13.8</v>
      </c>
      <c r="N54" s="13">
        <f>IF('Données projet'!$A$36&gt;35,N53+M54-V53,IF(A54&lt;'Données projet'!$A$36,$K$205^A54,IF(A54='Données projet'!$A$36,'Données projet'!$B$36,N53+M54-V53)))</f>
        <v>594.79999999999973</v>
      </c>
      <c r="O54" s="13">
        <f>N54*VLOOKUP('Données projet'!$B$9,Paramètres!$A$1:$I$89,3,0)*VLOOKUP('Données projet'!$B$9,Paramètres!$A$1:$I$89,5,0)</f>
        <v>332.49319999999983</v>
      </c>
      <c r="P54" s="13">
        <f t="shared" si="33"/>
        <v>77.946984490524827</v>
      </c>
      <c r="Q54" s="20">
        <f t="shared" si="53"/>
        <v>714.84998798766367</v>
      </c>
      <c r="R54" s="59">
        <f t="shared" si="0"/>
        <v>1008.183321320997</v>
      </c>
      <c r="S54" s="59">
        <f ca="1">AVERAGE(OFFSET($R$3,0,0,'Données projet'!$E$9+1,1))-AVERAGE(OFFSET($H$3,0,0,'Données projet'!$E$9+1,1))</f>
        <v>382.58588458673051</v>
      </c>
      <c r="T54" s="59">
        <f t="shared" si="34"/>
        <v>485.5120768430603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87.211751135095213</v>
      </c>
      <c r="AA54" s="21">
        <f>EXP(-LN(2)/25)*AA53+(1-EXP(-LN(2)/25))/(LN(2)/25)*Calculateur!V54*Calculateur!X54*VLOOKUP('Données projet'!$B$9,Paramètres!$A$1:$I$89,3,0)*0.475*44/12</f>
        <v>12.255133855122978</v>
      </c>
      <c r="AB54" s="21">
        <f>EXP(-LN(2)/2)*AB53+(1-EXP(-LN(2)/2))/(LN(2)/2)*V54*Y54*VLOOKUP('Données projet'!$B$9,Paramètres!$A$1:$I$89,3,0)*0.475*44/12</f>
        <v>4.1720659342204484E-3</v>
      </c>
      <c r="AC54" s="22">
        <f t="shared" si="3"/>
        <v>99.471057056152418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255.00000000000006</v>
      </c>
      <c r="AJ54" s="13">
        <f>AI54*VLOOKUP('Données projet'!$B$10,Paramètres!$A$1:$I$89,3,0)*VLOOKUP('Données projet'!$B$10,Paramètres!$A$1:$I$89,5,0)</f>
        <v>186.96600000000004</v>
      </c>
      <c r="AK54" s="13">
        <f t="shared" si="35"/>
        <v>46.868551400324648</v>
      </c>
      <c r="AL54" s="20">
        <f t="shared" si="4"/>
        <v>407.26184368889881</v>
      </c>
      <c r="AM54" s="59">
        <f t="shared" si="5"/>
        <v>700.59517702223206</v>
      </c>
      <c r="AN54" s="59">
        <f ca="1">AVERAGE(OFFSET($AM$3,0,0,'Données projet'!$E$10+1,1))-AVERAGE(OFFSET($H$3,0,0,'Données projet'!$E$10+1,1))</f>
        <v>188.36883552879721</v>
      </c>
      <c r="AO54" s="59">
        <f t="shared" si="36"/>
        <v>152.51465338737705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0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1">
        <f t="shared" si="32"/>
        <v>13.637932508790366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67">
        <f t="shared" si="1"/>
        <v>360.95127911947662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13.8</v>
      </c>
      <c r="N55" s="13">
        <f>IF('Données projet'!$A$36&gt;35,N54+M55-V54,IF(A55&lt;'Données projet'!$A$36,$K$205^A55,IF(A55='Données projet'!$A$36,'Données projet'!$B$36,N54+M55-V54)))</f>
        <v>608.59999999999968</v>
      </c>
      <c r="O55" s="13">
        <f>N55*VLOOKUP('Données projet'!$B$9,Paramètres!$A$1:$I$89,3,0)*VLOOKUP('Données projet'!$B$9,Paramètres!$A$1:$I$89,5,0)</f>
        <v>340.20739999999984</v>
      </c>
      <c r="P55" s="13">
        <f t="shared" si="33"/>
        <v>79.542795053996059</v>
      </c>
      <c r="Q55" s="20">
        <f t="shared" si="53"/>
        <v>731.06492305237623</v>
      </c>
      <c r="R55" s="59">
        <f t="shared" si="0"/>
        <v>1024.3982563857096</v>
      </c>
      <c r="S55" s="59">
        <f ca="1">AVERAGE(OFFSET($R$3,0,0,'Données projet'!$E$9+1,1))-AVERAGE(OFFSET($H$3,0,0,'Données projet'!$E$9+1,1))</f>
        <v>382.58588458673051</v>
      </c>
      <c r="T55" s="59">
        <f t="shared" si="34"/>
        <v>485.5120768430603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85.501581889251725</v>
      </c>
      <c r="AA55" s="21">
        <f>EXP(-LN(2)/25)*AA54+(1-EXP(-LN(2)/25))/(LN(2)/25)*Calculateur!V55*Calculateur!X55*VLOOKUP('Données projet'!$B$9,Paramètres!$A$1:$I$89,3,0)*0.475*44/12</f>
        <v>11.92001657538516</v>
      </c>
      <c r="AB55" s="21">
        <f>EXP(-LN(2)/2)*AB54+(1-EXP(-LN(2)/2))/(LN(2)/2)*V55*Y55*VLOOKUP('Données projet'!$B$9,Paramètres!$A$1:$I$89,3,0)*0.475*44/12</f>
        <v>2.9500961136446676E-3</v>
      </c>
      <c r="AC55" s="22">
        <f t="shared" si="3"/>
        <v>97.424548560750537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255.00000000000006</v>
      </c>
      <c r="AJ55" s="13">
        <f>AI55*VLOOKUP('Données projet'!$B$10,Paramètres!$A$1:$I$89,3,0)*VLOOKUP('Données projet'!$B$10,Paramètres!$A$1:$I$89,5,0)</f>
        <v>186.96600000000004</v>
      </c>
      <c r="AK55" s="13">
        <f t="shared" si="35"/>
        <v>46.868551400324648</v>
      </c>
      <c r="AL55" s="20">
        <f t="shared" si="4"/>
        <v>407.26184368889881</v>
      </c>
      <c r="AM55" s="59">
        <f t="shared" si="5"/>
        <v>700.59517702223206</v>
      </c>
      <c r="AN55" s="59">
        <f ca="1">AVERAGE(OFFSET($AM$3,0,0,'Données projet'!$E$10+1,1))-AVERAGE(OFFSET($H$3,0,0,'Données projet'!$E$10+1,1))</f>
        <v>188.36883552879721</v>
      </c>
      <c r="AO55" s="59">
        <f t="shared" si="36"/>
        <v>152.51465338737705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0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1">
        <f t="shared" si="32"/>
        <v>13.869414921287754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67">
        <f t="shared" si="1"/>
        <v>362.90313432124293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13.8</v>
      </c>
      <c r="N56" s="13">
        <f>IF('Données projet'!$A$36&gt;35,N55+M56-V55,IF(A56&lt;'Données projet'!$A$36,$K$205^A56,IF(A56='Données projet'!$A$36,'Données projet'!$B$36,N55+M56-V55)))</f>
        <v>622.39999999999964</v>
      </c>
      <c r="O56" s="13">
        <f>N56*VLOOKUP('Données projet'!$B$9,Paramètres!$A$1:$I$89,3,0)*VLOOKUP('Données projet'!$B$9,Paramètres!$A$1:$I$89,5,0)</f>
        <v>347.92159999999978</v>
      </c>
      <c r="P56" s="13">
        <f t="shared" si="33"/>
        <v>81.134398856989449</v>
      </c>
      <c r="Q56" s="20">
        <f t="shared" si="53"/>
        <v>747.27253134258956</v>
      </c>
      <c r="R56" s="59">
        <f t="shared" si="0"/>
        <v>1040.6058646759229</v>
      </c>
      <c r="S56" s="59">
        <f ca="1">AVERAGE(OFFSET($R$3,0,0,'Données projet'!$E$9+1,1))-AVERAGE(OFFSET($H$3,0,0,'Données projet'!$E$9+1,1))</f>
        <v>382.58588458673051</v>
      </c>
      <c r="T56" s="59">
        <f t="shared" si="34"/>
        <v>485.5120768430603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83.824948019218979</v>
      </c>
      <c r="AA56" s="21">
        <f>EXP(-LN(2)/25)*AA55+(1-EXP(-LN(2)/25))/(LN(2)/25)*Calculateur!V56*Calculateur!X56*VLOOKUP('Données projet'!$B$9,Paramètres!$A$1:$I$89,3,0)*0.475*44/12</f>
        <v>11.594063095284826</v>
      </c>
      <c r="AB56" s="21">
        <f>EXP(-LN(2)/2)*AB55+(1-EXP(-LN(2)/2))/(LN(2)/2)*V56*Y56*VLOOKUP('Données projet'!$B$9,Paramètres!$A$1:$I$89,3,0)*0.475*44/12</f>
        <v>2.0860329671102242E-3</v>
      </c>
      <c r="AC56" s="22">
        <f t="shared" si="3"/>
        <v>95.421097147470917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255.00000000000006</v>
      </c>
      <c r="AJ56" s="13">
        <f>AI56*VLOOKUP('Données projet'!$B$10,Paramètres!$A$1:$I$89,3,0)*VLOOKUP('Données projet'!$B$10,Paramètres!$A$1:$I$89,5,0)</f>
        <v>186.96600000000004</v>
      </c>
      <c r="AK56" s="13">
        <f t="shared" si="35"/>
        <v>46.868551400324648</v>
      </c>
      <c r="AL56" s="20">
        <f t="shared" si="4"/>
        <v>407.26184368889881</v>
      </c>
      <c r="AM56" s="59">
        <f t="shared" si="5"/>
        <v>700.59517702223206</v>
      </c>
      <c r="AN56" s="59">
        <f ca="1">AVERAGE(OFFSET($AM$3,0,0,'Données projet'!$E$10+1,1))-AVERAGE(OFFSET($H$3,0,0,'Données projet'!$E$10+1,1))</f>
        <v>188.36883552879721</v>
      </c>
      <c r="AO56" s="59">
        <f t="shared" si="36"/>
        <v>152.51465338737705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0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1">
        <f t="shared" si="32"/>
        <v>14.100389472000563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67">
        <f t="shared" si="1"/>
        <v>364.85410499706774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13.8</v>
      </c>
      <c r="N57" s="13">
        <f>IF('Données projet'!$A$36&gt;35,N56+M57-V56,IF(A57&lt;'Données projet'!$A$36,$K$205^A57,IF(A57='Données projet'!$A$36,'Données projet'!$B$36,N56+M57-V56)))</f>
        <v>636.19999999999959</v>
      </c>
      <c r="O57" s="13">
        <f>N57*VLOOKUP('Données projet'!$B$9,Paramètres!$A$1:$I$89,3,0)*VLOOKUP('Données projet'!$B$9,Paramètres!$A$1:$I$89,5,0)</f>
        <v>355.63579999999973</v>
      </c>
      <c r="P57" s="13">
        <f t="shared" si="33"/>
        <v>82.721899912765039</v>
      </c>
      <c r="Q57" s="20">
        <f t="shared" si="53"/>
        <v>763.47299401473185</v>
      </c>
      <c r="R57" s="59">
        <f t="shared" si="0"/>
        <v>1056.8063273480652</v>
      </c>
      <c r="S57" s="59">
        <f ca="1">AVERAGE(OFFSET($R$3,0,0,'Données projet'!$E$9+1,1))-AVERAGE(OFFSET($H$3,0,0,'Données projet'!$E$9+1,1))</f>
        <v>382.58588458673051</v>
      </c>
      <c r="T57" s="59">
        <f t="shared" si="34"/>
        <v>485.5120768430603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82.181191916731905</v>
      </c>
      <c r="AA57" s="21">
        <f>EXP(-LN(2)/25)*AA56+(1-EXP(-LN(2)/25))/(LN(2)/25)*Calculateur!V57*Calculateur!X57*VLOOKUP('Données projet'!$B$9,Paramètres!$A$1:$I$89,3,0)*0.475*44/12</f>
        <v>11.277022830238982</v>
      </c>
      <c r="AB57" s="21">
        <f>EXP(-LN(2)/2)*AB56+(1-EXP(-LN(2)/2))/(LN(2)/2)*V57*Y57*VLOOKUP('Données projet'!$B$9,Paramètres!$A$1:$I$89,3,0)*0.475*44/12</f>
        <v>1.4750480568223338E-3</v>
      </c>
      <c r="AC57" s="22">
        <f t="shared" si="3"/>
        <v>93.4596897950277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255.00000000000006</v>
      </c>
      <c r="AJ57" s="13">
        <f>AI57*VLOOKUP('Données projet'!$B$10,Paramètres!$A$1:$I$89,3,0)*VLOOKUP('Données projet'!$B$10,Paramètres!$A$1:$I$89,5,0)</f>
        <v>186.96600000000004</v>
      </c>
      <c r="AK57" s="13">
        <f t="shared" si="35"/>
        <v>46.868551400324648</v>
      </c>
      <c r="AL57" s="20">
        <f t="shared" si="4"/>
        <v>407.26184368889881</v>
      </c>
      <c r="AM57" s="59">
        <f t="shared" si="5"/>
        <v>700.59517702223206</v>
      </c>
      <c r="AN57" s="59">
        <f ca="1">AVERAGE(OFFSET($AM$3,0,0,'Données projet'!$E$10+1,1))-AVERAGE(OFFSET($H$3,0,0,'Données projet'!$E$10+1,1))</f>
        <v>188.36883552879721</v>
      </c>
      <c r="AO57" s="59">
        <f t="shared" si="36"/>
        <v>152.51465338737705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0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1">
        <f t="shared" si="32"/>
        <v>14.330866650402033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67">
        <f t="shared" si="1"/>
        <v>366.80420941611692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650</v>
      </c>
      <c r="L58" s="12">
        <f>VLOOKUP(A58,'Données projet'!$A$35:$I$55,9,0)</f>
        <v>13.8</v>
      </c>
      <c r="M58" s="12">
        <f t="array" ref="M58">INDEX(L:L,MIN(IF(ISNUMBER(L58:L254),ROW(L58:L254),"")))</f>
        <v>13.8</v>
      </c>
      <c r="N58" s="13">
        <f>IF('Données projet'!$A$36&gt;35,N57+M58-V57,IF(A58&lt;'Données projet'!$A$36,$K$205^A58,IF(A58='Données projet'!$A$36,'Données projet'!$B$36,N57+M58-V57)))</f>
        <v>649.99999999999955</v>
      </c>
      <c r="O58" s="13">
        <f>N58*VLOOKUP('Données projet'!$B$9,Paramètres!$A$1:$I$89,3,0)*VLOOKUP('Données projet'!$B$9,Paramètres!$A$1:$I$89,5,0)</f>
        <v>363.34999999999974</v>
      </c>
      <c r="P58" s="13">
        <f t="shared" si="33"/>
        <v>84.305397464498199</v>
      </c>
      <c r="Q58" s="20">
        <f t="shared" si="53"/>
        <v>779.66648391733395</v>
      </c>
      <c r="R58" s="59">
        <f t="shared" si="0"/>
        <v>1072.9998172506673</v>
      </c>
      <c r="S58" s="59">
        <f ca="1">AVERAGE(OFFSET($R$3,0,0,'Données projet'!$E$9+1,1))-AVERAGE(OFFSET($H$3,0,0,'Données projet'!$E$9+1,1))</f>
        <v>382.58588458673051</v>
      </c>
      <c r="T58" s="59">
        <f t="shared" si="34"/>
        <v>485.5120768430603</v>
      </c>
      <c r="U58" s="15">
        <f>IF(ISNA(VLOOKUP(A58,'Données projet'!$A$35:$I$55,3,0)),0,VLOOKUP(A58,'Données projet'!$A$35:$I$55,3,0))</f>
        <v>7</v>
      </c>
      <c r="V58" s="15">
        <f>IF(ISNA(VLOOKUP(A58,'Données projet'!$A$35:$I$55,4,0)),0,VLOOKUP(A58,'Données projet'!$A$35:$I$55,4,0))</f>
        <v>35</v>
      </c>
      <c r="W58" s="16">
        <f>IF(ISNA(VLOOKUP(A58,'Données projet'!$A$35:$I$55,5,0)),0%,VLOOKUP(A58,'Données projet'!$A$35:$I$55,5,0)*VLOOKUP('Données projet'!$B$9,Paramètres!$A$1:$I$89,7,0))</f>
        <v>0.55000000000000004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94.844497332693408</v>
      </c>
      <c r="AA58" s="21">
        <f>EXP(-LN(2)/25)*AA57+(1-EXP(-LN(2)/25))/(LN(2)/25)*Calculateur!V58*Calculateur!X58*VLOOKUP('Données projet'!$B$9,Paramètres!$A$1:$I$89,3,0)*0.475*44/12</f>
        <v>10.96865204791324</v>
      </c>
      <c r="AB58" s="21">
        <f>EXP(-LN(2)/2)*AB57+(1-EXP(-LN(2)/2))/(LN(2)/2)*V58*Y58*VLOOKUP('Données projet'!$B$9,Paramètres!$A$1:$I$89,3,0)*0.475*44/12</f>
        <v>1.0430164835551121E-3</v>
      </c>
      <c r="AC58" s="22">
        <f t="shared" si="3"/>
        <v>105.8141923970902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255.00000000000006</v>
      </c>
      <c r="AJ58" s="13">
        <f>AI58*VLOOKUP('Données projet'!$B$10,Paramètres!$A$1:$I$89,3,0)*VLOOKUP('Données projet'!$B$10,Paramètres!$A$1:$I$89,5,0)</f>
        <v>186.96600000000004</v>
      </c>
      <c r="AK58" s="13">
        <f t="shared" si="35"/>
        <v>46.868551400324648</v>
      </c>
      <c r="AL58" s="20">
        <f t="shared" si="4"/>
        <v>407.26184368889881</v>
      </c>
      <c r="AM58" s="59">
        <f t="shared" si="5"/>
        <v>700.59517702223206</v>
      </c>
      <c r="AN58" s="59">
        <f ca="1">AVERAGE(OFFSET($AM$3,0,0,'Données projet'!$E$10+1,1))-AVERAGE(OFFSET($H$3,0,0,'Données projet'!$E$10+1,1))</f>
        <v>188.36883552879721</v>
      </c>
      <c r="AO58" s="59">
        <f t="shared" si="36"/>
        <v>152.51465338737705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0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1">
        <f t="shared" si="32"/>
        <v>14.560856542690786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67">
        <f t="shared" si="1"/>
        <v>368.75346514518651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10.199999999999999</v>
      </c>
      <c r="N59" s="13">
        <f>IF('Données projet'!$A$36&gt;35,N58+M59-V58,IF(A59&lt;'Données projet'!$A$36,$K$205^A59,IF(A59='Données projet'!$A$36,'Données projet'!$B$36,N58+M59-V58)))</f>
        <v>625.19999999999959</v>
      </c>
      <c r="O59" s="13">
        <f>N59*VLOOKUP('Données projet'!$B$9,Paramètres!$A$1:$I$89,3,0)*VLOOKUP('Données projet'!$B$9,Paramètres!$A$1:$I$89,5,0)</f>
        <v>349.48679999999979</v>
      </c>
      <c r="P59" s="13">
        <f t="shared" si="33"/>
        <v>81.45682900536228</v>
      </c>
      <c r="Q59" s="20">
        <f t="shared" si="53"/>
        <v>750.56015385100557</v>
      </c>
      <c r="R59" s="59">
        <f t="shared" si="0"/>
        <v>1043.8934871843389</v>
      </c>
      <c r="S59" s="59">
        <f ca="1">AVERAGE(OFFSET($R$3,0,0,'Données projet'!$E$9+1,1))-AVERAGE(OFFSET($H$3,0,0,'Données projet'!$E$9+1,1))</f>
        <v>382.58588458673051</v>
      </c>
      <c r="T59" s="59">
        <f t="shared" si="34"/>
        <v>485.5120768430603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92.984654589430505</v>
      </c>
      <c r="AA59" s="21">
        <f>EXP(-LN(2)/25)*AA58+(1-EXP(-LN(2)/25))/(LN(2)/25)*Calculateur!V59*Calculateur!X59*VLOOKUP('Données projet'!$B$9,Paramètres!$A$1:$I$89,3,0)*0.475*44/12</f>
        <v>10.668713680846711</v>
      </c>
      <c r="AB59" s="21">
        <f>EXP(-LN(2)/2)*AB58+(1-EXP(-LN(2)/2))/(LN(2)/2)*V59*Y59*VLOOKUP('Données projet'!$B$9,Paramètres!$A$1:$I$89,3,0)*0.475*44/12</f>
        <v>7.375240284111669E-4</v>
      </c>
      <c r="AC59" s="22">
        <f t="shared" si="3"/>
        <v>103.65410579430562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255.00000000000006</v>
      </c>
      <c r="AJ59" s="13">
        <f>AI59*VLOOKUP('Données projet'!$B$10,Paramètres!$A$1:$I$89,3,0)*VLOOKUP('Données projet'!$B$10,Paramètres!$A$1:$I$89,5,0)</f>
        <v>186.96600000000004</v>
      </c>
      <c r="AK59" s="13">
        <f t="shared" si="35"/>
        <v>46.868551400324648</v>
      </c>
      <c r="AL59" s="20">
        <f t="shared" si="4"/>
        <v>407.26184368889881</v>
      </c>
      <c r="AM59" s="59">
        <f t="shared" si="5"/>
        <v>700.59517702223206</v>
      </c>
      <c r="AN59" s="59">
        <f ca="1">AVERAGE(OFFSET($AM$3,0,0,'Données projet'!$E$10+1,1))-AVERAGE(OFFSET($H$3,0,0,'Données projet'!$E$10+1,1))</f>
        <v>188.36883552879721</v>
      </c>
      <c r="AO59" s="59">
        <f t="shared" si="36"/>
        <v>152.51465338737705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0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1">
        <f t="shared" si="32"/>
        <v>14.790368854214481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67">
        <f t="shared" si="1"/>
        <v>370.70188908775697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10.199999999999999</v>
      </c>
      <c r="N60" s="13">
        <f>IF('Données projet'!$A$36&gt;35,N59+M60-V59,IF(A60&lt;'Données projet'!$A$36,$K$205^A60,IF(A60='Données projet'!$A$36,'Données projet'!$B$36,N59+M60-V59)))</f>
        <v>635.39999999999964</v>
      </c>
      <c r="O60" s="13">
        <f>N60*VLOOKUP('Données projet'!$B$9,Paramètres!$A$1:$I$89,3,0)*VLOOKUP('Données projet'!$B$9,Paramètres!$A$1:$I$89,5,0)</f>
        <v>355.18859999999984</v>
      </c>
      <c r="P60" s="13">
        <f t="shared" si="33"/>
        <v>82.629981116726043</v>
      </c>
      <c r="Q60" s="20">
        <f t="shared" si="53"/>
        <v>762.53402877829774</v>
      </c>
      <c r="R60" s="59">
        <f t="shared" si="0"/>
        <v>1055.8673621116311</v>
      </c>
      <c r="S60" s="59">
        <f ca="1">AVERAGE(OFFSET($R$3,0,0,'Données projet'!$E$9+1,1))-AVERAGE(OFFSET($H$3,0,0,'Données projet'!$E$9+1,1))</f>
        <v>382.58588458673051</v>
      </c>
      <c r="T60" s="59">
        <f t="shared" si="34"/>
        <v>485.5120768430603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91.161282227970929</v>
      </c>
      <c r="AA60" s="21">
        <f>EXP(-LN(2)/25)*AA59+(1-EXP(-LN(2)/25))/(LN(2)/25)*Calculateur!V60*Calculateur!X60*VLOOKUP('Données projet'!$B$9,Paramètres!$A$1:$I$89,3,0)*0.475*44/12</f>
        <v>10.376977144200689</v>
      </c>
      <c r="AB60" s="21">
        <f>EXP(-LN(2)/2)*AB59+(1-EXP(-LN(2)/2))/(LN(2)/2)*V60*Y60*VLOOKUP('Données projet'!$B$9,Paramètres!$A$1:$I$89,3,0)*0.475*44/12</f>
        <v>5.2150824177755605E-4</v>
      </c>
      <c r="AC60" s="22">
        <f t="shared" si="3"/>
        <v>101.5387808804134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255.00000000000006</v>
      </c>
      <c r="AJ60" s="13">
        <f>AI60*VLOOKUP('Données projet'!$B$10,Paramètres!$A$1:$I$89,3,0)*VLOOKUP('Données projet'!$B$10,Paramètres!$A$1:$I$89,5,0)</f>
        <v>186.96600000000004</v>
      </c>
      <c r="AK60" s="13">
        <f t="shared" si="35"/>
        <v>46.868551400324648</v>
      </c>
      <c r="AL60" s="20">
        <f t="shared" si="4"/>
        <v>407.26184368889881</v>
      </c>
      <c r="AM60" s="59">
        <f t="shared" si="5"/>
        <v>700.59517702223206</v>
      </c>
      <c r="AN60" s="59">
        <f ca="1">AVERAGE(OFFSET($AM$3,0,0,'Données projet'!$E$10+1,1))-AVERAGE(OFFSET($H$3,0,0,'Données projet'!$E$10+1,1))</f>
        <v>188.36883552879721</v>
      </c>
      <c r="AO60" s="59">
        <f t="shared" si="36"/>
        <v>152.51465338737705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0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1">
        <f t="shared" si="32"/>
        <v>15.01941293027533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67">
        <f t="shared" si="1"/>
        <v>372.6494975202296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10.199999999999999</v>
      </c>
      <c r="N61" s="13">
        <f>IF('Données projet'!$A$36&gt;35,N60+M61-V60,IF(A61&lt;'Données projet'!$A$36,$K$205^A61,IF(A61='Données projet'!$A$36,'Données projet'!$B$36,N60+M61-V60)))</f>
        <v>645.59999999999968</v>
      </c>
      <c r="O61" s="13">
        <f>N61*VLOOKUP('Données projet'!$B$9,Paramètres!$A$1:$I$89,3,0)*VLOOKUP('Données projet'!$B$9,Paramètres!$A$1:$I$89,5,0)</f>
        <v>360.89039999999977</v>
      </c>
      <c r="P61" s="13">
        <f t="shared" si="33"/>
        <v>83.800943075865291</v>
      </c>
      <c r="Q61" s="20">
        <f t="shared" si="53"/>
        <v>774.50408919046504</v>
      </c>
      <c r="R61" s="59">
        <f t="shared" si="0"/>
        <v>1067.8374225237983</v>
      </c>
      <c r="S61" s="59">
        <f ca="1">AVERAGE(OFFSET($R$3,0,0,'Données projet'!$E$9+1,1))-AVERAGE(OFFSET($H$3,0,0,'Données projet'!$E$9+1,1))</f>
        <v>382.58588458673051</v>
      </c>
      <c r="T61" s="59">
        <f t="shared" si="34"/>
        <v>485.5120768430603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89.373665086372242</v>
      </c>
      <c r="AA61" s="21">
        <f>EXP(-LN(2)/25)*AA60+(1-EXP(-LN(2)/25))/(LN(2)/25)*Calculateur!V61*Calculateur!X61*VLOOKUP('Données projet'!$B$9,Paramètres!$A$1:$I$89,3,0)*0.475*44/12</f>
        <v>10.093218158491009</v>
      </c>
      <c r="AB61" s="21">
        <f>EXP(-LN(2)/2)*AB60+(1-EXP(-LN(2)/2))/(LN(2)/2)*V61*Y61*VLOOKUP('Données projet'!$B$9,Paramètres!$A$1:$I$89,3,0)*0.475*44/12</f>
        <v>3.6876201420558345E-4</v>
      </c>
      <c r="AC61" s="22">
        <f t="shared" si="3"/>
        <v>99.467252006877459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255.00000000000006</v>
      </c>
      <c r="AJ61" s="13">
        <f>AI61*VLOOKUP('Données projet'!$B$10,Paramètres!$A$1:$I$89,3,0)*VLOOKUP('Données projet'!$B$10,Paramètres!$A$1:$I$89,5,0)</f>
        <v>186.96600000000004</v>
      </c>
      <c r="AK61" s="13">
        <f t="shared" si="35"/>
        <v>46.868551400324648</v>
      </c>
      <c r="AL61" s="20">
        <f t="shared" si="4"/>
        <v>407.26184368889881</v>
      </c>
      <c r="AM61" s="59">
        <f t="shared" si="5"/>
        <v>700.59517702223206</v>
      </c>
      <c r="AN61" s="59">
        <f ca="1">AVERAGE(OFFSET($AM$3,0,0,'Données projet'!$E$10+1,1))-AVERAGE(OFFSET($H$3,0,0,'Données projet'!$E$10+1,1))</f>
        <v>188.36883552879721</v>
      </c>
      <c r="AO61" s="59">
        <f t="shared" si="36"/>
        <v>152.51465338737705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0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1">
        <f t="shared" si="32"/>
        <v>15.247997775460181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67">
        <f t="shared" si="1"/>
        <v>374.59630612559323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10.199999999999999</v>
      </c>
      <c r="N62" s="13">
        <f>IF('Données projet'!$A$36&gt;35,N61+M62-V61,IF(A62&lt;'Données projet'!$A$36,$K$205^A62,IF(A62='Données projet'!$A$36,'Données projet'!$B$36,N61+M62-V61)))</f>
        <v>655.79999999999973</v>
      </c>
      <c r="O62" s="13">
        <f>N62*VLOOKUP('Données projet'!$B$9,Paramètres!$A$1:$I$89,3,0)*VLOOKUP('Données projet'!$B$9,Paramètres!$A$1:$I$89,5,0)</f>
        <v>366.59219999999982</v>
      </c>
      <c r="P62" s="13">
        <f t="shared" si="33"/>
        <v>84.969753481055022</v>
      </c>
      <c r="Q62" s="20">
        <f t="shared" si="53"/>
        <v>786.47040231283711</v>
      </c>
      <c r="R62" s="59">
        <f t="shared" si="0"/>
        <v>1079.8037356461705</v>
      </c>
      <c r="S62" s="59">
        <f ca="1">AVERAGE(OFFSET($R$3,0,0,'Données projet'!$E$9+1,1))-AVERAGE(OFFSET($H$3,0,0,'Données projet'!$E$9+1,1))</f>
        <v>382.58588458673051</v>
      </c>
      <c r="T62" s="59">
        <f t="shared" si="34"/>
        <v>485.5120768430603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87.621102026581511</v>
      </c>
      <c r="AA62" s="21">
        <f>EXP(-LN(2)/25)*AA61+(1-EXP(-LN(2)/25))/(LN(2)/25)*Calculateur!V62*Calculateur!X62*VLOOKUP('Données projet'!$B$9,Paramètres!$A$1:$I$89,3,0)*0.475*44/12</f>
        <v>9.8172185771677984</v>
      </c>
      <c r="AB62" s="21">
        <f>EXP(-LN(2)/2)*AB61+(1-EXP(-LN(2)/2))/(LN(2)/2)*V62*Y62*VLOOKUP('Données projet'!$B$9,Paramètres!$A$1:$I$89,3,0)*0.475*44/12</f>
        <v>2.6075412088877802E-4</v>
      </c>
      <c r="AC62" s="22">
        <f t="shared" si="3"/>
        <v>97.438581357870191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255.00000000000006</v>
      </c>
      <c r="AJ62" s="13">
        <f>AI62*VLOOKUP('Données projet'!$B$10,Paramètres!$A$1:$I$89,3,0)*VLOOKUP('Données projet'!$B$10,Paramètres!$A$1:$I$89,5,0)</f>
        <v>186.96600000000004</v>
      </c>
      <c r="AK62" s="13">
        <f t="shared" si="35"/>
        <v>46.868551400324648</v>
      </c>
      <c r="AL62" s="20">
        <f t="shared" si="4"/>
        <v>407.26184368889881</v>
      </c>
      <c r="AM62" s="59">
        <f t="shared" si="5"/>
        <v>700.59517702223206</v>
      </c>
      <c r="AN62" s="59">
        <f ca="1">AVERAGE(OFFSET($AM$3,0,0,'Données projet'!$E$10+1,1))-AVERAGE(OFFSET($H$3,0,0,'Données projet'!$E$10+1,1))</f>
        <v>188.36883552879721</v>
      </c>
      <c r="AO62" s="59">
        <f t="shared" si="36"/>
        <v>152.51465338737705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0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1">
        <f t="shared" si="32"/>
        <v>15.476132071622855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67">
        <f t="shared" si="1"/>
        <v>376.54233002474325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666</v>
      </c>
      <c r="L63" s="12">
        <f>VLOOKUP(A63,'Données projet'!$A$35:$I$55,9,0)</f>
        <v>10.199999999999999</v>
      </c>
      <c r="M63" s="12">
        <f t="array" ref="M63">INDEX(L:L,MIN(IF(ISNUMBER(L63:L259),ROW(L63:L259),"")))</f>
        <v>10.199999999999999</v>
      </c>
      <c r="N63" s="13">
        <f>IF('Données projet'!$A$36&gt;35,N62+M63-V62,IF(A63&lt;'Données projet'!$A$36,$K$205^A63,IF(A63='Données projet'!$A$36,'Données projet'!$B$36,N62+M63-V62)))</f>
        <v>665.99999999999977</v>
      </c>
      <c r="O63" s="13">
        <f>N63*VLOOKUP('Données projet'!$B$9,Paramètres!$A$1:$I$89,3,0)*VLOOKUP('Données projet'!$B$9,Paramètres!$A$1:$I$89,5,0)</f>
        <v>372.29399999999987</v>
      </c>
      <c r="P63" s="13">
        <f t="shared" si="33"/>
        <v>86.136449661008839</v>
      </c>
      <c r="Q63" s="20">
        <f t="shared" si="53"/>
        <v>798.43303315959008</v>
      </c>
      <c r="R63" s="59">
        <f t="shared" si="0"/>
        <v>1091.7663664929235</v>
      </c>
      <c r="S63" s="59">
        <f ca="1">AVERAGE(OFFSET($R$3,0,0,'Données projet'!$E$9+1,1))-AVERAGE(OFFSET($H$3,0,0,'Données projet'!$E$9+1,1))</f>
        <v>382.58588458673051</v>
      </c>
      <c r="T63" s="59">
        <f t="shared" si="34"/>
        <v>485.5120768430603</v>
      </c>
      <c r="U63" s="15">
        <f>IF(ISNA(VLOOKUP(A63,'Données projet'!$A$35:$I$55,3,0)),0,VLOOKUP(A63,'Données projet'!$A$35:$I$55,3,0))</f>
        <v>8</v>
      </c>
      <c r="V63" s="15">
        <f>IF(ISNA(VLOOKUP(A63,'Données projet'!$A$35:$I$55,4,0)),0,VLOOKUP(A63,'Données projet'!$A$35:$I$55,4,0))</f>
        <v>29</v>
      </c>
      <c r="W63" s="16">
        <f>IF(ISNA(VLOOKUP(A63,'Données projet'!$A$35:$I$55,5,0)),0%,VLOOKUP(A63,'Données projet'!$A$35:$I$55,5,0)*VLOOKUP('Données projet'!$B$9,Paramètres!$A$1:$I$89,7,0))</f>
        <v>0.55000000000000004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97.730620672357077</v>
      </c>
      <c r="AA63" s="21">
        <f>EXP(-LN(2)/25)*AA62+(1-EXP(-LN(2)/25))/(LN(2)/25)*Calculateur!V63*Calculateur!X63*VLOOKUP('Données projet'!$B$9,Paramètres!$A$1:$I$89,3,0)*0.475*44/12</f>
        <v>9.5487662189100568</v>
      </c>
      <c r="AB63" s="21">
        <f>EXP(-LN(2)/2)*AB62+(1-EXP(-LN(2)/2))/(LN(2)/2)*V63*Y63*VLOOKUP('Données projet'!$B$9,Paramètres!$A$1:$I$89,3,0)*0.475*44/12</f>
        <v>1.8438100710279173E-4</v>
      </c>
      <c r="AC63" s="22">
        <f t="shared" si="3"/>
        <v>107.27957127227424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255.00000000000006</v>
      </c>
      <c r="AJ63" s="13">
        <f>AI63*VLOOKUP('Données projet'!$B$10,Paramètres!$A$1:$I$89,3,0)*VLOOKUP('Données projet'!$B$10,Paramètres!$A$1:$I$89,5,0)</f>
        <v>186.96600000000004</v>
      </c>
      <c r="AK63" s="13">
        <f t="shared" si="35"/>
        <v>46.868551400324648</v>
      </c>
      <c r="AL63" s="20">
        <f t="shared" si="4"/>
        <v>407.26184368889881</v>
      </c>
      <c r="AM63" s="59">
        <f t="shared" si="5"/>
        <v>700.59517702223206</v>
      </c>
      <c r="AN63" s="59">
        <f ca="1">AVERAGE(OFFSET($AM$3,0,0,'Données projet'!$E$10+1,1))-AVERAGE(OFFSET($H$3,0,0,'Données projet'!$E$10+1,1))</f>
        <v>188.36883552879721</v>
      </c>
      <c r="AO63" s="59">
        <f t="shared" si="36"/>
        <v>152.51465338737705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0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0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1">
        <f t="shared" si="32"/>
        <v>15.703824194633762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67">
        <f t="shared" si="1"/>
        <v>378.48758380565391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636.99999999999977</v>
      </c>
      <c r="O64" s="13">
        <f>N64*VLOOKUP('Données projet'!$B$9,Paramètres!$A$1:$I$89,3,0)*VLOOKUP('Données projet'!$B$9,Paramètres!$A$1:$I$89,5,0)</f>
        <v>356.08299999999991</v>
      </c>
      <c r="P64" s="13">
        <f t="shared" si="33"/>
        <v>82.813805255716545</v>
      </c>
      <c r="Q64" s="20">
        <f t="shared" si="53"/>
        <v>764.41193582037283</v>
      </c>
      <c r="R64" s="59">
        <f t="shared" si="0"/>
        <v>1057.7452691537062</v>
      </c>
      <c r="S64" s="59">
        <f ca="1">AVERAGE(OFFSET($R$3,0,0,'Données projet'!$E$9+1,1))-AVERAGE(OFFSET($H$3,0,0,'Données projet'!$E$9+1,1))</f>
        <v>382.58588458673051</v>
      </c>
      <c r="T64" s="59">
        <f t="shared" si="34"/>
        <v>485.5120768430603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95.814182810764791</v>
      </c>
      <c r="AA64" s="21">
        <f>EXP(-LN(2)/25)*AA63+(1-EXP(-LN(2)/25))/(LN(2)/25)*Calculateur!V64*Calculateur!X64*VLOOKUP('Données projet'!$B$9,Paramètres!$A$1:$I$89,3,0)*0.475*44/12</f>
        <v>9.2876547045061706</v>
      </c>
      <c r="AB64" s="21">
        <f>EXP(-LN(2)/2)*AB63+(1-EXP(-LN(2)/2))/(LN(2)/2)*V64*Y64*VLOOKUP('Données projet'!$B$9,Paramètres!$A$1:$I$89,3,0)*0.475*44/12</f>
        <v>1.3037706044438901E-4</v>
      </c>
      <c r="AC64" s="22">
        <f t="shared" si="3"/>
        <v>105.1019678923314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255.00000000000006</v>
      </c>
      <c r="AJ64" s="13">
        <f>AI64*VLOOKUP('Données projet'!$B$10,Paramètres!$A$1:$I$89,3,0)*VLOOKUP('Données projet'!$B$10,Paramètres!$A$1:$I$89,5,0)</f>
        <v>186.96600000000004</v>
      </c>
      <c r="AK64" s="13">
        <f t="shared" si="35"/>
        <v>46.868551400324648</v>
      </c>
      <c r="AL64" s="20">
        <f t="shared" si="4"/>
        <v>407.26184368889881</v>
      </c>
      <c r="AM64" s="59">
        <f t="shared" si="5"/>
        <v>700.59517702223206</v>
      </c>
      <c r="AN64" s="59">
        <f ca="1">AVERAGE(OFFSET($AM$3,0,0,'Données projet'!$E$10+1,1))-AVERAGE(OFFSET($H$3,0,0,'Données projet'!$E$10+1,1))</f>
        <v>188.36883552879721</v>
      </c>
      <c r="AO64" s="59">
        <f t="shared" si="36"/>
        <v>152.51465338737705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0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1">
        <f t="shared" si="32"/>
        <v>15.931082230000042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67">
        <f t="shared" si="1"/>
        <v>380.43208155058352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636.99999999999977</v>
      </c>
      <c r="O65" s="13">
        <f>N65*VLOOKUP('Données projet'!$B$9,Paramètres!$A$1:$I$89,3,0)*VLOOKUP('Données projet'!$B$9,Paramètres!$A$1:$I$89,5,0)</f>
        <v>356.08299999999991</v>
      </c>
      <c r="P65" s="13">
        <f t="shared" si="33"/>
        <v>82.813805255716545</v>
      </c>
      <c r="Q65" s="20">
        <f t="shared" si="53"/>
        <v>764.41193582037283</v>
      </c>
      <c r="R65" s="59">
        <f t="shared" si="0"/>
        <v>1057.7452691537062</v>
      </c>
      <c r="S65" s="59">
        <f ca="1">AVERAGE(OFFSET($R$3,0,0,'Données projet'!$E$9+1,1))-AVERAGE(OFFSET($H$3,0,0,'Données projet'!$E$9+1,1))</f>
        <v>382.58588458673051</v>
      </c>
      <c r="T65" s="59">
        <f t="shared" si="34"/>
        <v>485.5120768430603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93.935325126726653</v>
      </c>
      <c r="AA65" s="21">
        <f>EXP(-LN(2)/25)*AA64+(1-EXP(-LN(2)/25))/(LN(2)/25)*Calculateur!V65*Calculateur!X65*VLOOKUP('Données projet'!$B$9,Paramètres!$A$1:$I$89,3,0)*0.475*44/12</f>
        <v>9.0336832981949158</v>
      </c>
      <c r="AB65" s="21">
        <f>EXP(-LN(2)/2)*AB64+(1-EXP(-LN(2)/2))/(LN(2)/2)*V65*Y65*VLOOKUP('Données projet'!$B$9,Paramètres!$A$1:$I$89,3,0)*0.475*44/12</f>
        <v>9.2190503551395863E-5</v>
      </c>
      <c r="AC65" s="22">
        <f t="shared" si="3"/>
        <v>102.96910061542512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255.00000000000006</v>
      </c>
      <c r="AJ65" s="13">
        <f>AI65*VLOOKUP('Données projet'!$B$10,Paramètres!$A$1:$I$89,3,0)*VLOOKUP('Données projet'!$B$10,Paramètres!$A$1:$I$89,5,0)</f>
        <v>186.96600000000004</v>
      </c>
      <c r="AK65" s="13">
        <f t="shared" si="35"/>
        <v>46.868551400324648</v>
      </c>
      <c r="AL65" s="20">
        <f t="shared" si="4"/>
        <v>407.26184368889881</v>
      </c>
      <c r="AM65" s="59">
        <f t="shared" si="5"/>
        <v>700.59517702223206</v>
      </c>
      <c r="AN65" s="59">
        <f ca="1">AVERAGE(OFFSET($AM$3,0,0,'Données projet'!$E$10+1,1))-AVERAGE(OFFSET($H$3,0,0,'Données projet'!$E$10+1,1))</f>
        <v>188.36883552879721</v>
      </c>
      <c r="AO65" s="59">
        <f t="shared" si="36"/>
        <v>152.51465338737705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0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1">
        <f t="shared" si="32"/>
        <v>16.157913987449295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67">
        <f t="shared" si="1"/>
        <v>382.37583686147428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636.99999999999977</v>
      </c>
      <c r="O66" s="13">
        <f>N66*VLOOKUP('Données projet'!$B$9,Paramètres!$A$1:$I$89,3,0)*VLOOKUP('Données projet'!$B$9,Paramètres!$A$1:$I$89,5,0)</f>
        <v>356.08299999999991</v>
      </c>
      <c r="P66" s="13">
        <f t="shared" si="33"/>
        <v>82.813805255716545</v>
      </c>
      <c r="Q66" s="20">
        <f t="shared" si="53"/>
        <v>764.41193582037283</v>
      </c>
      <c r="R66" s="59">
        <f t="shared" si="0"/>
        <v>1057.7452691537062</v>
      </c>
      <c r="S66" s="59">
        <f ca="1">AVERAGE(OFFSET($R$3,0,0,'Données projet'!$E$9+1,1))-AVERAGE(OFFSET($H$3,0,0,'Données projet'!$E$9+1,1))</f>
        <v>382.58588458673051</v>
      </c>
      <c r="T66" s="59">
        <f t="shared" si="34"/>
        <v>485.5120768430603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92.093310695882465</v>
      </c>
      <c r="AA66" s="21">
        <f>EXP(-LN(2)/25)*AA65+(1-EXP(-LN(2)/25))/(LN(2)/25)*Calculateur!V66*Calculateur!X66*VLOOKUP('Données projet'!$B$9,Paramètres!$A$1:$I$89,3,0)*0.475*44/12</f>
        <v>8.7866567533450173</v>
      </c>
      <c r="AB66" s="21">
        <f>EXP(-LN(2)/2)*AB65+(1-EXP(-LN(2)/2))/(LN(2)/2)*V66*Y66*VLOOKUP('Données projet'!$B$9,Paramètres!$A$1:$I$89,3,0)*0.475*44/12</f>
        <v>6.5188530222194506E-5</v>
      </c>
      <c r="AC66" s="22">
        <f t="shared" si="3"/>
        <v>100.88003263775771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255.00000000000006</v>
      </c>
      <c r="AJ66" s="13">
        <f>AI66*VLOOKUP('Données projet'!$B$10,Paramètres!$A$1:$I$89,3,0)*VLOOKUP('Données projet'!$B$10,Paramètres!$A$1:$I$89,5,0)</f>
        <v>186.96600000000004</v>
      </c>
      <c r="AK66" s="13">
        <f t="shared" si="35"/>
        <v>46.868551400324648</v>
      </c>
      <c r="AL66" s="20">
        <f t="shared" si="4"/>
        <v>407.26184368889881</v>
      </c>
      <c r="AM66" s="59">
        <f t="shared" si="5"/>
        <v>700.59517702223206</v>
      </c>
      <c r="AN66" s="59">
        <f ca="1">AVERAGE(OFFSET($AM$3,0,0,'Données projet'!$E$10+1,1))-AVERAGE(OFFSET($H$3,0,0,'Données projet'!$E$10+1,1))</f>
        <v>188.36883552879721</v>
      </c>
      <c r="AO66" s="59">
        <f t="shared" si="36"/>
        <v>152.51465338737705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0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0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1">
        <f t="shared" si="32"/>
        <v>16.384327014561212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67">
        <f t="shared" si="1"/>
        <v>384.31886288369424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636.99999999999977</v>
      </c>
      <c r="O67" s="13">
        <f>N67*VLOOKUP('Données projet'!$B$9,Paramètres!$A$1:$I$89,3,0)*VLOOKUP('Données projet'!$B$9,Paramètres!$A$1:$I$89,5,0)</f>
        <v>356.08299999999991</v>
      </c>
      <c r="P67" s="13">
        <f t="shared" si="33"/>
        <v>82.813805255716545</v>
      </c>
      <c r="Q67" s="20">
        <f t="shared" ref="Q67:Q98" si="54">(O67+P67)*0.475*44/12</f>
        <v>764.41193582037283</v>
      </c>
      <c r="R67" s="59">
        <f t="shared" ref="R67:R130" si="55">Q67+(I67+J67)*44/12</f>
        <v>1057.7452691537062</v>
      </c>
      <c r="S67" s="59">
        <f ca="1">AVERAGE(OFFSET($R$3,0,0,'Données projet'!$E$9+1,1))-AVERAGE(OFFSET($H$3,0,0,'Données projet'!$E$9+1,1))</f>
        <v>382.58588458673051</v>
      </c>
      <c r="T67" s="59">
        <f t="shared" si="34"/>
        <v>485.5120768430603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90.287417044509269</v>
      </c>
      <c r="AA67" s="21">
        <f>EXP(-LN(2)/25)*AA66+(1-EXP(-LN(2)/25))/(LN(2)/25)*Calculateur!V67*Calculateur!X67*VLOOKUP('Données projet'!$B$9,Paramètres!$A$1:$I$89,3,0)*0.475*44/12</f>
        <v>8.5463851623546017</v>
      </c>
      <c r="AB67" s="21">
        <f>EXP(-LN(2)/2)*AB66+(1-EXP(-LN(2)/2))/(LN(2)/2)*V67*Y67*VLOOKUP('Données projet'!$B$9,Paramètres!$A$1:$I$89,3,0)*0.475*44/12</f>
        <v>4.6095251775697931E-5</v>
      </c>
      <c r="AC67" s="22">
        <f t="shared" si="3"/>
        <v>98.833848302115641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255.00000000000006</v>
      </c>
      <c r="AJ67" s="13">
        <f>AI67*VLOOKUP('Données projet'!$B$10,Paramètres!$A$1:$I$89,3,0)*VLOOKUP('Données projet'!$B$10,Paramètres!$A$1:$I$89,5,0)</f>
        <v>186.96600000000004</v>
      </c>
      <c r="AK67" s="13">
        <f t="shared" si="35"/>
        <v>46.868551400324648</v>
      </c>
      <c r="AL67" s="20">
        <f t="shared" si="4"/>
        <v>407.26184368889881</v>
      </c>
      <c r="AM67" s="59">
        <f t="shared" si="5"/>
        <v>700.59517702223206</v>
      </c>
      <c r="AN67" s="59">
        <f ca="1">AVERAGE(OFFSET($AM$3,0,0,'Données projet'!$E$10+1,1))-AVERAGE(OFFSET($H$3,0,0,'Données projet'!$E$10+1,1))</f>
        <v>188.36883552879721</v>
      </c>
      <c r="AO67" s="59">
        <f t="shared" si="36"/>
        <v>152.51465338737705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0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0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1">
        <f t="shared" si="32"/>
        <v>16.610328609523005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67">
        <f t="shared" ref="H68:H131" si="56">(B68+E68+F68)*44/12+(C68+D68)*0.475*44/12</f>
        <v>386.26117232825266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636.99999999999977</v>
      </c>
      <c r="O68" s="13">
        <f>N68*VLOOKUP('Données projet'!$B$9,Paramètres!$A$1:$I$89,3,0)*VLOOKUP('Données projet'!$B$9,Paramètres!$A$1:$I$89,5,0)</f>
        <v>356.08299999999991</v>
      </c>
      <c r="P68" s="13">
        <f t="shared" si="33"/>
        <v>82.813805255716545</v>
      </c>
      <c r="Q68" s="20">
        <f t="shared" si="54"/>
        <v>764.41193582037283</v>
      </c>
      <c r="R68" s="59">
        <f t="shared" si="55"/>
        <v>1057.7452691537062</v>
      </c>
      <c r="S68" s="59">
        <f ca="1">AVERAGE(OFFSET($R$3,0,0,'Données projet'!$E$9+1,1))-AVERAGE(OFFSET($H$3,0,0,'Données projet'!$E$9+1,1))</f>
        <v>382.58588458673051</v>
      </c>
      <c r="T68" s="59">
        <f t="shared" si="34"/>
        <v>485.5120768430603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88.516935866153133</v>
      </c>
      <c r="AA68" s="21">
        <f>EXP(-LN(2)/25)*AA67+(1-EXP(-LN(2)/25))/(LN(2)/25)*Calculateur!V68*Calculateur!X68*VLOOKUP('Données projet'!$B$9,Paramètres!$A$1:$I$89,3,0)*0.475*44/12</f>
        <v>8.3126838106551517</v>
      </c>
      <c r="AB68" s="21">
        <f>EXP(-LN(2)/2)*AB67+(1-EXP(-LN(2)/2))/(LN(2)/2)*V68*Y68*VLOOKUP('Données projet'!$B$9,Paramètres!$A$1:$I$89,3,0)*0.475*44/12</f>
        <v>3.2594265111097253E-5</v>
      </c>
      <c r="AC68" s="22">
        <f t="shared" ref="AC68:AC131" si="57">SUM(Z68:AB68)</f>
        <v>96.829652271073385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255.00000000000006</v>
      </c>
      <c r="AJ68" s="13">
        <f>AI68*VLOOKUP('Données projet'!$B$10,Paramètres!$A$1:$I$89,3,0)*VLOOKUP('Données projet'!$B$10,Paramètres!$A$1:$I$89,5,0)</f>
        <v>186.96600000000004</v>
      </c>
      <c r="AK68" s="13">
        <f t="shared" si="35"/>
        <v>46.868551400324648</v>
      </c>
      <c r="AL68" s="20">
        <f t="shared" ref="AL68:AL131" si="58">(AJ68+AK68)*0.475*44/12</f>
        <v>407.26184368889881</v>
      </c>
      <c r="AM68" s="59">
        <f t="shared" ref="AM68:AM131" si="59">AL68+(AD68+AE68)*44/12</f>
        <v>700.59517702223206</v>
      </c>
      <c r="AN68" s="59">
        <f ca="1">AVERAGE(OFFSET($AM$3,0,0,'Données projet'!$E$10+1,1))-AVERAGE(OFFSET($H$3,0,0,'Données projet'!$E$10+1,1))</f>
        <v>188.36883552879721</v>
      </c>
      <c r="AO68" s="59">
        <f t="shared" si="36"/>
        <v>152.51465338737705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0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0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1">
        <f t="shared" ref="D69:D132" si="86">IFERROR(EXP(-1.0587+0.8836*LN(C69)+0.284),0)</f>
        <v>16.835925833077553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67">
        <f t="shared" si="56"/>
        <v>388.20277749261015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636.99999999999977</v>
      </c>
      <c r="O69" s="13">
        <f>N69*VLOOKUP('Données projet'!$B$9,Paramètres!$A$1:$I$89,3,0)*VLOOKUP('Données projet'!$B$9,Paramètres!$A$1:$I$89,5,0)</f>
        <v>356.08299999999991</v>
      </c>
      <c r="P69" s="13">
        <f t="shared" ref="P69:P132" si="87">EXP(-1.0587+0.8836*LN(O69)+0.284)</f>
        <v>82.813805255716545</v>
      </c>
      <c r="Q69" s="20">
        <f t="shared" si="54"/>
        <v>764.41193582037283</v>
      </c>
      <c r="R69" s="59">
        <f t="shared" si="55"/>
        <v>1057.7452691537062</v>
      </c>
      <c r="S69" s="59">
        <f ca="1">AVERAGE(OFFSET($R$3,0,0,'Données projet'!$E$9+1,1))-AVERAGE(OFFSET($H$3,0,0,'Données projet'!$E$9+1,1))</f>
        <v>382.58588458673051</v>
      </c>
      <c r="T69" s="59">
        <f t="shared" ref="T69:T132" si="88">$T$3</f>
        <v>485.5120768430603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86.781172743817677</v>
      </c>
      <c r="AA69" s="21">
        <f>EXP(-LN(2)/25)*AA68+(1-EXP(-LN(2)/25))/(LN(2)/25)*Calculateur!V69*Calculateur!X69*VLOOKUP('Données projet'!$B$9,Paramètres!$A$1:$I$89,3,0)*0.475*44/12</f>
        <v>8.085373034707743</v>
      </c>
      <c r="AB69" s="21">
        <f>EXP(-LN(2)/2)*AB68+(1-EXP(-LN(2)/2))/(LN(2)/2)*V69*Y69*VLOOKUP('Données projet'!$B$9,Paramètres!$A$1:$I$89,3,0)*0.475*44/12</f>
        <v>2.3047625887848966E-5</v>
      </c>
      <c r="AC69" s="22">
        <f t="shared" si="57"/>
        <v>94.866568826151308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255.00000000000006</v>
      </c>
      <c r="AJ69" s="13">
        <f>AI69*VLOOKUP('Données projet'!$B$10,Paramètres!$A$1:$I$89,3,0)*VLOOKUP('Données projet'!$B$10,Paramètres!$A$1:$I$89,5,0)</f>
        <v>186.96600000000004</v>
      </c>
      <c r="AK69" s="13">
        <f t="shared" ref="AK69:AK132" si="89">EXP(-1.0587+0.8836*LN(AJ69)+0.284)</f>
        <v>46.868551400324648</v>
      </c>
      <c r="AL69" s="20">
        <f t="shared" si="58"/>
        <v>407.26184368889881</v>
      </c>
      <c r="AM69" s="59">
        <f t="shared" si="59"/>
        <v>700.59517702223206</v>
      </c>
      <c r="AN69" s="59">
        <f ca="1">AVERAGE(OFFSET($AM$3,0,0,'Données projet'!$E$10+1,1))-AVERAGE(OFFSET($H$3,0,0,'Données projet'!$E$10+1,1))</f>
        <v>188.36883552879721</v>
      </c>
      <c r="AO69" s="59">
        <f t="shared" ref="AO69:AO132" si="90">$AO$3</f>
        <v>152.51465338737705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0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0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1">
        <f t="shared" si="86"/>
        <v>17.061125519726964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67">
        <f t="shared" si="56"/>
        <v>390.14369028019127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636.99999999999977</v>
      </c>
      <c r="O70" s="13">
        <f>N70*VLOOKUP('Données projet'!$B$9,Paramètres!$A$1:$I$89,3,0)*VLOOKUP('Données projet'!$B$9,Paramètres!$A$1:$I$89,5,0)</f>
        <v>356.08299999999991</v>
      </c>
      <c r="P70" s="13">
        <f t="shared" si="87"/>
        <v>82.813805255716545</v>
      </c>
      <c r="Q70" s="20">
        <f t="shared" si="54"/>
        <v>764.41193582037283</v>
      </c>
      <c r="R70" s="59">
        <f t="shared" si="55"/>
        <v>1057.7452691537062</v>
      </c>
      <c r="S70" s="59">
        <f ca="1">AVERAGE(OFFSET($R$3,0,0,'Données projet'!$E$9+1,1))-AVERAGE(OFFSET($H$3,0,0,'Données projet'!$E$9+1,1))</f>
        <v>382.58588458673051</v>
      </c>
      <c r="T70" s="59">
        <f t="shared" si="88"/>
        <v>485.5120768430603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85.079446877600262</v>
      </c>
      <c r="AA70" s="21">
        <f>EXP(-LN(2)/25)*AA69+(1-EXP(-LN(2)/25))/(LN(2)/25)*Calculateur!V70*Calculateur!X70*VLOOKUP('Données projet'!$B$9,Paramètres!$A$1:$I$89,3,0)*0.475*44/12</f>
        <v>7.8642780838823709</v>
      </c>
      <c r="AB70" s="21">
        <f>EXP(-LN(2)/2)*AB69+(1-EXP(-LN(2)/2))/(LN(2)/2)*V70*Y70*VLOOKUP('Données projet'!$B$9,Paramètres!$A$1:$I$89,3,0)*0.475*44/12</f>
        <v>1.6297132555548626E-5</v>
      </c>
      <c r="AC70" s="22">
        <f t="shared" si="57"/>
        <v>92.943741258615191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255.00000000000006</v>
      </c>
      <c r="AJ70" s="13">
        <f>AI70*VLOOKUP('Données projet'!$B$10,Paramètres!$A$1:$I$89,3,0)*VLOOKUP('Données projet'!$B$10,Paramètres!$A$1:$I$89,5,0)</f>
        <v>186.96600000000004</v>
      </c>
      <c r="AK70" s="13">
        <f t="shared" si="89"/>
        <v>46.868551400324648</v>
      </c>
      <c r="AL70" s="20">
        <f t="shared" si="58"/>
        <v>407.26184368889881</v>
      </c>
      <c r="AM70" s="59">
        <f t="shared" si="59"/>
        <v>700.59517702223206</v>
      </c>
      <c r="AN70" s="59">
        <f ca="1">AVERAGE(OFFSET($AM$3,0,0,'Données projet'!$E$10+1,1))-AVERAGE(OFFSET($H$3,0,0,'Données projet'!$E$10+1,1))</f>
        <v>188.36883552879721</v>
      </c>
      <c r="AO70" s="59">
        <f t="shared" si="90"/>
        <v>152.51465338737705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0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0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1">
        <f t="shared" si="86"/>
        <v>17.285934288248221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67">
        <f t="shared" si="56"/>
        <v>392.08392221869906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636.99999999999977</v>
      </c>
      <c r="O71" s="13">
        <f>N71*VLOOKUP('Données projet'!$B$9,Paramètres!$A$1:$I$89,3,0)*VLOOKUP('Données projet'!$B$9,Paramètres!$A$1:$I$89,5,0)</f>
        <v>356.08299999999991</v>
      </c>
      <c r="P71" s="13">
        <f t="shared" si="87"/>
        <v>82.813805255716545</v>
      </c>
      <c r="Q71" s="20">
        <f t="shared" si="54"/>
        <v>764.41193582037283</v>
      </c>
      <c r="R71" s="59">
        <f t="shared" si="55"/>
        <v>1057.7452691537062</v>
      </c>
      <c r="S71" s="59">
        <f ca="1">AVERAGE(OFFSET($R$3,0,0,'Données projet'!$E$9+1,1))-AVERAGE(OFFSET($H$3,0,0,'Données projet'!$E$9+1,1))</f>
        <v>382.58588458673051</v>
      </c>
      <c r="T71" s="59">
        <f t="shared" si="88"/>
        <v>485.5120768430603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83.411090817669077</v>
      </c>
      <c r="AA71" s="21">
        <f>EXP(-LN(2)/25)*AA70+(1-EXP(-LN(2)/25))/(LN(2)/25)*Calculateur!V71*Calculateur!X71*VLOOKUP('Données projet'!$B$9,Paramètres!$A$1:$I$89,3,0)*0.475*44/12</f>
        <v>7.6492289861141973</v>
      </c>
      <c r="AB71" s="21">
        <f>EXP(-LN(2)/2)*AB70+(1-EXP(-LN(2)/2))/(LN(2)/2)*V71*Y71*VLOOKUP('Données projet'!$B$9,Paramètres!$A$1:$I$89,3,0)*0.475*44/12</f>
        <v>1.1523812943924483E-5</v>
      </c>
      <c r="AC71" s="22">
        <f t="shared" si="57"/>
        <v>91.060331327596217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255.00000000000006</v>
      </c>
      <c r="AJ71" s="13">
        <f>AI71*VLOOKUP('Données projet'!$B$10,Paramètres!$A$1:$I$89,3,0)*VLOOKUP('Données projet'!$B$10,Paramètres!$A$1:$I$89,5,0)</f>
        <v>186.96600000000004</v>
      </c>
      <c r="AK71" s="13">
        <f t="shared" si="89"/>
        <v>46.868551400324648</v>
      </c>
      <c r="AL71" s="20">
        <f t="shared" si="58"/>
        <v>407.26184368889881</v>
      </c>
      <c r="AM71" s="59">
        <f t="shared" si="59"/>
        <v>700.59517702223206</v>
      </c>
      <c r="AN71" s="59">
        <f ca="1">AVERAGE(OFFSET($AM$3,0,0,'Données projet'!$E$10+1,1))-AVERAGE(OFFSET($H$3,0,0,'Données projet'!$E$10+1,1))</f>
        <v>188.36883552879721</v>
      </c>
      <c r="AO71" s="59">
        <f t="shared" si="90"/>
        <v>152.51465338737705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0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0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1">
        <f t="shared" si="86"/>
        <v>17.510358551572637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67">
        <f t="shared" si="56"/>
        <v>394.02348447732243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636.99999999999977</v>
      </c>
      <c r="O72" s="13">
        <f>N72*VLOOKUP('Données projet'!$B$9,Paramètres!$A$1:$I$89,3,0)*VLOOKUP('Données projet'!$B$9,Paramètres!$A$1:$I$89,5,0)</f>
        <v>356.08299999999991</v>
      </c>
      <c r="P72" s="13">
        <f t="shared" si="87"/>
        <v>82.813805255716545</v>
      </c>
      <c r="Q72" s="20">
        <f t="shared" si="54"/>
        <v>764.41193582037283</v>
      </c>
      <c r="R72" s="59">
        <f t="shared" si="55"/>
        <v>1057.7452691537062</v>
      </c>
      <c r="S72" s="59">
        <f ca="1">AVERAGE(OFFSET($R$3,0,0,'Données projet'!$E$9+1,1))-AVERAGE(OFFSET($H$3,0,0,'Données projet'!$E$9+1,1))</f>
        <v>382.58588458673051</v>
      </c>
      <c r="T72" s="59">
        <f t="shared" si="88"/>
        <v>485.5120768430603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81.775450202476421</v>
      </c>
      <c r="AA72" s="21">
        <f>EXP(-LN(2)/25)*AA71+(1-EXP(-LN(2)/25))/(LN(2)/25)*Calculateur!V72*Calculateur!X72*VLOOKUP('Données projet'!$B$9,Paramètres!$A$1:$I$89,3,0)*0.475*44/12</f>
        <v>7.4400604172334344</v>
      </c>
      <c r="AB72" s="21">
        <f>EXP(-LN(2)/2)*AB71+(1-EXP(-LN(2)/2))/(LN(2)/2)*V72*Y72*VLOOKUP('Données projet'!$B$9,Paramètres!$A$1:$I$89,3,0)*0.475*44/12</f>
        <v>8.1485662777743132E-6</v>
      </c>
      <c r="AC72" s="22">
        <f t="shared" si="57"/>
        <v>89.215518768276141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255.00000000000006</v>
      </c>
      <c r="AJ72" s="13">
        <f>AI72*VLOOKUP('Données projet'!$B$10,Paramètres!$A$1:$I$89,3,0)*VLOOKUP('Données projet'!$B$10,Paramètres!$A$1:$I$89,5,0)</f>
        <v>186.96600000000004</v>
      </c>
      <c r="AK72" s="13">
        <f t="shared" si="89"/>
        <v>46.868551400324648</v>
      </c>
      <c r="AL72" s="20">
        <f t="shared" si="58"/>
        <v>407.26184368889881</v>
      </c>
      <c r="AM72" s="59">
        <f t="shared" si="59"/>
        <v>700.59517702223206</v>
      </c>
      <c r="AN72" s="59">
        <f ca="1">AVERAGE(OFFSET($AM$3,0,0,'Données projet'!$E$10+1,1))-AVERAGE(OFFSET($H$3,0,0,'Données projet'!$E$10+1,1))</f>
        <v>188.36883552879721</v>
      </c>
      <c r="AO72" s="59">
        <f t="shared" si="90"/>
        <v>152.51465338737705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0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0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1">
        <f t="shared" si="86"/>
        <v>17.734404526076464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67">
        <f t="shared" si="56"/>
        <v>395.96238788291669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636.99999999999977</v>
      </c>
      <c r="O73" s="13">
        <f>N73*VLOOKUP('Données projet'!$B$9,Paramètres!$A$1:$I$89,3,0)*VLOOKUP('Données projet'!$B$9,Paramètres!$A$1:$I$89,5,0)</f>
        <v>356.08299999999991</v>
      </c>
      <c r="P73" s="13">
        <f t="shared" si="87"/>
        <v>82.813805255716545</v>
      </c>
      <c r="Q73" s="20">
        <f t="shared" si="54"/>
        <v>764.41193582037283</v>
      </c>
      <c r="R73" s="59">
        <f t="shared" si="55"/>
        <v>1057.7452691537062</v>
      </c>
      <c r="S73" s="59">
        <f ca="1">AVERAGE(OFFSET($R$3,0,0,'Données projet'!$E$9+1,1))-AVERAGE(OFFSET($H$3,0,0,'Données projet'!$E$9+1,1))</f>
        <v>382.58588458673051</v>
      </c>
      <c r="T73" s="59">
        <f t="shared" si="88"/>
        <v>485.5120768430603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80.17188350210543</v>
      </c>
      <c r="AA73" s="21">
        <f>EXP(-LN(2)/25)*AA72+(1-EXP(-LN(2)/25))/(LN(2)/25)*Calculateur!V73*Calculateur!X73*VLOOKUP('Données projet'!$B$9,Paramètres!$A$1:$I$89,3,0)*0.475*44/12</f>
        <v>7.2366115738684131</v>
      </c>
      <c r="AB73" s="21">
        <f>EXP(-LN(2)/2)*AB72+(1-EXP(-LN(2)/2))/(LN(2)/2)*V73*Y73*VLOOKUP('Données projet'!$B$9,Paramètres!$A$1:$I$89,3,0)*0.475*44/12</f>
        <v>5.7619064719622414E-6</v>
      </c>
      <c r="AC73" s="22">
        <f t="shared" si="57"/>
        <v>87.408500837880325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255.00000000000006</v>
      </c>
      <c r="AJ73" s="13">
        <f>AI73*VLOOKUP('Données projet'!$B$10,Paramètres!$A$1:$I$89,3,0)*VLOOKUP('Données projet'!$B$10,Paramètres!$A$1:$I$89,5,0)</f>
        <v>186.96600000000004</v>
      </c>
      <c r="AK73" s="13">
        <f t="shared" si="89"/>
        <v>46.868551400324648</v>
      </c>
      <c r="AL73" s="20">
        <f t="shared" si="58"/>
        <v>407.26184368889881</v>
      </c>
      <c r="AM73" s="59">
        <f t="shared" si="59"/>
        <v>700.59517702223206</v>
      </c>
      <c r="AN73" s="59">
        <f ca="1">AVERAGE(OFFSET($AM$3,0,0,'Données projet'!$E$10+1,1))-AVERAGE(OFFSET($H$3,0,0,'Données projet'!$E$10+1,1))</f>
        <v>188.36883552879721</v>
      </c>
      <c r="AO73" s="59">
        <f t="shared" si="90"/>
        <v>152.51465338737705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0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0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1">
        <f t="shared" si="86"/>
        <v>17.958078240325332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67">
        <f t="shared" si="56"/>
        <v>397.90064293523346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636.99999999999977</v>
      </c>
      <c r="O74" s="13">
        <f>N74*VLOOKUP('Données projet'!$B$9,Paramètres!$A$1:$I$89,3,0)*VLOOKUP('Données projet'!$B$9,Paramètres!$A$1:$I$89,5,0)</f>
        <v>356.08299999999991</v>
      </c>
      <c r="P74" s="13">
        <f t="shared" si="87"/>
        <v>82.813805255716545</v>
      </c>
      <c r="Q74" s="20">
        <f t="shared" si="54"/>
        <v>764.41193582037283</v>
      </c>
      <c r="R74" s="59">
        <f t="shared" si="55"/>
        <v>1057.7452691537062</v>
      </c>
      <c r="S74" s="59">
        <f ca="1">AVERAGE(OFFSET($R$3,0,0,'Données projet'!$E$9+1,1))-AVERAGE(OFFSET($H$3,0,0,'Données projet'!$E$9+1,1))</f>
        <v>382.58588458673051</v>
      </c>
      <c r="T74" s="59">
        <f t="shared" si="88"/>
        <v>485.5120768430603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78.599761766649607</v>
      </c>
      <c r="AA74" s="21">
        <f>EXP(-LN(2)/25)*AA73+(1-EXP(-LN(2)/25))/(LN(2)/25)*Calculateur!V74*Calculateur!X74*VLOOKUP('Données projet'!$B$9,Paramètres!$A$1:$I$89,3,0)*0.475*44/12</f>
        <v>7.0387260498241186</v>
      </c>
      <c r="AB74" s="21">
        <f>EXP(-LN(2)/2)*AB73+(1-EXP(-LN(2)/2))/(LN(2)/2)*V74*Y74*VLOOKUP('Données projet'!$B$9,Paramètres!$A$1:$I$89,3,0)*0.475*44/12</f>
        <v>4.0742831388871566E-6</v>
      </c>
      <c r="AC74" s="22">
        <f t="shared" si="57"/>
        <v>85.638491890756868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255.00000000000006</v>
      </c>
      <c r="AJ74" s="13">
        <f>AI74*VLOOKUP('Données projet'!$B$10,Paramètres!$A$1:$I$89,3,0)*VLOOKUP('Données projet'!$B$10,Paramètres!$A$1:$I$89,5,0)</f>
        <v>186.96600000000004</v>
      </c>
      <c r="AK74" s="13">
        <f t="shared" si="89"/>
        <v>46.868551400324648</v>
      </c>
      <c r="AL74" s="20">
        <f t="shared" si="58"/>
        <v>407.26184368889881</v>
      </c>
      <c r="AM74" s="59">
        <f t="shared" si="59"/>
        <v>700.59517702223206</v>
      </c>
      <c r="AN74" s="59">
        <f ca="1">AVERAGE(OFFSET($AM$3,0,0,'Données projet'!$E$10+1,1))-AVERAGE(OFFSET($H$3,0,0,'Données projet'!$E$10+1,1))</f>
        <v>188.36883552879721</v>
      </c>
      <c r="AO74" s="59">
        <f t="shared" si="90"/>
        <v>152.51465338737705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0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0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1">
        <f t="shared" si="86"/>
        <v>18.181385543312256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67">
        <f t="shared" si="56"/>
        <v>399.83825982126905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636.99999999999977</v>
      </c>
      <c r="O75" s="13">
        <f>N75*VLOOKUP('Données projet'!$B$9,Paramètres!$A$1:$I$89,3,0)*VLOOKUP('Données projet'!$B$9,Paramètres!$A$1:$I$89,5,0)</f>
        <v>356.08299999999991</v>
      </c>
      <c r="P75" s="13">
        <f t="shared" si="87"/>
        <v>82.813805255716545</v>
      </c>
      <c r="Q75" s="20">
        <f t="shared" si="54"/>
        <v>764.41193582037283</v>
      </c>
      <c r="R75" s="59">
        <f t="shared" si="55"/>
        <v>1057.7452691537062</v>
      </c>
      <c r="S75" s="59">
        <f ca="1">AVERAGE(OFFSET($R$3,0,0,'Données projet'!$E$9+1,1))-AVERAGE(OFFSET($H$3,0,0,'Données projet'!$E$9+1,1))</f>
        <v>382.58588458673051</v>
      </c>
      <c r="T75" s="59">
        <f t="shared" si="88"/>
        <v>485.5120768430603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77.058468379526488</v>
      </c>
      <c r="AA75" s="21">
        <f>EXP(-LN(2)/25)*AA74+(1-EXP(-LN(2)/25))/(LN(2)/25)*Calculateur!V75*Calculateur!X75*VLOOKUP('Données projet'!$B$9,Paramètres!$A$1:$I$89,3,0)*0.475*44/12</f>
        <v>6.846251715841162</v>
      </c>
      <c r="AB75" s="21">
        <f>EXP(-LN(2)/2)*AB74+(1-EXP(-LN(2)/2))/(LN(2)/2)*V75*Y75*VLOOKUP('Données projet'!$B$9,Paramètres!$A$1:$I$89,3,0)*0.475*44/12</f>
        <v>2.8809532359811207E-6</v>
      </c>
      <c r="AC75" s="22">
        <f t="shared" si="57"/>
        <v>83.904722976320883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255.00000000000006</v>
      </c>
      <c r="AJ75" s="13">
        <f>AI75*VLOOKUP('Données projet'!$B$10,Paramètres!$A$1:$I$89,3,0)*VLOOKUP('Données projet'!$B$10,Paramètres!$A$1:$I$89,5,0)</f>
        <v>186.96600000000004</v>
      </c>
      <c r="AK75" s="13">
        <f t="shared" si="89"/>
        <v>46.868551400324648</v>
      </c>
      <c r="AL75" s="20">
        <f t="shared" si="58"/>
        <v>407.26184368889881</v>
      </c>
      <c r="AM75" s="59">
        <f t="shared" si="59"/>
        <v>700.59517702223206</v>
      </c>
      <c r="AN75" s="59">
        <f ca="1">AVERAGE(OFFSET($AM$3,0,0,'Données projet'!$E$10+1,1))-AVERAGE(OFFSET($H$3,0,0,'Données projet'!$E$10+1,1))</f>
        <v>188.36883552879721</v>
      </c>
      <c r="AO75" s="59">
        <f t="shared" si="90"/>
        <v>152.51465338737705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0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0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1">
        <f t="shared" si="86"/>
        <v>18.404332112224722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67">
        <f t="shared" si="56"/>
        <v>401.77524842879154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636.99999999999977</v>
      </c>
      <c r="O76" s="13">
        <f>N76*VLOOKUP('Données projet'!$B$9,Paramètres!$A$1:$I$89,3,0)*VLOOKUP('Données projet'!$B$9,Paramètres!$A$1:$I$89,5,0)</f>
        <v>356.08299999999991</v>
      </c>
      <c r="P76" s="13">
        <f t="shared" si="87"/>
        <v>82.813805255716545</v>
      </c>
      <c r="Q76" s="20">
        <f t="shared" si="54"/>
        <v>764.41193582037283</v>
      </c>
      <c r="R76" s="59">
        <f t="shared" si="55"/>
        <v>1057.7452691537062</v>
      </c>
      <c r="S76" s="59">
        <f ca="1">AVERAGE(OFFSET($R$3,0,0,'Données projet'!$E$9+1,1))-AVERAGE(OFFSET($H$3,0,0,'Données projet'!$E$9+1,1))</f>
        <v>382.58588458673051</v>
      </c>
      <c r="T76" s="59">
        <f t="shared" si="88"/>
        <v>485.5120768430603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75.547398815628725</v>
      </c>
      <c r="AA76" s="21">
        <f>EXP(-LN(2)/25)*AA75+(1-EXP(-LN(2)/25))/(LN(2)/25)*Calculateur!V76*Calculateur!X76*VLOOKUP('Données projet'!$B$9,Paramètres!$A$1:$I$89,3,0)*0.475*44/12</f>
        <v>6.6590406026427553</v>
      </c>
      <c r="AB76" s="21">
        <f>EXP(-LN(2)/2)*AB75+(1-EXP(-LN(2)/2))/(LN(2)/2)*V76*Y76*VLOOKUP('Données projet'!$B$9,Paramètres!$A$1:$I$89,3,0)*0.475*44/12</f>
        <v>2.0371415694435783E-6</v>
      </c>
      <c r="AC76" s="22">
        <f t="shared" si="57"/>
        <v>82.206441455413056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255.00000000000006</v>
      </c>
      <c r="AJ76" s="13">
        <f>AI76*VLOOKUP('Données projet'!$B$10,Paramètres!$A$1:$I$89,3,0)*VLOOKUP('Données projet'!$B$10,Paramètres!$A$1:$I$89,5,0)</f>
        <v>186.96600000000004</v>
      </c>
      <c r="AK76" s="13">
        <f t="shared" si="89"/>
        <v>46.868551400324648</v>
      </c>
      <c r="AL76" s="20">
        <f t="shared" si="58"/>
        <v>407.26184368889881</v>
      </c>
      <c r="AM76" s="59">
        <f t="shared" si="59"/>
        <v>700.59517702223206</v>
      </c>
      <c r="AN76" s="59">
        <f ca="1">AVERAGE(OFFSET($AM$3,0,0,'Données projet'!$E$10+1,1))-AVERAGE(OFFSET($H$3,0,0,'Données projet'!$E$10+1,1))</f>
        <v>188.36883552879721</v>
      </c>
      <c r="AO76" s="59">
        <f t="shared" si="90"/>
        <v>152.51465338737705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0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0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1">
        <f t="shared" si="86"/>
        <v>18.626923459774314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67">
        <f t="shared" si="56"/>
        <v>403.71161835910709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636.99999999999977</v>
      </c>
      <c r="O77" s="13">
        <f>N77*VLOOKUP('Données projet'!$B$9,Paramètres!$A$1:$I$89,3,0)*VLOOKUP('Données projet'!$B$9,Paramètres!$A$1:$I$89,5,0)</f>
        <v>356.08299999999991</v>
      </c>
      <c r="P77" s="13">
        <f t="shared" si="87"/>
        <v>82.813805255716545</v>
      </c>
      <c r="Q77" s="20">
        <f t="shared" si="54"/>
        <v>764.41193582037283</v>
      </c>
      <c r="R77" s="59">
        <f t="shared" si="55"/>
        <v>1057.7452691537062</v>
      </c>
      <c r="S77" s="59">
        <f ca="1">AVERAGE(OFFSET($R$3,0,0,'Données projet'!$E$9+1,1))-AVERAGE(OFFSET($H$3,0,0,'Données projet'!$E$9+1,1))</f>
        <v>382.58588458673051</v>
      </c>
      <c r="T77" s="59">
        <f t="shared" si="88"/>
        <v>485.5120768430603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74.065960404217563</v>
      </c>
      <c r="AA77" s="21">
        <f>EXP(-LN(2)/25)*AA76+(1-EXP(-LN(2)/25))/(LN(2)/25)*Calculateur!V77*Calculateur!X77*VLOOKUP('Données projet'!$B$9,Paramètres!$A$1:$I$89,3,0)*0.475*44/12</f>
        <v>6.4769487871797633</v>
      </c>
      <c r="AB77" s="21">
        <f>EXP(-LN(2)/2)*AB76+(1-EXP(-LN(2)/2))/(LN(2)/2)*V77*Y77*VLOOKUP('Données projet'!$B$9,Paramètres!$A$1:$I$89,3,0)*0.475*44/12</f>
        <v>1.4404766179905604E-6</v>
      </c>
      <c r="AC77" s="22">
        <f t="shared" si="57"/>
        <v>80.542910631873951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255.00000000000006</v>
      </c>
      <c r="AJ77" s="13">
        <f>AI77*VLOOKUP('Données projet'!$B$10,Paramètres!$A$1:$I$89,3,0)*VLOOKUP('Données projet'!$B$10,Paramètres!$A$1:$I$89,5,0)</f>
        <v>186.96600000000004</v>
      </c>
      <c r="AK77" s="13">
        <f t="shared" si="89"/>
        <v>46.868551400324648</v>
      </c>
      <c r="AL77" s="20">
        <f t="shared" si="58"/>
        <v>407.26184368889881</v>
      </c>
      <c r="AM77" s="59">
        <f t="shared" si="59"/>
        <v>700.59517702223206</v>
      </c>
      <c r="AN77" s="59">
        <f ca="1">AVERAGE(OFFSET($AM$3,0,0,'Données projet'!$E$10+1,1))-AVERAGE(OFFSET($H$3,0,0,'Données projet'!$E$10+1,1))</f>
        <v>188.36883552879721</v>
      </c>
      <c r="AO77" s="59">
        <f t="shared" si="90"/>
        <v>152.51465338737705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0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0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1">
        <f t="shared" si="86"/>
        <v>18.849164941118655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67">
        <f t="shared" si="56"/>
        <v>405.64737893911513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636.99999999999977</v>
      </c>
      <c r="O78" s="13">
        <f>N78*VLOOKUP('Données projet'!$B$9,Paramètres!$A$1:$I$89,3,0)*VLOOKUP('Données projet'!$B$9,Paramètres!$A$1:$I$89,5,0)</f>
        <v>356.08299999999991</v>
      </c>
      <c r="P78" s="13">
        <f t="shared" si="87"/>
        <v>82.813805255716545</v>
      </c>
      <c r="Q78" s="20">
        <f t="shared" si="54"/>
        <v>764.41193582037283</v>
      </c>
      <c r="R78" s="59">
        <f t="shared" si="55"/>
        <v>1057.7452691537062</v>
      </c>
      <c r="S78" s="59">
        <f ca="1">AVERAGE(OFFSET($R$3,0,0,'Données projet'!$E$9+1,1))-AVERAGE(OFFSET($H$3,0,0,'Données projet'!$E$9+1,1))</f>
        <v>382.58588458673051</v>
      </c>
      <c r="T78" s="59">
        <f t="shared" si="88"/>
        <v>485.5120768430603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72.613572096465973</v>
      </c>
      <c r="AA78" s="21">
        <f>EXP(-LN(2)/25)*AA77+(1-EXP(-LN(2)/25))/(LN(2)/25)*Calculateur!V78*Calculateur!X78*VLOOKUP('Données projet'!$B$9,Paramètres!$A$1:$I$89,3,0)*0.475*44/12</f>
        <v>6.2998362819863996</v>
      </c>
      <c r="AB78" s="21">
        <f>EXP(-LN(2)/2)*AB77+(1-EXP(-LN(2)/2))/(LN(2)/2)*V78*Y78*VLOOKUP('Données projet'!$B$9,Paramètres!$A$1:$I$89,3,0)*0.475*44/12</f>
        <v>1.0185707847217892E-6</v>
      </c>
      <c r="AC78" s="22">
        <f t="shared" si="57"/>
        <v>78.913409397023159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255.00000000000006</v>
      </c>
      <c r="AJ78" s="13">
        <f>AI78*VLOOKUP('Données projet'!$B$10,Paramètres!$A$1:$I$89,3,0)*VLOOKUP('Données projet'!$B$10,Paramètres!$A$1:$I$89,5,0)</f>
        <v>186.96600000000004</v>
      </c>
      <c r="AK78" s="13">
        <f t="shared" si="89"/>
        <v>46.868551400324648</v>
      </c>
      <c r="AL78" s="20">
        <f t="shared" si="58"/>
        <v>407.26184368889881</v>
      </c>
      <c r="AM78" s="59">
        <f t="shared" si="59"/>
        <v>700.59517702223206</v>
      </c>
      <c r="AN78" s="59">
        <f ca="1">AVERAGE(OFFSET($AM$3,0,0,'Données projet'!$E$10+1,1))-AVERAGE(OFFSET($H$3,0,0,'Données projet'!$E$10+1,1))</f>
        <v>188.36883552879721</v>
      </c>
      <c r="AO78" s="59">
        <f t="shared" si="90"/>
        <v>152.51465338737705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0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0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1">
        <f t="shared" si="86"/>
        <v>19.071061760403854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67">
        <f t="shared" si="56"/>
        <v>407.58253923270354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636.99999999999977</v>
      </c>
      <c r="O79" s="13">
        <f>N79*VLOOKUP('Données projet'!$B$9,Paramètres!$A$1:$I$89,3,0)*VLOOKUP('Données projet'!$B$9,Paramètres!$A$1:$I$89,5,0)</f>
        <v>356.08299999999991</v>
      </c>
      <c r="P79" s="13">
        <f t="shared" si="87"/>
        <v>82.813805255716545</v>
      </c>
      <c r="Q79" s="20">
        <f t="shared" si="54"/>
        <v>764.41193582037283</v>
      </c>
      <c r="R79" s="59">
        <f t="shared" si="55"/>
        <v>1057.7452691537062</v>
      </c>
      <c r="S79" s="59">
        <f ca="1">AVERAGE(OFFSET($R$3,0,0,'Données projet'!$E$9+1,1))-AVERAGE(OFFSET($H$3,0,0,'Données projet'!$E$9+1,1))</f>
        <v>382.58588458673051</v>
      </c>
      <c r="T79" s="59">
        <f t="shared" si="88"/>
        <v>485.5120768430603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71.189664237559995</v>
      </c>
      <c r="AA79" s="21">
        <f>EXP(-LN(2)/25)*AA78+(1-EXP(-LN(2)/25))/(LN(2)/25)*Calculateur!V79*Calculateur!X79*VLOOKUP('Données projet'!$B$9,Paramètres!$A$1:$I$89,3,0)*0.475*44/12</f>
        <v>6.1275669275614897</v>
      </c>
      <c r="AB79" s="21">
        <f>EXP(-LN(2)/2)*AB78+(1-EXP(-LN(2)/2))/(LN(2)/2)*V79*Y79*VLOOKUP('Données projet'!$B$9,Paramètres!$A$1:$I$89,3,0)*0.475*44/12</f>
        <v>7.2023830899528018E-7</v>
      </c>
      <c r="AC79" s="22">
        <f t="shared" si="57"/>
        <v>77.317231885359789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255.00000000000006</v>
      </c>
      <c r="AJ79" s="13">
        <f>AI79*VLOOKUP('Données projet'!$B$10,Paramètres!$A$1:$I$89,3,0)*VLOOKUP('Données projet'!$B$10,Paramètres!$A$1:$I$89,5,0)</f>
        <v>186.96600000000004</v>
      </c>
      <c r="AK79" s="13">
        <f t="shared" si="89"/>
        <v>46.868551400324648</v>
      </c>
      <c r="AL79" s="20">
        <f t="shared" si="58"/>
        <v>407.26184368889881</v>
      </c>
      <c r="AM79" s="59">
        <f t="shared" si="59"/>
        <v>700.59517702223206</v>
      </c>
      <c r="AN79" s="59">
        <f ca="1">AVERAGE(OFFSET($AM$3,0,0,'Données projet'!$E$10+1,1))-AVERAGE(OFFSET($H$3,0,0,'Données projet'!$E$10+1,1))</f>
        <v>188.36883552879721</v>
      </c>
      <c r="AO79" s="59">
        <f t="shared" si="90"/>
        <v>152.51465338737705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0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0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1">
        <f t="shared" si="86"/>
        <v>19.292618976952753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67">
        <f t="shared" si="56"/>
        <v>409.51710805152618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636.99999999999977</v>
      </c>
      <c r="O80" s="13">
        <f>N80*VLOOKUP('Données projet'!$B$9,Paramètres!$A$1:$I$89,3,0)*VLOOKUP('Données projet'!$B$9,Paramètres!$A$1:$I$89,5,0)</f>
        <v>356.08299999999991</v>
      </c>
      <c r="P80" s="13">
        <f t="shared" si="87"/>
        <v>82.813805255716545</v>
      </c>
      <c r="Q80" s="20">
        <f t="shared" si="54"/>
        <v>764.41193582037283</v>
      </c>
      <c r="R80" s="59">
        <f t="shared" si="55"/>
        <v>1057.7452691537062</v>
      </c>
      <c r="S80" s="59">
        <f ca="1">AVERAGE(OFFSET($R$3,0,0,'Données projet'!$E$9+1,1))-AVERAGE(OFFSET($H$3,0,0,'Données projet'!$E$9+1,1))</f>
        <v>382.58588458673051</v>
      </c>
      <c r="T80" s="59">
        <f t="shared" si="88"/>
        <v>485.5120768430603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69.793678343269121</v>
      </c>
      <c r="AA80" s="21">
        <f>EXP(-LN(2)/25)*AA79+(1-EXP(-LN(2)/25))/(LN(2)/25)*Calculateur!V80*Calculateur!X80*VLOOKUP('Données projet'!$B$9,Paramètres!$A$1:$I$89,3,0)*0.475*44/12</f>
        <v>5.9600082876925811</v>
      </c>
      <c r="AB80" s="21">
        <f>EXP(-LN(2)/2)*AB79+(1-EXP(-LN(2)/2))/(LN(2)/2)*V80*Y80*VLOOKUP('Données projet'!$B$9,Paramètres!$A$1:$I$89,3,0)*0.475*44/12</f>
        <v>5.0928539236089458E-7</v>
      </c>
      <c r="AC80" s="22">
        <f t="shared" si="57"/>
        <v>75.753687140247095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255.00000000000006</v>
      </c>
      <c r="AJ80" s="13">
        <f>AI80*VLOOKUP('Données projet'!$B$10,Paramètres!$A$1:$I$89,3,0)*VLOOKUP('Données projet'!$B$10,Paramètres!$A$1:$I$89,5,0)</f>
        <v>186.96600000000004</v>
      </c>
      <c r="AK80" s="13">
        <f t="shared" si="89"/>
        <v>46.868551400324648</v>
      </c>
      <c r="AL80" s="20">
        <f t="shared" si="58"/>
        <v>407.26184368889881</v>
      </c>
      <c r="AM80" s="59">
        <f t="shared" si="59"/>
        <v>700.59517702223206</v>
      </c>
      <c r="AN80" s="59">
        <f ca="1">AVERAGE(OFFSET($AM$3,0,0,'Données projet'!$E$10+1,1))-AVERAGE(OFFSET($H$3,0,0,'Données projet'!$E$10+1,1))</f>
        <v>188.36883552879721</v>
      </c>
      <c r="AO80" s="59">
        <f t="shared" si="90"/>
        <v>152.51465338737705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0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0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1">
        <f t="shared" si="86"/>
        <v>19.51384151112245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67">
        <f t="shared" si="56"/>
        <v>411.45109396520513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636.99999999999977</v>
      </c>
      <c r="O81" s="13">
        <f>N81*VLOOKUP('Données projet'!$B$9,Paramètres!$A$1:$I$89,3,0)*VLOOKUP('Données projet'!$B$9,Paramètres!$A$1:$I$89,5,0)</f>
        <v>356.08299999999991</v>
      </c>
      <c r="P81" s="13">
        <f t="shared" si="87"/>
        <v>82.813805255716545</v>
      </c>
      <c r="Q81" s="20">
        <f t="shared" si="54"/>
        <v>764.41193582037283</v>
      </c>
      <c r="R81" s="59">
        <f t="shared" si="55"/>
        <v>1057.7452691537062</v>
      </c>
      <c r="S81" s="59">
        <f ca="1">AVERAGE(OFFSET($R$3,0,0,'Données projet'!$E$9+1,1))-AVERAGE(OFFSET($H$3,0,0,'Données projet'!$E$9+1,1))</f>
        <v>382.58588458673051</v>
      </c>
      <c r="T81" s="59">
        <f t="shared" si="88"/>
        <v>485.5120768430603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68.425066880897973</v>
      </c>
      <c r="AA81" s="21">
        <f>EXP(-LN(2)/25)*AA80+(1-EXP(-LN(2)/25))/(LN(2)/25)*Calculateur!V81*Calculateur!X81*VLOOKUP('Données projet'!$B$9,Paramètres!$A$1:$I$89,3,0)*0.475*44/12</f>
        <v>5.7970315476424137</v>
      </c>
      <c r="AB81" s="21">
        <f>EXP(-LN(2)/2)*AB80+(1-EXP(-LN(2)/2))/(LN(2)/2)*V81*Y81*VLOOKUP('Données projet'!$B$9,Paramètres!$A$1:$I$89,3,0)*0.475*44/12</f>
        <v>3.6011915449764009E-7</v>
      </c>
      <c r="AC81" s="22">
        <f t="shared" si="57"/>
        <v>74.222098788659551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255.00000000000006</v>
      </c>
      <c r="AJ81" s="13">
        <f>AI81*VLOOKUP('Données projet'!$B$10,Paramètres!$A$1:$I$89,3,0)*VLOOKUP('Données projet'!$B$10,Paramètres!$A$1:$I$89,5,0)</f>
        <v>186.96600000000004</v>
      </c>
      <c r="AK81" s="13">
        <f t="shared" si="89"/>
        <v>46.868551400324648</v>
      </c>
      <c r="AL81" s="20">
        <f t="shared" si="58"/>
        <v>407.26184368889881</v>
      </c>
      <c r="AM81" s="59">
        <f t="shared" si="59"/>
        <v>700.59517702223206</v>
      </c>
      <c r="AN81" s="59">
        <f ca="1">AVERAGE(OFFSET($AM$3,0,0,'Données projet'!$E$10+1,1))-AVERAGE(OFFSET($H$3,0,0,'Données projet'!$E$10+1,1))</f>
        <v>188.36883552879721</v>
      </c>
      <c r="AO81" s="59">
        <f t="shared" si="90"/>
        <v>152.51465338737705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0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0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1">
        <f t="shared" si="86"/>
        <v>19.734734149853086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67">
        <f t="shared" si="56"/>
        <v>413.38450531099431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636.99999999999977</v>
      </c>
      <c r="O82" s="13">
        <f>N82*VLOOKUP('Données projet'!$B$9,Paramètres!$A$1:$I$89,3,0)*VLOOKUP('Données projet'!$B$9,Paramètres!$A$1:$I$89,5,0)</f>
        <v>356.08299999999991</v>
      </c>
      <c r="P82" s="13">
        <f t="shared" si="87"/>
        <v>82.813805255716545</v>
      </c>
      <c r="Q82" s="20">
        <f t="shared" si="54"/>
        <v>764.41193582037283</v>
      </c>
      <c r="R82" s="59">
        <f t="shared" si="55"/>
        <v>1057.7452691537062</v>
      </c>
      <c r="S82" s="59">
        <f ca="1">AVERAGE(OFFSET($R$3,0,0,'Données projet'!$E$9+1,1))-AVERAGE(OFFSET($H$3,0,0,'Données projet'!$E$9+1,1))</f>
        <v>382.58588458673051</v>
      </c>
      <c r="T82" s="59">
        <f t="shared" si="88"/>
        <v>485.5120768430603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67.083293054533357</v>
      </c>
      <c r="AA82" s="21">
        <f>EXP(-LN(2)/25)*AA81+(1-EXP(-LN(2)/25))/(LN(2)/25)*Calculateur!V82*Calculateur!X82*VLOOKUP('Données projet'!$B$9,Paramètres!$A$1:$I$89,3,0)*0.475*44/12</f>
        <v>5.6385114151194919</v>
      </c>
      <c r="AB82" s="21">
        <f>EXP(-LN(2)/2)*AB81+(1-EXP(-LN(2)/2))/(LN(2)/2)*V82*Y82*VLOOKUP('Données projet'!$B$9,Paramètres!$A$1:$I$89,3,0)*0.475*44/12</f>
        <v>2.5464269618044729E-7</v>
      </c>
      <c r="AC82" s="22">
        <f t="shared" si="57"/>
        <v>72.721804724295552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255.00000000000006</v>
      </c>
      <c r="AJ82" s="13">
        <f>AI82*VLOOKUP('Données projet'!$B$10,Paramètres!$A$1:$I$89,3,0)*VLOOKUP('Données projet'!$B$10,Paramètres!$A$1:$I$89,5,0)</f>
        <v>186.96600000000004</v>
      </c>
      <c r="AK82" s="13">
        <f t="shared" si="89"/>
        <v>46.868551400324648</v>
      </c>
      <c r="AL82" s="20">
        <f t="shared" si="58"/>
        <v>407.26184368889881</v>
      </c>
      <c r="AM82" s="59">
        <f t="shared" si="59"/>
        <v>700.59517702223206</v>
      </c>
      <c r="AN82" s="59">
        <f ca="1">AVERAGE(OFFSET($AM$3,0,0,'Données projet'!$E$10+1,1))-AVERAGE(OFFSET($H$3,0,0,'Données projet'!$E$10+1,1))</f>
        <v>188.36883552879721</v>
      </c>
      <c r="AO82" s="59">
        <f t="shared" si="90"/>
        <v>152.51465338737705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0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0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1">
        <f t="shared" si="86"/>
        <v>19.955301551927505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67">
        <f t="shared" si="56"/>
        <v>415.31735020294059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636.99999999999977</v>
      </c>
      <c r="O83" s="13">
        <f>N83*VLOOKUP('Données projet'!$B$9,Paramètres!$A$1:$I$89,3,0)*VLOOKUP('Données projet'!$B$9,Paramètres!$A$1:$I$89,5,0)</f>
        <v>356.08299999999991</v>
      </c>
      <c r="P83" s="13">
        <f t="shared" si="87"/>
        <v>82.813805255716545</v>
      </c>
      <c r="Q83" s="20">
        <f t="shared" si="54"/>
        <v>764.41193582037283</v>
      </c>
      <c r="R83" s="59">
        <f t="shared" si="55"/>
        <v>1057.7452691537062</v>
      </c>
      <c r="S83" s="59">
        <f ca="1">AVERAGE(OFFSET($R$3,0,0,'Données projet'!$E$9+1,1))-AVERAGE(OFFSET($H$3,0,0,'Données projet'!$E$9+1,1))</f>
        <v>382.58588458673051</v>
      </c>
      <c r="T83" s="59">
        <f t="shared" si="88"/>
        <v>485.5120768430603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65.767830594502527</v>
      </c>
      <c r="AA83" s="21">
        <f>EXP(-LN(2)/25)*AA82+(1-EXP(-LN(2)/25))/(LN(2)/25)*Calculateur!V83*Calculateur!X83*VLOOKUP('Données projet'!$B$9,Paramètres!$A$1:$I$89,3,0)*0.475*44/12</f>
        <v>5.4843260239566209</v>
      </c>
      <c r="AB83" s="21">
        <f>EXP(-LN(2)/2)*AB82+(1-EXP(-LN(2)/2))/(LN(2)/2)*V83*Y83*VLOOKUP('Données projet'!$B$9,Paramètres!$A$1:$I$89,3,0)*0.475*44/12</f>
        <v>1.8005957724882004E-7</v>
      </c>
      <c r="AC83" s="22">
        <f t="shared" si="57"/>
        <v>71.252156798518726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255.00000000000006</v>
      </c>
      <c r="AJ83" s="13">
        <f>AI83*VLOOKUP('Données projet'!$B$10,Paramètres!$A$1:$I$89,3,0)*VLOOKUP('Données projet'!$B$10,Paramètres!$A$1:$I$89,5,0)</f>
        <v>186.96600000000004</v>
      </c>
      <c r="AK83" s="13">
        <f t="shared" si="89"/>
        <v>46.868551400324648</v>
      </c>
      <c r="AL83" s="20">
        <f t="shared" si="58"/>
        <v>407.26184368889881</v>
      </c>
      <c r="AM83" s="59">
        <f t="shared" si="59"/>
        <v>700.59517702223206</v>
      </c>
      <c r="AN83" s="59">
        <f ca="1">AVERAGE(OFFSET($AM$3,0,0,'Données projet'!$E$10+1,1))-AVERAGE(OFFSET($H$3,0,0,'Données projet'!$E$10+1,1))</f>
        <v>188.36883552879721</v>
      </c>
      <c r="AO83" s="59">
        <f t="shared" si="90"/>
        <v>152.51465338737705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0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0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1">
        <f t="shared" si="86"/>
        <v>20.175548252960489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67">
        <f t="shared" si="56"/>
        <v>417.24963654057308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636.99999999999977</v>
      </c>
      <c r="O84" s="13">
        <f>N84*VLOOKUP('Données projet'!$B$9,Paramètres!$A$1:$I$89,3,0)*VLOOKUP('Données projet'!$B$9,Paramètres!$A$1:$I$89,5,0)</f>
        <v>356.08299999999991</v>
      </c>
      <c r="P84" s="13">
        <f t="shared" si="87"/>
        <v>82.813805255716545</v>
      </c>
      <c r="Q84" s="20">
        <f t="shared" si="54"/>
        <v>764.41193582037283</v>
      </c>
      <c r="R84" s="59">
        <f t="shared" si="55"/>
        <v>1057.7452691537062</v>
      </c>
      <c r="S84" s="59">
        <f ca="1">AVERAGE(OFFSET($R$3,0,0,'Données projet'!$E$9+1,1))-AVERAGE(OFFSET($H$3,0,0,'Données projet'!$E$9+1,1))</f>
        <v>382.58588458673051</v>
      </c>
      <c r="T84" s="59">
        <f t="shared" si="88"/>
        <v>485.5120768430603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64.478163550960019</v>
      </c>
      <c r="AA84" s="21">
        <f>EXP(-LN(2)/25)*AA83+(1-EXP(-LN(2)/25))/(LN(2)/25)*Calculateur!V84*Calculateur!X84*VLOOKUP('Données projet'!$B$9,Paramètres!$A$1:$I$89,3,0)*0.475*44/12</f>
        <v>5.3343568404233563</v>
      </c>
      <c r="AB84" s="21">
        <f>EXP(-LN(2)/2)*AB83+(1-EXP(-LN(2)/2))/(LN(2)/2)*V84*Y84*VLOOKUP('Données projet'!$B$9,Paramètres!$A$1:$I$89,3,0)*0.475*44/12</f>
        <v>1.2732134809022364E-7</v>
      </c>
      <c r="AC84" s="22">
        <f t="shared" si="57"/>
        <v>69.812520518704716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255.00000000000006</v>
      </c>
      <c r="AJ84" s="13">
        <f>AI84*VLOOKUP('Données projet'!$B$10,Paramètres!$A$1:$I$89,3,0)*VLOOKUP('Données projet'!$B$10,Paramètres!$A$1:$I$89,5,0)</f>
        <v>186.96600000000004</v>
      </c>
      <c r="AK84" s="13">
        <f t="shared" si="89"/>
        <v>46.868551400324648</v>
      </c>
      <c r="AL84" s="20">
        <f t="shared" si="58"/>
        <v>407.26184368889881</v>
      </c>
      <c r="AM84" s="59">
        <f t="shared" si="59"/>
        <v>700.59517702223206</v>
      </c>
      <c r="AN84" s="59">
        <f ca="1">AVERAGE(OFFSET($AM$3,0,0,'Données projet'!$E$10+1,1))-AVERAGE(OFFSET($H$3,0,0,'Données projet'!$E$10+1,1))</f>
        <v>188.36883552879721</v>
      </c>
      <c r="AO84" s="59">
        <f t="shared" si="90"/>
        <v>152.51465338737705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0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0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1">
        <f t="shared" si="86"/>
        <v>20.395478670134686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67">
        <f t="shared" si="56"/>
        <v>419.18137201715149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636.99999999999977</v>
      </c>
      <c r="O85" s="13">
        <f>N85*VLOOKUP('Données projet'!$B$9,Paramètres!$A$1:$I$89,3,0)*VLOOKUP('Données projet'!$B$9,Paramètres!$A$1:$I$89,5,0)</f>
        <v>356.08299999999991</v>
      </c>
      <c r="P85" s="13">
        <f t="shared" si="87"/>
        <v>82.813805255716545</v>
      </c>
      <c r="Q85" s="20">
        <f t="shared" si="54"/>
        <v>764.41193582037283</v>
      </c>
      <c r="R85" s="59">
        <f t="shared" si="55"/>
        <v>1057.7452691537062</v>
      </c>
      <c r="S85" s="59">
        <f ca="1">AVERAGE(OFFSET($R$3,0,0,'Données projet'!$E$9+1,1))-AVERAGE(OFFSET($H$3,0,0,'Données projet'!$E$9+1,1))</f>
        <v>382.58588458673051</v>
      </c>
      <c r="T85" s="59">
        <f t="shared" si="88"/>
        <v>485.5120768430603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63.213786091522159</v>
      </c>
      <c r="AA85" s="21">
        <f>EXP(-LN(2)/25)*AA84+(1-EXP(-LN(2)/25))/(LN(2)/25)*Calculateur!V85*Calculateur!X85*VLOOKUP('Données projet'!$B$9,Paramètres!$A$1:$I$89,3,0)*0.475*44/12</f>
        <v>5.1884885721003453</v>
      </c>
      <c r="AB85" s="21">
        <f>EXP(-LN(2)/2)*AB84+(1-EXP(-LN(2)/2))/(LN(2)/2)*V85*Y85*VLOOKUP('Données projet'!$B$9,Paramètres!$A$1:$I$89,3,0)*0.475*44/12</f>
        <v>9.0029788624410022E-8</v>
      </c>
      <c r="AC85" s="22">
        <f t="shared" si="57"/>
        <v>68.402274753652293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255.00000000000006</v>
      </c>
      <c r="AJ85" s="13">
        <f>AI85*VLOOKUP('Données projet'!$B$10,Paramètres!$A$1:$I$89,3,0)*VLOOKUP('Données projet'!$B$10,Paramètres!$A$1:$I$89,5,0)</f>
        <v>186.96600000000004</v>
      </c>
      <c r="AK85" s="13">
        <f t="shared" si="89"/>
        <v>46.868551400324648</v>
      </c>
      <c r="AL85" s="20">
        <f t="shared" si="58"/>
        <v>407.26184368889881</v>
      </c>
      <c r="AM85" s="59">
        <f t="shared" si="59"/>
        <v>700.59517702223206</v>
      </c>
      <c r="AN85" s="59">
        <f ca="1">AVERAGE(OFFSET($AM$3,0,0,'Données projet'!$E$10+1,1))-AVERAGE(OFFSET($H$3,0,0,'Données projet'!$E$10+1,1))</f>
        <v>188.36883552879721</v>
      </c>
      <c r="AO85" s="59">
        <f t="shared" si="90"/>
        <v>152.51465338737705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0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0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1">
        <f t="shared" si="86"/>
        <v>20.615097106698798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67">
        <f t="shared" si="56"/>
        <v>421.1125641275006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636.99999999999977</v>
      </c>
      <c r="O86" s="13">
        <f>N86*VLOOKUP('Données projet'!$B$9,Paramètres!$A$1:$I$89,3,0)*VLOOKUP('Données projet'!$B$9,Paramètres!$A$1:$I$89,5,0)</f>
        <v>356.08299999999991</v>
      </c>
      <c r="P86" s="13">
        <f t="shared" si="87"/>
        <v>82.813805255716545</v>
      </c>
      <c r="Q86" s="20">
        <f t="shared" si="54"/>
        <v>764.41193582037283</v>
      </c>
      <c r="R86" s="59">
        <f t="shared" si="55"/>
        <v>1057.7452691537062</v>
      </c>
      <c r="S86" s="59">
        <f ca="1">AVERAGE(OFFSET($R$3,0,0,'Données projet'!$E$9+1,1))-AVERAGE(OFFSET($H$3,0,0,'Données projet'!$E$9+1,1))</f>
        <v>382.58588458673051</v>
      </c>
      <c r="T86" s="59">
        <f t="shared" si="88"/>
        <v>485.5120768430603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61.974202302869777</v>
      </c>
      <c r="AA86" s="21">
        <f>EXP(-LN(2)/25)*AA85+(1-EXP(-LN(2)/25))/(LN(2)/25)*Calculateur!V86*Calculateur!X86*VLOOKUP('Données projet'!$B$9,Paramètres!$A$1:$I$89,3,0)*0.475*44/12</f>
        <v>5.0466090792455054</v>
      </c>
      <c r="AB86" s="21">
        <f>EXP(-LN(2)/2)*AB85+(1-EXP(-LN(2)/2))/(LN(2)/2)*V86*Y86*VLOOKUP('Données projet'!$B$9,Paramètres!$A$1:$I$89,3,0)*0.475*44/12</f>
        <v>6.3660674045111822E-8</v>
      </c>
      <c r="AC86" s="22">
        <f t="shared" si="57"/>
        <v>67.020811445775962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255.00000000000006</v>
      </c>
      <c r="AJ86" s="13">
        <f>AI86*VLOOKUP('Données projet'!$B$10,Paramètres!$A$1:$I$89,3,0)*VLOOKUP('Données projet'!$B$10,Paramètres!$A$1:$I$89,5,0)</f>
        <v>186.96600000000004</v>
      </c>
      <c r="AK86" s="13">
        <f t="shared" si="89"/>
        <v>46.868551400324648</v>
      </c>
      <c r="AL86" s="20">
        <f t="shared" si="58"/>
        <v>407.26184368889881</v>
      </c>
      <c r="AM86" s="59">
        <f t="shared" si="59"/>
        <v>700.59517702223206</v>
      </c>
      <c r="AN86" s="59">
        <f ca="1">AVERAGE(OFFSET($AM$3,0,0,'Données projet'!$E$10+1,1))-AVERAGE(OFFSET($H$3,0,0,'Données projet'!$E$10+1,1))</f>
        <v>188.36883552879721</v>
      </c>
      <c r="AO86" s="59">
        <f t="shared" si="90"/>
        <v>152.51465338737705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0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0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1">
        <f t="shared" si="86"/>
        <v>20.834407756242857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67">
        <f t="shared" si="56"/>
        <v>423.0432201754565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636.99999999999977</v>
      </c>
      <c r="O87" s="13">
        <f>N87*VLOOKUP('Données projet'!$B$9,Paramètres!$A$1:$I$89,3,0)*VLOOKUP('Données projet'!$B$9,Paramètres!$A$1:$I$89,5,0)</f>
        <v>356.08299999999991</v>
      </c>
      <c r="P87" s="13">
        <f t="shared" si="87"/>
        <v>82.813805255716545</v>
      </c>
      <c r="Q87" s="20">
        <f t="shared" si="54"/>
        <v>764.41193582037283</v>
      </c>
      <c r="R87" s="59">
        <f t="shared" si="55"/>
        <v>1057.7452691537062</v>
      </c>
      <c r="S87" s="59">
        <f ca="1">AVERAGE(OFFSET($R$3,0,0,'Données projet'!$E$9+1,1))-AVERAGE(OFFSET($H$3,0,0,'Données projet'!$E$9+1,1))</f>
        <v>382.58588458673051</v>
      </c>
      <c r="T87" s="59">
        <f t="shared" si="88"/>
        <v>485.5120768430603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60.758925996241416</v>
      </c>
      <c r="AA87" s="21">
        <f>EXP(-LN(2)/25)*AA86+(1-EXP(-LN(2)/25))/(LN(2)/25)*Calculateur!V87*Calculateur!X87*VLOOKUP('Données projet'!$B$9,Paramètres!$A$1:$I$89,3,0)*0.475*44/12</f>
        <v>4.9086092885839001</v>
      </c>
      <c r="AB87" s="21">
        <f>EXP(-LN(2)/2)*AB86+(1-EXP(-LN(2)/2))/(LN(2)/2)*V87*Y87*VLOOKUP('Données projet'!$B$9,Paramètres!$A$1:$I$89,3,0)*0.475*44/12</f>
        <v>4.5014894312205011E-8</v>
      </c>
      <c r="AC87" s="22">
        <f t="shared" si="57"/>
        <v>65.66753532984022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255.00000000000006</v>
      </c>
      <c r="AJ87" s="13">
        <f>AI87*VLOOKUP('Données projet'!$B$10,Paramètres!$A$1:$I$89,3,0)*VLOOKUP('Données projet'!$B$10,Paramètres!$A$1:$I$89,5,0)</f>
        <v>186.96600000000004</v>
      </c>
      <c r="AK87" s="13">
        <f t="shared" si="89"/>
        <v>46.868551400324648</v>
      </c>
      <c r="AL87" s="20">
        <f t="shared" si="58"/>
        <v>407.26184368889881</v>
      </c>
      <c r="AM87" s="59">
        <f t="shared" si="59"/>
        <v>700.59517702223206</v>
      </c>
      <c r="AN87" s="59">
        <f ca="1">AVERAGE(OFFSET($AM$3,0,0,'Données projet'!$E$10+1,1))-AVERAGE(OFFSET($H$3,0,0,'Données projet'!$E$10+1,1))</f>
        <v>188.36883552879721</v>
      </c>
      <c r="AO87" s="59">
        <f t="shared" si="90"/>
        <v>152.51465338737705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0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0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1">
        <f t="shared" si="86"/>
        <v>21.053414706764155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67">
        <f t="shared" si="56"/>
        <v>424.97334728094779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636.99999999999977</v>
      </c>
      <c r="O88" s="13">
        <f>N88*VLOOKUP('Données projet'!$B$9,Paramètres!$A$1:$I$89,3,0)*VLOOKUP('Données projet'!$B$9,Paramètres!$A$1:$I$89,5,0)</f>
        <v>356.08299999999991</v>
      </c>
      <c r="P88" s="13">
        <f t="shared" si="87"/>
        <v>82.813805255716545</v>
      </c>
      <c r="Q88" s="20">
        <f t="shared" si="54"/>
        <v>764.41193582037283</v>
      </c>
      <c r="R88" s="59">
        <f t="shared" si="55"/>
        <v>1057.7452691537062</v>
      </c>
      <c r="S88" s="59">
        <f ca="1">AVERAGE(OFFSET($R$3,0,0,'Données projet'!$E$9+1,1))-AVERAGE(OFFSET($H$3,0,0,'Données projet'!$E$9+1,1))</f>
        <v>382.58588458673051</v>
      </c>
      <c r="T88" s="59">
        <f t="shared" si="88"/>
        <v>485.5120768430603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59.56748051674068</v>
      </c>
      <c r="AA88" s="21">
        <f>EXP(-LN(2)/25)*AA87+(1-EXP(-LN(2)/25))/(LN(2)/25)*Calculateur!V88*Calculateur!X88*VLOOKUP('Données projet'!$B$9,Paramètres!$A$1:$I$89,3,0)*0.475*44/12</f>
        <v>4.7743831094550293</v>
      </c>
      <c r="AB88" s="21">
        <f>EXP(-LN(2)/2)*AB87+(1-EXP(-LN(2)/2))/(LN(2)/2)*V88*Y88*VLOOKUP('Données projet'!$B$9,Paramètres!$A$1:$I$89,3,0)*0.475*44/12</f>
        <v>3.1830337022555911E-8</v>
      </c>
      <c r="AC88" s="22">
        <f t="shared" si="57"/>
        <v>64.341863658026043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255.00000000000006</v>
      </c>
      <c r="AJ88" s="13">
        <f>AI88*VLOOKUP('Données projet'!$B$10,Paramètres!$A$1:$I$89,3,0)*VLOOKUP('Données projet'!$B$10,Paramètres!$A$1:$I$89,5,0)</f>
        <v>186.96600000000004</v>
      </c>
      <c r="AK88" s="13">
        <f t="shared" si="89"/>
        <v>46.868551400324648</v>
      </c>
      <c r="AL88" s="20">
        <f t="shared" si="58"/>
        <v>407.26184368889881</v>
      </c>
      <c r="AM88" s="59">
        <f t="shared" si="59"/>
        <v>700.59517702223206</v>
      </c>
      <c r="AN88" s="59">
        <f ca="1">AVERAGE(OFFSET($AM$3,0,0,'Données projet'!$E$10+1,1))-AVERAGE(OFFSET($H$3,0,0,'Données projet'!$E$10+1,1))</f>
        <v>188.36883552879721</v>
      </c>
      <c r="AO88" s="59">
        <f t="shared" si="90"/>
        <v>152.51465338737705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0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0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1">
        <f t="shared" si="86"/>
        <v>21.272121944536373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67">
        <f t="shared" si="56"/>
        <v>426.9029523867344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636.99999999999977</v>
      </c>
      <c r="O89" s="13">
        <f>N89*VLOOKUP('Données projet'!$B$9,Paramètres!$A$1:$I$89,3,0)*VLOOKUP('Données projet'!$B$9,Paramètres!$A$1:$I$89,5,0)</f>
        <v>356.08299999999991</v>
      </c>
      <c r="P89" s="13">
        <f t="shared" si="87"/>
        <v>82.813805255716545</v>
      </c>
      <c r="Q89" s="20">
        <f t="shared" si="54"/>
        <v>764.41193582037283</v>
      </c>
      <c r="R89" s="59">
        <f t="shared" si="55"/>
        <v>1057.7452691537062</v>
      </c>
      <c r="S89" s="59">
        <f ca="1">AVERAGE(OFFSET($R$3,0,0,'Données projet'!$E$9+1,1))-AVERAGE(OFFSET($H$3,0,0,'Données projet'!$E$9+1,1))</f>
        <v>382.58588458673051</v>
      </c>
      <c r="T89" s="59">
        <f t="shared" si="88"/>
        <v>485.5120768430603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58.39939855638297</v>
      </c>
      <c r="AA89" s="21">
        <f>EXP(-LN(2)/25)*AA88+(1-EXP(-LN(2)/25))/(LN(2)/25)*Calculateur!V89*Calculateur!X89*VLOOKUP('Données projet'!$B$9,Paramètres!$A$1:$I$89,3,0)*0.475*44/12</f>
        <v>4.6438273522530862</v>
      </c>
      <c r="AB89" s="21">
        <f>EXP(-LN(2)/2)*AB88+(1-EXP(-LN(2)/2))/(LN(2)/2)*V89*Y89*VLOOKUP('Données projet'!$B$9,Paramètres!$A$1:$I$89,3,0)*0.475*44/12</f>
        <v>2.2507447156102506E-8</v>
      </c>
      <c r="AC89" s="22">
        <f t="shared" si="57"/>
        <v>63.043225931143503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255.00000000000006</v>
      </c>
      <c r="AJ89" s="13">
        <f>AI89*VLOOKUP('Données projet'!$B$10,Paramètres!$A$1:$I$89,3,0)*VLOOKUP('Données projet'!$B$10,Paramètres!$A$1:$I$89,5,0)</f>
        <v>186.96600000000004</v>
      </c>
      <c r="AK89" s="13">
        <f t="shared" si="89"/>
        <v>46.868551400324648</v>
      </c>
      <c r="AL89" s="20">
        <f t="shared" si="58"/>
        <v>407.26184368889881</v>
      </c>
      <c r="AM89" s="59">
        <f t="shared" si="59"/>
        <v>700.59517702223206</v>
      </c>
      <c r="AN89" s="59">
        <f ca="1">AVERAGE(OFFSET($AM$3,0,0,'Données projet'!$E$10+1,1))-AVERAGE(OFFSET($H$3,0,0,'Données projet'!$E$10+1,1))</f>
        <v>188.36883552879721</v>
      </c>
      <c r="AO89" s="59">
        <f t="shared" si="90"/>
        <v>152.51465338737705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0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0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1">
        <f t="shared" si="86"/>
        <v>21.490533357793517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67">
        <f t="shared" si="56"/>
        <v>428.83204226482388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636.99999999999977</v>
      </c>
      <c r="O90" s="13">
        <f>N90*VLOOKUP('Données projet'!$B$9,Paramètres!$A$1:$I$89,3,0)*VLOOKUP('Données projet'!$B$9,Paramètres!$A$1:$I$89,5,0)</f>
        <v>356.08299999999991</v>
      </c>
      <c r="P90" s="13">
        <f t="shared" si="87"/>
        <v>82.813805255716545</v>
      </c>
      <c r="Q90" s="20">
        <f t="shared" si="54"/>
        <v>764.41193582037283</v>
      </c>
      <c r="R90" s="59">
        <f t="shared" si="55"/>
        <v>1057.7452691537062</v>
      </c>
      <c r="S90" s="59">
        <f ca="1">AVERAGE(OFFSET($R$3,0,0,'Données projet'!$E$9+1,1))-AVERAGE(OFFSET($H$3,0,0,'Données projet'!$E$9+1,1))</f>
        <v>382.58588458673051</v>
      </c>
      <c r="T90" s="59">
        <f t="shared" si="88"/>
        <v>485.5120768430603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57.254221970808224</v>
      </c>
      <c r="AA90" s="21">
        <f>EXP(-LN(2)/25)*AA89+(1-EXP(-LN(2)/25))/(LN(2)/25)*Calculateur!V90*Calculateur!X90*VLOOKUP('Données projet'!$B$9,Paramètres!$A$1:$I$89,3,0)*0.475*44/12</f>
        <v>4.5168416490974588</v>
      </c>
      <c r="AB90" s="21">
        <f>EXP(-LN(2)/2)*AB89+(1-EXP(-LN(2)/2))/(LN(2)/2)*V90*Y90*VLOOKUP('Données projet'!$B$9,Paramètres!$A$1:$I$89,3,0)*0.475*44/12</f>
        <v>1.5915168511277956E-8</v>
      </c>
      <c r="AC90" s="22">
        <f t="shared" si="57"/>
        <v>61.771063635820852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255.00000000000006</v>
      </c>
      <c r="AJ90" s="13">
        <f>AI90*VLOOKUP('Données projet'!$B$10,Paramètres!$A$1:$I$89,3,0)*VLOOKUP('Données projet'!$B$10,Paramètres!$A$1:$I$89,5,0)</f>
        <v>186.96600000000004</v>
      </c>
      <c r="AK90" s="13">
        <f t="shared" si="89"/>
        <v>46.868551400324648</v>
      </c>
      <c r="AL90" s="20">
        <f t="shared" si="58"/>
        <v>407.26184368889881</v>
      </c>
      <c r="AM90" s="59">
        <f t="shared" si="59"/>
        <v>700.59517702223206</v>
      </c>
      <c r="AN90" s="59">
        <f ca="1">AVERAGE(OFFSET($AM$3,0,0,'Données projet'!$E$10+1,1))-AVERAGE(OFFSET($H$3,0,0,'Données projet'!$E$10+1,1))</f>
        <v>188.36883552879721</v>
      </c>
      <c r="AO90" s="59">
        <f t="shared" si="90"/>
        <v>152.51465338737705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0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0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1">
        <f t="shared" si="86"/>
        <v>21.70865274023982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67">
        <f t="shared" si="56"/>
        <v>430.76062352258458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636.99999999999977</v>
      </c>
      <c r="O91" s="13">
        <f>N91*VLOOKUP('Données projet'!$B$9,Paramètres!$A$1:$I$89,3,0)*VLOOKUP('Données projet'!$B$9,Paramètres!$A$1:$I$89,5,0)</f>
        <v>356.08299999999991</v>
      </c>
      <c r="P91" s="13">
        <f t="shared" si="87"/>
        <v>82.813805255716545</v>
      </c>
      <c r="Q91" s="20">
        <f t="shared" si="54"/>
        <v>764.41193582037283</v>
      </c>
      <c r="R91" s="59">
        <f t="shared" si="55"/>
        <v>1057.7452691537062</v>
      </c>
      <c r="S91" s="59">
        <f ca="1">AVERAGE(OFFSET($R$3,0,0,'Données projet'!$E$9+1,1))-AVERAGE(OFFSET($H$3,0,0,'Données projet'!$E$9+1,1))</f>
        <v>382.58588458673051</v>
      </c>
      <c r="T91" s="59">
        <f t="shared" si="88"/>
        <v>485.5120768430603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56.13150159958785</v>
      </c>
      <c r="AA91" s="21">
        <f>EXP(-LN(2)/25)*AA90+(1-EXP(-LN(2)/25))/(LN(2)/25)*Calculateur!V91*Calculateur!X91*VLOOKUP('Données projet'!$B$9,Paramètres!$A$1:$I$89,3,0)*0.475*44/12</f>
        <v>4.3933283766725095</v>
      </c>
      <c r="AB91" s="21">
        <f>EXP(-LN(2)/2)*AB90+(1-EXP(-LN(2)/2))/(LN(2)/2)*V91*Y91*VLOOKUP('Données projet'!$B$9,Paramètres!$A$1:$I$89,3,0)*0.475*44/12</f>
        <v>1.1253723578051253E-8</v>
      </c>
      <c r="AC91" s="22">
        <f t="shared" si="57"/>
        <v>60.524829987514082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255.00000000000006</v>
      </c>
      <c r="AJ91" s="13">
        <f>AI91*VLOOKUP('Données projet'!$B$10,Paramètres!$A$1:$I$89,3,0)*VLOOKUP('Données projet'!$B$10,Paramètres!$A$1:$I$89,5,0)</f>
        <v>186.96600000000004</v>
      </c>
      <c r="AK91" s="13">
        <f t="shared" si="89"/>
        <v>46.868551400324648</v>
      </c>
      <c r="AL91" s="20">
        <f t="shared" si="58"/>
        <v>407.26184368889881</v>
      </c>
      <c r="AM91" s="59">
        <f t="shared" si="59"/>
        <v>700.59517702223206</v>
      </c>
      <c r="AN91" s="59">
        <f ca="1">AVERAGE(OFFSET($AM$3,0,0,'Données projet'!$E$10+1,1))-AVERAGE(OFFSET($H$3,0,0,'Données projet'!$E$10+1,1))</f>
        <v>188.36883552879721</v>
      </c>
      <c r="AO91" s="59">
        <f t="shared" si="90"/>
        <v>152.51465338737705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0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0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1">
        <f t="shared" si="86"/>
        <v>21.926483794395363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67">
        <f t="shared" si="56"/>
        <v>432.68870260857216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636.99999999999977</v>
      </c>
      <c r="O92" s="13">
        <f>N92*VLOOKUP('Données projet'!$B$9,Paramètres!$A$1:$I$89,3,0)*VLOOKUP('Données projet'!$B$9,Paramètres!$A$1:$I$89,5,0)</f>
        <v>356.08299999999991</v>
      </c>
      <c r="P92" s="13">
        <f t="shared" si="87"/>
        <v>82.813805255716545</v>
      </c>
      <c r="Q92" s="20">
        <f t="shared" si="54"/>
        <v>764.41193582037283</v>
      </c>
      <c r="R92" s="59">
        <f t="shared" si="55"/>
        <v>1057.7452691537062</v>
      </c>
      <c r="S92" s="59">
        <f ca="1">AVERAGE(OFFSET($R$3,0,0,'Données projet'!$E$9+1,1))-AVERAGE(OFFSET($H$3,0,0,'Données projet'!$E$9+1,1))</f>
        <v>382.58588458673051</v>
      </c>
      <c r="T92" s="59">
        <f t="shared" si="88"/>
        <v>485.5120768430603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55.030797090055302</v>
      </c>
      <c r="AA92" s="21">
        <f>EXP(-LN(2)/25)*AA91+(1-EXP(-LN(2)/25))/(LN(2)/25)*Calculateur!V92*Calculateur!X92*VLOOKUP('Données projet'!$B$9,Paramètres!$A$1:$I$89,3,0)*0.475*44/12</f>
        <v>4.2731925811773017</v>
      </c>
      <c r="AB92" s="21">
        <f>EXP(-LN(2)/2)*AB91+(1-EXP(-LN(2)/2))/(LN(2)/2)*V92*Y92*VLOOKUP('Données projet'!$B$9,Paramètres!$A$1:$I$89,3,0)*0.475*44/12</f>
        <v>7.9575842556389778E-9</v>
      </c>
      <c r="AC92" s="22">
        <f t="shared" si="57"/>
        <v>59.303989679190181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255.00000000000006</v>
      </c>
      <c r="AJ92" s="13">
        <f>AI92*VLOOKUP('Données projet'!$B$10,Paramètres!$A$1:$I$89,3,0)*VLOOKUP('Données projet'!$B$10,Paramètres!$A$1:$I$89,5,0)</f>
        <v>186.96600000000004</v>
      </c>
      <c r="AK92" s="13">
        <f t="shared" si="89"/>
        <v>46.868551400324648</v>
      </c>
      <c r="AL92" s="20">
        <f t="shared" si="58"/>
        <v>407.26184368889881</v>
      </c>
      <c r="AM92" s="59">
        <f t="shared" si="59"/>
        <v>700.59517702223206</v>
      </c>
      <c r="AN92" s="59">
        <f ca="1">AVERAGE(OFFSET($AM$3,0,0,'Données projet'!$E$10+1,1))-AVERAGE(OFFSET($H$3,0,0,'Données projet'!$E$10+1,1))</f>
        <v>188.36883552879721</v>
      </c>
      <c r="AO92" s="59">
        <f t="shared" si="90"/>
        <v>152.51465338737705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0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0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1">
        <f t="shared" si="86"/>
        <v>22.144030134787187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67">
        <f t="shared" si="56"/>
        <v>434.61628581808787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636.99999999999977</v>
      </c>
      <c r="O93" s="13">
        <f>N93*VLOOKUP('Données projet'!$B$9,Paramètres!$A$1:$I$89,3,0)*VLOOKUP('Données projet'!$B$9,Paramètres!$A$1:$I$89,5,0)</f>
        <v>356.08299999999991</v>
      </c>
      <c r="P93" s="13">
        <f t="shared" si="87"/>
        <v>82.813805255716545</v>
      </c>
      <c r="Q93" s="20">
        <f t="shared" si="54"/>
        <v>764.41193582037283</v>
      </c>
      <c r="R93" s="59">
        <f t="shared" si="55"/>
        <v>1057.7452691537062</v>
      </c>
      <c r="S93" s="59">
        <f ca="1">AVERAGE(OFFSET($R$3,0,0,'Données projet'!$E$9+1,1))-AVERAGE(OFFSET($H$3,0,0,'Données projet'!$E$9+1,1))</f>
        <v>382.58588458673051</v>
      </c>
      <c r="T93" s="59">
        <f t="shared" si="88"/>
        <v>485.5120768430603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53.951676724591231</v>
      </c>
      <c r="AA93" s="21">
        <f>EXP(-LN(2)/25)*AA92+(1-EXP(-LN(2)/25))/(LN(2)/25)*Calculateur!V93*Calculateur!X93*VLOOKUP('Données projet'!$B$9,Paramètres!$A$1:$I$89,3,0)*0.475*44/12</f>
        <v>4.1563419053275767</v>
      </c>
      <c r="AB93" s="21">
        <f>EXP(-LN(2)/2)*AB92+(1-EXP(-LN(2)/2))/(LN(2)/2)*V93*Y93*VLOOKUP('Données projet'!$B$9,Paramètres!$A$1:$I$89,3,0)*0.475*44/12</f>
        <v>5.6268617890256264E-9</v>
      </c>
      <c r="AC93" s="22">
        <f t="shared" si="57"/>
        <v>58.108018635545669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255.00000000000006</v>
      </c>
      <c r="AJ93" s="13">
        <f>AI93*VLOOKUP('Données projet'!$B$10,Paramètres!$A$1:$I$89,3,0)*VLOOKUP('Données projet'!$B$10,Paramètres!$A$1:$I$89,5,0)</f>
        <v>186.96600000000004</v>
      </c>
      <c r="AK93" s="13">
        <f t="shared" si="89"/>
        <v>46.868551400324648</v>
      </c>
      <c r="AL93" s="20">
        <f t="shared" si="58"/>
        <v>407.26184368889881</v>
      </c>
      <c r="AM93" s="59">
        <f t="shared" si="59"/>
        <v>700.59517702223206</v>
      </c>
      <c r="AN93" s="59">
        <f ca="1">AVERAGE(OFFSET($AM$3,0,0,'Données projet'!$E$10+1,1))-AVERAGE(OFFSET($H$3,0,0,'Données projet'!$E$10+1,1))</f>
        <v>188.36883552879721</v>
      </c>
      <c r="AO93" s="59">
        <f t="shared" si="90"/>
        <v>152.51465338737705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0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0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1">
        <f t="shared" si="86"/>
        <v>22.361295290994477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67">
        <f t="shared" si="56"/>
        <v>436.54337929848225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636.99999999999977</v>
      </c>
      <c r="O94" s="13">
        <f>N94*VLOOKUP('Données projet'!$B$9,Paramètres!$A$1:$I$89,3,0)*VLOOKUP('Données projet'!$B$9,Paramètres!$A$1:$I$89,5,0)</f>
        <v>356.08299999999991</v>
      </c>
      <c r="P94" s="13">
        <f t="shared" si="87"/>
        <v>82.813805255716545</v>
      </c>
      <c r="Q94" s="20">
        <f t="shared" si="54"/>
        <v>764.41193582037283</v>
      </c>
      <c r="R94" s="59">
        <f t="shared" si="55"/>
        <v>1057.7452691537062</v>
      </c>
      <c r="S94" s="59">
        <f ca="1">AVERAGE(OFFSET($R$3,0,0,'Données projet'!$E$9+1,1))-AVERAGE(OFFSET($H$3,0,0,'Données projet'!$E$9+1,1))</f>
        <v>382.58588458673051</v>
      </c>
      <c r="T94" s="59">
        <f t="shared" si="88"/>
        <v>485.5120768430603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52.893717251295477</v>
      </c>
      <c r="AA94" s="21">
        <f>EXP(-LN(2)/25)*AA93+(1-EXP(-LN(2)/25))/(LN(2)/25)*Calculateur!V94*Calculateur!X94*VLOOKUP('Données projet'!$B$9,Paramètres!$A$1:$I$89,3,0)*0.475*44/12</f>
        <v>4.0426865173538724</v>
      </c>
      <c r="AB94" s="21">
        <f>EXP(-LN(2)/2)*AB93+(1-EXP(-LN(2)/2))/(LN(2)/2)*V94*Y94*VLOOKUP('Données projet'!$B$9,Paramètres!$A$1:$I$89,3,0)*0.475*44/12</f>
        <v>3.9787921278194889E-9</v>
      </c>
      <c r="AC94" s="22">
        <f t="shared" si="57"/>
        <v>56.93640377262814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255.00000000000006</v>
      </c>
      <c r="AJ94" s="13">
        <f>AI94*VLOOKUP('Données projet'!$B$10,Paramètres!$A$1:$I$89,3,0)*VLOOKUP('Données projet'!$B$10,Paramètres!$A$1:$I$89,5,0)</f>
        <v>186.96600000000004</v>
      </c>
      <c r="AK94" s="13">
        <f t="shared" si="89"/>
        <v>46.868551400324648</v>
      </c>
      <c r="AL94" s="20">
        <f t="shared" si="58"/>
        <v>407.26184368889881</v>
      </c>
      <c r="AM94" s="59">
        <f t="shared" si="59"/>
        <v>700.59517702223206</v>
      </c>
      <c r="AN94" s="59">
        <f ca="1">AVERAGE(OFFSET($AM$3,0,0,'Données projet'!$E$10+1,1))-AVERAGE(OFFSET($H$3,0,0,'Données projet'!$E$10+1,1))</f>
        <v>188.36883552879721</v>
      </c>
      <c r="AO94" s="59">
        <f t="shared" si="90"/>
        <v>152.51465338737705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0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0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1">
        <f t="shared" si="86"/>
        <v>22.578282710556053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67">
        <f t="shared" si="56"/>
        <v>438.46998905421867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636.99999999999977</v>
      </c>
      <c r="O95" s="13">
        <f>N95*VLOOKUP('Données projet'!$B$9,Paramètres!$A$1:$I$89,3,0)*VLOOKUP('Données projet'!$B$9,Paramètres!$A$1:$I$89,5,0)</f>
        <v>356.08299999999991</v>
      </c>
      <c r="P95" s="13">
        <f t="shared" si="87"/>
        <v>82.813805255716545</v>
      </c>
      <c r="Q95" s="20">
        <f t="shared" si="54"/>
        <v>764.41193582037283</v>
      </c>
      <c r="R95" s="59">
        <f t="shared" si="55"/>
        <v>1057.7452691537062</v>
      </c>
      <c r="S95" s="59">
        <f ca="1">AVERAGE(OFFSET($R$3,0,0,'Données projet'!$E$9+1,1))-AVERAGE(OFFSET($H$3,0,0,'Données projet'!$E$9+1,1))</f>
        <v>382.58588458673051</v>
      </c>
      <c r="T95" s="59">
        <f t="shared" si="88"/>
        <v>485.5120768430603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51.856503717979493</v>
      </c>
      <c r="AA95" s="21">
        <f>EXP(-LN(2)/25)*AA94+(1-EXP(-LN(2)/25))/(LN(2)/25)*Calculateur!V95*Calculateur!X95*VLOOKUP('Données projet'!$B$9,Paramètres!$A$1:$I$89,3,0)*0.475*44/12</f>
        <v>3.9321390419411864</v>
      </c>
      <c r="AB95" s="21">
        <f>EXP(-LN(2)/2)*AB94+(1-EXP(-LN(2)/2))/(LN(2)/2)*V95*Y95*VLOOKUP('Données projet'!$B$9,Paramètres!$A$1:$I$89,3,0)*0.475*44/12</f>
        <v>2.8134308945128132E-9</v>
      </c>
      <c r="AC95" s="22">
        <f t="shared" si="57"/>
        <v>55.788642762734106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255.00000000000006</v>
      </c>
      <c r="AJ95" s="13">
        <f>AI95*VLOOKUP('Données projet'!$B$10,Paramètres!$A$1:$I$89,3,0)*VLOOKUP('Données projet'!$B$10,Paramètres!$A$1:$I$89,5,0)</f>
        <v>186.96600000000004</v>
      </c>
      <c r="AK95" s="13">
        <f t="shared" si="89"/>
        <v>46.868551400324648</v>
      </c>
      <c r="AL95" s="20">
        <f t="shared" si="58"/>
        <v>407.26184368889881</v>
      </c>
      <c r="AM95" s="59">
        <f t="shared" si="59"/>
        <v>700.59517702223206</v>
      </c>
      <c r="AN95" s="59">
        <f ca="1">AVERAGE(OFFSET($AM$3,0,0,'Données projet'!$E$10+1,1))-AVERAGE(OFFSET($H$3,0,0,'Données projet'!$E$10+1,1))</f>
        <v>188.36883552879721</v>
      </c>
      <c r="AO95" s="59">
        <f t="shared" si="90"/>
        <v>152.51465338737705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0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0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1">
        <f t="shared" si="86"/>
        <v>22.794995761747877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67">
        <f t="shared" si="56"/>
        <v>440.39612095171111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636.99999999999977</v>
      </c>
      <c r="O96" s="13">
        <f>N96*VLOOKUP('Données projet'!$B$9,Paramètres!$A$1:$I$89,3,0)*VLOOKUP('Données projet'!$B$9,Paramètres!$A$1:$I$89,5,0)</f>
        <v>356.08299999999991</v>
      </c>
      <c r="P96" s="13">
        <f t="shared" si="87"/>
        <v>82.813805255716545</v>
      </c>
      <c r="Q96" s="20">
        <f t="shared" si="54"/>
        <v>764.41193582037283</v>
      </c>
      <c r="R96" s="59">
        <f t="shared" si="55"/>
        <v>1057.7452691537062</v>
      </c>
      <c r="S96" s="59">
        <f ca="1">AVERAGE(OFFSET($R$3,0,0,'Données projet'!$E$9+1,1))-AVERAGE(OFFSET($H$3,0,0,'Données projet'!$E$9+1,1))</f>
        <v>382.58588458673051</v>
      </c>
      <c r="T96" s="59">
        <f t="shared" si="88"/>
        <v>485.5120768430603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50.839629309414043</v>
      </c>
      <c r="AA96" s="21">
        <f>EXP(-LN(2)/25)*AA95+(1-EXP(-LN(2)/25))/(LN(2)/25)*Calculateur!V96*Calculateur!X96*VLOOKUP('Données projet'!$B$9,Paramètres!$A$1:$I$89,3,0)*0.475*44/12</f>
        <v>3.8246144930570996</v>
      </c>
      <c r="AB96" s="21">
        <f>EXP(-LN(2)/2)*AB95+(1-EXP(-LN(2)/2))/(LN(2)/2)*V96*Y96*VLOOKUP('Données projet'!$B$9,Paramètres!$A$1:$I$89,3,0)*0.475*44/12</f>
        <v>1.9893960639097444E-9</v>
      </c>
      <c r="AC96" s="22">
        <f t="shared" si="57"/>
        <v>54.66424380446054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255.00000000000006</v>
      </c>
      <c r="AJ96" s="13">
        <f>AI96*VLOOKUP('Données projet'!$B$10,Paramètres!$A$1:$I$89,3,0)*VLOOKUP('Données projet'!$B$10,Paramètres!$A$1:$I$89,5,0)</f>
        <v>186.96600000000004</v>
      </c>
      <c r="AK96" s="13">
        <f t="shared" si="89"/>
        <v>46.868551400324648</v>
      </c>
      <c r="AL96" s="20">
        <f t="shared" si="58"/>
        <v>407.26184368889881</v>
      </c>
      <c r="AM96" s="59">
        <f t="shared" si="59"/>
        <v>700.59517702223206</v>
      </c>
      <c r="AN96" s="59">
        <f ca="1">AVERAGE(OFFSET($AM$3,0,0,'Données projet'!$E$10+1,1))-AVERAGE(OFFSET($H$3,0,0,'Données projet'!$E$10+1,1))</f>
        <v>188.36883552879721</v>
      </c>
      <c r="AO96" s="59">
        <f t="shared" si="90"/>
        <v>152.51465338737705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0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0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1">
        <f t="shared" si="86"/>
        <v>23.011437736237649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67">
        <f t="shared" si="56"/>
        <v>442.32178072394748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636.99999999999977</v>
      </c>
      <c r="O97" s="13">
        <f>N97*VLOOKUP('Données projet'!$B$9,Paramètres!$A$1:$I$89,3,0)*VLOOKUP('Données projet'!$B$9,Paramètres!$A$1:$I$89,5,0)</f>
        <v>356.08299999999991</v>
      </c>
      <c r="P97" s="13">
        <f t="shared" si="87"/>
        <v>82.813805255716545</v>
      </c>
      <c r="Q97" s="20">
        <f t="shared" si="54"/>
        <v>764.41193582037283</v>
      </c>
      <c r="R97" s="59">
        <f t="shared" si="55"/>
        <v>1057.7452691537062</v>
      </c>
      <c r="S97" s="59">
        <f ca="1">AVERAGE(OFFSET($R$3,0,0,'Données projet'!$E$9+1,1))-AVERAGE(OFFSET($H$3,0,0,'Données projet'!$E$9+1,1))</f>
        <v>382.58588458673051</v>
      </c>
      <c r="T97" s="59">
        <f t="shared" si="88"/>
        <v>485.5120768430603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49.84269518776842</v>
      </c>
      <c r="AA97" s="21">
        <f>EXP(-LN(2)/25)*AA96+(1-EXP(-LN(2)/25))/(LN(2)/25)*Calculateur!V97*Calculateur!X97*VLOOKUP('Données projet'!$B$9,Paramètres!$A$1:$I$89,3,0)*0.475*44/12</f>
        <v>3.7200302086167181</v>
      </c>
      <c r="AB97" s="21">
        <f>EXP(-LN(2)/2)*AB96+(1-EXP(-LN(2)/2))/(LN(2)/2)*V97*Y97*VLOOKUP('Données projet'!$B$9,Paramètres!$A$1:$I$89,3,0)*0.475*44/12</f>
        <v>1.4067154472564066E-9</v>
      </c>
      <c r="AC97" s="22">
        <f t="shared" si="57"/>
        <v>53.562725397791858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255.00000000000006</v>
      </c>
      <c r="AJ97" s="13">
        <f>AI97*VLOOKUP('Données projet'!$B$10,Paramètres!$A$1:$I$89,3,0)*VLOOKUP('Données projet'!$B$10,Paramètres!$A$1:$I$89,5,0)</f>
        <v>186.96600000000004</v>
      </c>
      <c r="AK97" s="13">
        <f t="shared" si="89"/>
        <v>46.868551400324648</v>
      </c>
      <c r="AL97" s="20">
        <f t="shared" si="58"/>
        <v>407.26184368889881</v>
      </c>
      <c r="AM97" s="59">
        <f t="shared" si="59"/>
        <v>700.59517702223206</v>
      </c>
      <c r="AN97" s="59">
        <f ca="1">AVERAGE(OFFSET($AM$3,0,0,'Données projet'!$E$10+1,1))-AVERAGE(OFFSET($H$3,0,0,'Données projet'!$E$10+1,1))</f>
        <v>188.36883552879721</v>
      </c>
      <c r="AO97" s="59">
        <f t="shared" si="90"/>
        <v>152.51465338737705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0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1">
        <f t="shared" si="86"/>
        <v>23.227611851623202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67">
        <f t="shared" si="56"/>
        <v>444.24697397491065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636.99999999999977</v>
      </c>
      <c r="O98" s="13">
        <f>N98*VLOOKUP('Données projet'!$B$9,Paramètres!$A$1:$I$89,3,0)*VLOOKUP('Données projet'!$B$9,Paramètres!$A$1:$I$89,5,0)</f>
        <v>356.08299999999991</v>
      </c>
      <c r="P98" s="13">
        <f t="shared" si="87"/>
        <v>82.813805255716545</v>
      </c>
      <c r="Q98" s="20">
        <f t="shared" si="54"/>
        <v>764.41193582037283</v>
      </c>
      <c r="R98" s="59">
        <f t="shared" si="55"/>
        <v>1057.7452691537062</v>
      </c>
      <c r="S98" s="59">
        <f ca="1">AVERAGE(OFFSET($R$3,0,0,'Données projet'!$E$9+1,1))-AVERAGE(OFFSET($H$3,0,0,'Données projet'!$E$9+1,1))</f>
        <v>382.58588458673051</v>
      </c>
      <c r="T98" s="59">
        <f t="shared" si="88"/>
        <v>485.5120768430603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48.865310336178496</v>
      </c>
      <c r="AA98" s="21">
        <f>EXP(-LN(2)/25)*AA97+(1-EXP(-LN(2)/25))/(LN(2)/25)*Calculateur!V98*Calculateur!X98*VLOOKUP('Données projet'!$B$9,Paramètres!$A$1:$I$89,3,0)*0.475*44/12</f>
        <v>3.6183057869342075</v>
      </c>
      <c r="AB98" s="21">
        <f>EXP(-LN(2)/2)*AB97+(1-EXP(-LN(2)/2))/(LN(2)/2)*V98*Y98*VLOOKUP('Données projet'!$B$9,Paramètres!$A$1:$I$89,3,0)*0.475*44/12</f>
        <v>9.9469803195487222E-10</v>
      </c>
      <c r="AC98" s="22">
        <f t="shared" si="57"/>
        <v>52.4836161241074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255.00000000000006</v>
      </c>
      <c r="AJ98" s="13">
        <f>AI98*VLOOKUP('Données projet'!$B$10,Paramètres!$A$1:$I$89,3,0)*VLOOKUP('Données projet'!$B$10,Paramètres!$A$1:$I$89,5,0)</f>
        <v>186.96600000000004</v>
      </c>
      <c r="AK98" s="13">
        <f t="shared" si="89"/>
        <v>46.868551400324648</v>
      </c>
      <c r="AL98" s="20">
        <f t="shared" si="58"/>
        <v>407.26184368889881</v>
      </c>
      <c r="AM98" s="59">
        <f t="shared" si="59"/>
        <v>700.59517702223206</v>
      </c>
      <c r="AN98" s="59">
        <f ca="1">AVERAGE(OFFSET($AM$3,0,0,'Données projet'!$E$10+1,1))-AVERAGE(OFFSET($H$3,0,0,'Données projet'!$E$10+1,1))</f>
        <v>188.36883552879721</v>
      </c>
      <c r="AO98" s="59">
        <f t="shared" si="90"/>
        <v>152.51465338737705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0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1">
        <f t="shared" si="86"/>
        <v>23.443521253861071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67">
        <f t="shared" si="56"/>
        <v>446.17170618380828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636.99999999999977</v>
      </c>
      <c r="O99" s="13">
        <f>N99*VLOOKUP('Données projet'!$B$9,Paramètres!$A$1:$I$89,3,0)*VLOOKUP('Données projet'!$B$9,Paramètres!$A$1:$I$89,5,0)</f>
        <v>356.08299999999991</v>
      </c>
      <c r="P99" s="13">
        <f t="shared" si="87"/>
        <v>82.813805255716545</v>
      </c>
      <c r="Q99" s="20">
        <f t="shared" ref="Q99:Q130" si="107">(O99+P99)*0.475*44/12</f>
        <v>764.41193582037283</v>
      </c>
      <c r="R99" s="59">
        <f t="shared" si="55"/>
        <v>1057.7452691537062</v>
      </c>
      <c r="S99" s="59">
        <f ca="1">AVERAGE(OFFSET($R$3,0,0,'Données projet'!$E$9+1,1))-AVERAGE(OFFSET($H$3,0,0,'Données projet'!$E$9+1,1))</f>
        <v>382.58588458673051</v>
      </c>
      <c r="T99" s="59">
        <f t="shared" si="88"/>
        <v>485.5120768430603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47.907091405382353</v>
      </c>
      <c r="AA99" s="21">
        <f>EXP(-LN(2)/25)*AA98+(1-EXP(-LN(2)/25))/(LN(2)/25)*Calculateur!V99*Calculateur!X99*VLOOKUP('Données projet'!$B$9,Paramètres!$A$1:$I$89,3,0)*0.475*44/12</f>
        <v>3.5193630249120598</v>
      </c>
      <c r="AB99" s="21">
        <f>EXP(-LN(2)/2)*AB98+(1-EXP(-LN(2)/2))/(LN(2)/2)*V99*Y99*VLOOKUP('Données projet'!$B$9,Paramètres!$A$1:$I$89,3,0)*0.475*44/12</f>
        <v>7.033577236282033E-10</v>
      </c>
      <c r="AC99" s="22">
        <f t="shared" si="57"/>
        <v>51.426454430997772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255.00000000000006</v>
      </c>
      <c r="AJ99" s="13">
        <f>AI99*VLOOKUP('Données projet'!$B$10,Paramètres!$A$1:$I$89,3,0)*VLOOKUP('Données projet'!$B$10,Paramètres!$A$1:$I$89,5,0)</f>
        <v>186.96600000000004</v>
      </c>
      <c r="AK99" s="13">
        <f t="shared" si="89"/>
        <v>46.868551400324648</v>
      </c>
      <c r="AL99" s="20">
        <f t="shared" si="58"/>
        <v>407.26184368889881</v>
      </c>
      <c r="AM99" s="59">
        <f t="shared" si="59"/>
        <v>700.59517702223206</v>
      </c>
      <c r="AN99" s="59">
        <f ca="1">AVERAGE(OFFSET($AM$3,0,0,'Données projet'!$E$10+1,1))-AVERAGE(OFFSET($H$3,0,0,'Données projet'!$E$10+1,1))</f>
        <v>188.36883552879721</v>
      </c>
      <c r="AO99" s="59">
        <f t="shared" si="90"/>
        <v>152.51465338737705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0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1">
        <f t="shared" si="86"/>
        <v>23.659169019590845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67">
        <f t="shared" si="56"/>
        <v>448.09598270912102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636.99999999999977</v>
      </c>
      <c r="O100" s="13">
        <f>N100*VLOOKUP('Données projet'!$B$9,Paramètres!$A$1:$I$89,3,0)*VLOOKUP('Données projet'!$B$9,Paramètres!$A$1:$I$89,5,0)</f>
        <v>356.08299999999991</v>
      </c>
      <c r="P100" s="13">
        <f t="shared" si="87"/>
        <v>82.813805255716545</v>
      </c>
      <c r="Q100" s="20">
        <f t="shared" si="107"/>
        <v>764.41193582037283</v>
      </c>
      <c r="R100" s="59">
        <f t="shared" si="55"/>
        <v>1057.7452691537062</v>
      </c>
      <c r="S100" s="59">
        <f ca="1">AVERAGE(OFFSET($R$3,0,0,'Données projet'!$E$9+1,1))-AVERAGE(OFFSET($H$3,0,0,'Données projet'!$E$9+1,1))</f>
        <v>382.58588458673051</v>
      </c>
      <c r="T100" s="59">
        <f t="shared" si="88"/>
        <v>485.5120768430603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46.967662563363284</v>
      </c>
      <c r="AA100" s="21">
        <f>EXP(-LN(2)/25)*AA99+(1-EXP(-LN(2)/25))/(LN(2)/25)*Calculateur!V100*Calculateur!X100*VLOOKUP('Données projet'!$B$9,Paramètres!$A$1:$I$89,3,0)*0.475*44/12</f>
        <v>3.4231258579205814</v>
      </c>
      <c r="AB100" s="21">
        <f>EXP(-LN(2)/2)*AB99+(1-EXP(-LN(2)/2))/(LN(2)/2)*V100*Y100*VLOOKUP('Données projet'!$B$9,Paramètres!$A$1:$I$89,3,0)*0.475*44/12</f>
        <v>4.9734901597743611E-10</v>
      </c>
      <c r="AC100" s="22">
        <f t="shared" si="57"/>
        <v>50.390788421781217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255.00000000000006</v>
      </c>
      <c r="AJ100" s="13">
        <f>AI100*VLOOKUP('Données projet'!$B$10,Paramètres!$A$1:$I$89,3,0)*VLOOKUP('Données projet'!$B$10,Paramètres!$A$1:$I$89,5,0)</f>
        <v>186.96600000000004</v>
      </c>
      <c r="AK100" s="13">
        <f t="shared" si="89"/>
        <v>46.868551400324648</v>
      </c>
      <c r="AL100" s="20">
        <f t="shared" si="58"/>
        <v>407.26184368889881</v>
      </c>
      <c r="AM100" s="59">
        <f t="shared" si="59"/>
        <v>700.59517702223206</v>
      </c>
      <c r="AN100" s="59">
        <f ca="1">AVERAGE(OFFSET($AM$3,0,0,'Données projet'!$E$10+1,1))-AVERAGE(OFFSET($H$3,0,0,'Données projet'!$E$10+1,1))</f>
        <v>188.36883552879721</v>
      </c>
      <c r="AO100" s="59">
        <f t="shared" si="90"/>
        <v>152.51465338737705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0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1">
        <f t="shared" si="86"/>
        <v>23.874558158360987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67">
        <f t="shared" si="56"/>
        <v>450.01980879247901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636.99999999999977</v>
      </c>
      <c r="O101" s="13">
        <f>N101*VLOOKUP('Données projet'!$B$9,Paramètres!$A$1:$I$89,3,0)*VLOOKUP('Données projet'!$B$9,Paramètres!$A$1:$I$89,5,0)</f>
        <v>356.08299999999991</v>
      </c>
      <c r="P101" s="13">
        <f t="shared" si="87"/>
        <v>82.813805255716545</v>
      </c>
      <c r="Q101" s="20">
        <f t="shared" si="107"/>
        <v>764.41193582037283</v>
      </c>
      <c r="R101" s="59">
        <f t="shared" si="55"/>
        <v>1057.7452691537062</v>
      </c>
      <c r="S101" s="59">
        <f ca="1">AVERAGE(OFFSET($R$3,0,0,'Données projet'!$E$9+1,1))-AVERAGE(OFFSET($H$3,0,0,'Données projet'!$E$9+1,1))</f>
        <v>382.58588458673051</v>
      </c>
      <c r="T101" s="59">
        <f t="shared" si="88"/>
        <v>485.5120768430603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46.04665534794119</v>
      </c>
      <c r="AA101" s="21">
        <f>EXP(-LN(2)/25)*AA100+(1-EXP(-LN(2)/25))/(LN(2)/25)*Calculateur!V101*Calculateur!X101*VLOOKUP('Données projet'!$B$9,Paramètres!$A$1:$I$89,3,0)*0.475*44/12</f>
        <v>3.3295203013213781</v>
      </c>
      <c r="AB101" s="21">
        <f>EXP(-LN(2)/2)*AB100+(1-EXP(-LN(2)/2))/(LN(2)/2)*V101*Y101*VLOOKUP('Données projet'!$B$9,Paramètres!$A$1:$I$89,3,0)*0.475*44/12</f>
        <v>3.5167886181410165E-10</v>
      </c>
      <c r="AC101" s="22">
        <f t="shared" si="57"/>
        <v>49.376175649614247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255.00000000000006</v>
      </c>
      <c r="AJ101" s="13">
        <f>AI101*VLOOKUP('Données projet'!$B$10,Paramètres!$A$1:$I$89,3,0)*VLOOKUP('Données projet'!$B$10,Paramètres!$A$1:$I$89,5,0)</f>
        <v>186.96600000000004</v>
      </c>
      <c r="AK101" s="13">
        <f t="shared" si="89"/>
        <v>46.868551400324648</v>
      </c>
      <c r="AL101" s="20">
        <f t="shared" si="58"/>
        <v>407.26184368889881</v>
      </c>
      <c r="AM101" s="59">
        <f t="shared" si="59"/>
        <v>700.59517702223206</v>
      </c>
      <c r="AN101" s="59">
        <f ca="1">AVERAGE(OFFSET($AM$3,0,0,'Données projet'!$E$10+1,1))-AVERAGE(OFFSET($H$3,0,0,'Données projet'!$E$10+1,1))</f>
        <v>188.36883552879721</v>
      </c>
      <c r="AO101" s="59">
        <f t="shared" si="90"/>
        <v>152.51465338737705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0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1">
        <f t="shared" si="86"/>
        <v>24.089691614761293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67">
        <f t="shared" si="56"/>
        <v>451.94318956237618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636.99999999999977</v>
      </c>
      <c r="O102" s="13">
        <f>N102*VLOOKUP('Données projet'!$B$9,Paramètres!$A$1:$I$89,3,0)*VLOOKUP('Données projet'!$B$9,Paramètres!$A$1:$I$89,5,0)</f>
        <v>356.08299999999991</v>
      </c>
      <c r="P102" s="13">
        <f t="shared" si="87"/>
        <v>82.813805255716545</v>
      </c>
      <c r="Q102" s="20">
        <f t="shared" si="107"/>
        <v>764.41193582037283</v>
      </c>
      <c r="R102" s="59">
        <f t="shared" si="55"/>
        <v>1057.7452691537062</v>
      </c>
      <c r="S102" s="59">
        <f ca="1">AVERAGE(OFFSET($R$3,0,0,'Données projet'!$E$9+1,1))-AVERAGE(OFFSET($H$3,0,0,'Données projet'!$E$9+1,1))</f>
        <v>382.58588458673051</v>
      </c>
      <c r="T102" s="59">
        <f t="shared" si="88"/>
        <v>485.5120768430603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45.143708522254592</v>
      </c>
      <c r="AA102" s="21">
        <f>EXP(-LN(2)/25)*AA101+(1-EXP(-LN(2)/25))/(LN(2)/25)*Calculateur!V102*Calculateur!X102*VLOOKUP('Données projet'!$B$9,Paramètres!$A$1:$I$89,3,0)*0.475*44/12</f>
        <v>3.2384743935898821</v>
      </c>
      <c r="AB102" s="21">
        <f>EXP(-LN(2)/2)*AB101+(1-EXP(-LN(2)/2))/(LN(2)/2)*V102*Y102*VLOOKUP('Données projet'!$B$9,Paramètres!$A$1:$I$89,3,0)*0.475*44/12</f>
        <v>2.4867450798871805E-10</v>
      </c>
      <c r="AC102" s="22">
        <f t="shared" si="57"/>
        <v>48.38218291609315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255.00000000000006</v>
      </c>
      <c r="AJ102" s="13">
        <f>AI102*VLOOKUP('Données projet'!$B$10,Paramètres!$A$1:$I$89,3,0)*VLOOKUP('Données projet'!$B$10,Paramètres!$A$1:$I$89,5,0)</f>
        <v>186.96600000000004</v>
      </c>
      <c r="AK102" s="13">
        <f t="shared" si="89"/>
        <v>46.868551400324648</v>
      </c>
      <c r="AL102" s="20">
        <f t="shared" si="58"/>
        <v>407.26184368889881</v>
      </c>
      <c r="AM102" s="59">
        <f t="shared" si="59"/>
        <v>700.59517702223206</v>
      </c>
      <c r="AN102" s="59">
        <f ca="1">AVERAGE(OFFSET($AM$3,0,0,'Données projet'!$E$10+1,1))-AVERAGE(OFFSET($H$3,0,0,'Données projet'!$E$10+1,1))</f>
        <v>188.36883552879721</v>
      </c>
      <c r="AO102" s="59">
        <f t="shared" si="90"/>
        <v>152.51465338737705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0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1">
        <f t="shared" si="86"/>
        <v>24.304572270466512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67">
        <f t="shared" si="56"/>
        <v>453.86613003772942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636.99999999999977</v>
      </c>
      <c r="O103" s="13">
        <f>N103*VLOOKUP('Données projet'!$B$9,Paramètres!$A$1:$I$89,3,0)*VLOOKUP('Données projet'!$B$9,Paramètres!$A$1:$I$89,5,0)</f>
        <v>356.08299999999991</v>
      </c>
      <c r="P103" s="13">
        <f t="shared" si="87"/>
        <v>82.813805255716545</v>
      </c>
      <c r="Q103" s="20">
        <f t="shared" si="107"/>
        <v>764.41193582037283</v>
      </c>
      <c r="R103" s="59">
        <f t="shared" si="55"/>
        <v>1057.7452691537062</v>
      </c>
      <c r="S103" s="59">
        <f ca="1">AVERAGE(OFFSET($R$3,0,0,'Données projet'!$E$9+1,1))-AVERAGE(OFFSET($H$3,0,0,'Données projet'!$E$9+1,1))</f>
        <v>382.58588458673051</v>
      </c>
      <c r="T103" s="59">
        <f t="shared" si="88"/>
        <v>485.5120768430603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44.258467933076531</v>
      </c>
      <c r="AA103" s="21">
        <f>EXP(-LN(2)/25)*AA102+(1-EXP(-LN(2)/25))/(LN(2)/25)*Calculateur!V103*Calculateur!X103*VLOOKUP('Données projet'!$B$9,Paramètres!$A$1:$I$89,3,0)*0.475*44/12</f>
        <v>3.1499181409932002</v>
      </c>
      <c r="AB103" s="21">
        <f>EXP(-LN(2)/2)*AB102+(1-EXP(-LN(2)/2))/(LN(2)/2)*V103*Y103*VLOOKUP('Données projet'!$B$9,Paramètres!$A$1:$I$89,3,0)*0.475*44/12</f>
        <v>1.7583943090705082E-10</v>
      </c>
      <c r="AC103" s="22">
        <f t="shared" si="57"/>
        <v>47.40838607424557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255.00000000000006</v>
      </c>
      <c r="AJ103" s="13">
        <f>AI103*VLOOKUP('Données projet'!$B$10,Paramètres!$A$1:$I$89,3,0)*VLOOKUP('Données projet'!$B$10,Paramètres!$A$1:$I$89,5,0)</f>
        <v>186.96600000000004</v>
      </c>
      <c r="AK103" s="13">
        <f t="shared" si="89"/>
        <v>46.868551400324648</v>
      </c>
      <c r="AL103" s="20">
        <f t="shared" si="58"/>
        <v>407.26184368889881</v>
      </c>
      <c r="AM103" s="59">
        <f t="shared" si="59"/>
        <v>700.59517702223206</v>
      </c>
      <c r="AN103" s="59">
        <f ca="1">AVERAGE(OFFSET($AM$3,0,0,'Données projet'!$E$10+1,1))-AVERAGE(OFFSET($H$3,0,0,'Données projet'!$E$10+1,1))</f>
        <v>188.36883552879721</v>
      </c>
      <c r="AO103" s="59">
        <f t="shared" si="90"/>
        <v>152.51465338737705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0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1">
        <f t="shared" si="86"/>
        <v>24.519202946196138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67">
        <f t="shared" si="56"/>
        <v>455.78863513129187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636.99999999999977</v>
      </c>
      <c r="O104" s="13">
        <f>N104*VLOOKUP('Données projet'!$B$9,Paramètres!$A$1:$I$89,3,0)*VLOOKUP('Données projet'!$B$9,Paramètres!$A$1:$I$89,5,0)</f>
        <v>356.08299999999991</v>
      </c>
      <c r="P104" s="13">
        <f t="shared" si="87"/>
        <v>82.813805255716545</v>
      </c>
      <c r="Q104" s="20">
        <f t="shared" si="107"/>
        <v>764.41193582037283</v>
      </c>
      <c r="R104" s="59">
        <f t="shared" si="55"/>
        <v>1057.7452691537062</v>
      </c>
      <c r="S104" s="59">
        <f ca="1">AVERAGE(OFFSET($R$3,0,0,'Données projet'!$E$9+1,1))-AVERAGE(OFFSET($H$3,0,0,'Données projet'!$E$9+1,1))</f>
        <v>382.58588458673051</v>
      </c>
      <c r="T104" s="59">
        <f t="shared" si="88"/>
        <v>485.5120768430603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43.390586371908803</v>
      </c>
      <c r="AA104" s="21">
        <f>EXP(-LN(2)/25)*AA103+(1-EXP(-LN(2)/25))/(LN(2)/25)*Calculateur!V104*Calculateur!X104*VLOOKUP('Données projet'!$B$9,Paramètres!$A$1:$I$89,3,0)*0.475*44/12</f>
        <v>3.0637834637807453</v>
      </c>
      <c r="AB104" s="21">
        <f>EXP(-LN(2)/2)*AB103+(1-EXP(-LN(2)/2))/(LN(2)/2)*V104*Y104*VLOOKUP('Données projet'!$B$9,Paramètres!$A$1:$I$89,3,0)*0.475*44/12</f>
        <v>1.2433725399435903E-10</v>
      </c>
      <c r="AC104" s="22">
        <f t="shared" si="57"/>
        <v>46.454369835813885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255.00000000000006</v>
      </c>
      <c r="AJ104" s="13">
        <f>AI104*VLOOKUP('Données projet'!$B$10,Paramètres!$A$1:$I$89,3,0)*VLOOKUP('Données projet'!$B$10,Paramètres!$A$1:$I$89,5,0)</f>
        <v>186.96600000000004</v>
      </c>
      <c r="AK104" s="13">
        <f t="shared" si="89"/>
        <v>46.868551400324648</v>
      </c>
      <c r="AL104" s="20">
        <f t="shared" si="58"/>
        <v>407.26184368889881</v>
      </c>
      <c r="AM104" s="59">
        <f t="shared" si="59"/>
        <v>700.59517702223206</v>
      </c>
      <c r="AN104" s="59">
        <f ca="1">AVERAGE(OFFSET($AM$3,0,0,'Données projet'!$E$10+1,1))-AVERAGE(OFFSET($H$3,0,0,'Données projet'!$E$10+1,1))</f>
        <v>188.36883552879721</v>
      </c>
      <c r="AO104" s="59">
        <f t="shared" si="90"/>
        <v>152.51465338737705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0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1">
        <f t="shared" si="86"/>
        <v>24.733586403594217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67">
        <f t="shared" si="56"/>
        <v>457.71070965292688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636.99999999999977</v>
      </c>
      <c r="O105" s="13">
        <f>N105*VLOOKUP('Données projet'!$B$9,Paramètres!$A$1:$I$89,3,0)*VLOOKUP('Données projet'!$B$9,Paramètres!$A$1:$I$89,5,0)</f>
        <v>356.08299999999991</v>
      </c>
      <c r="P105" s="13">
        <f t="shared" si="87"/>
        <v>82.813805255716545</v>
      </c>
      <c r="Q105" s="20">
        <f t="shared" si="107"/>
        <v>764.41193582037283</v>
      </c>
      <c r="R105" s="59">
        <f t="shared" si="55"/>
        <v>1057.7452691537062</v>
      </c>
      <c r="S105" s="59">
        <f ca="1">AVERAGE(OFFSET($R$3,0,0,'Données projet'!$E$9+1,1))-AVERAGE(OFFSET($H$3,0,0,'Données projet'!$E$9+1,1))</f>
        <v>382.58588458673051</v>
      </c>
      <c r="T105" s="59">
        <f t="shared" si="88"/>
        <v>485.5120768430603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42.539723438800095</v>
      </c>
      <c r="AA105" s="21">
        <f>EXP(-LN(2)/25)*AA104+(1-EXP(-LN(2)/25))/(LN(2)/25)*Calculateur!V105*Calculateur!X105*VLOOKUP('Données projet'!$B$9,Paramètres!$A$1:$I$89,3,0)*0.475*44/12</f>
        <v>2.980004143846291</v>
      </c>
      <c r="AB105" s="21">
        <f>EXP(-LN(2)/2)*AB104+(1-EXP(-LN(2)/2))/(LN(2)/2)*V105*Y105*VLOOKUP('Données projet'!$B$9,Paramètres!$A$1:$I$89,3,0)*0.475*44/12</f>
        <v>8.7919715453525412E-11</v>
      </c>
      <c r="AC105" s="22">
        <f t="shared" si="57"/>
        <v>45.519727582734312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255.00000000000006</v>
      </c>
      <c r="AJ105" s="13">
        <f>AI105*VLOOKUP('Données projet'!$B$10,Paramètres!$A$1:$I$89,3,0)*VLOOKUP('Données projet'!$B$10,Paramètres!$A$1:$I$89,5,0)</f>
        <v>186.96600000000004</v>
      </c>
      <c r="AK105" s="13">
        <f t="shared" si="89"/>
        <v>46.868551400324648</v>
      </c>
      <c r="AL105" s="20">
        <f t="shared" si="58"/>
        <v>407.26184368889881</v>
      </c>
      <c r="AM105" s="59">
        <f t="shared" si="59"/>
        <v>700.59517702223206</v>
      </c>
      <c r="AN105" s="59">
        <f ca="1">AVERAGE(OFFSET($AM$3,0,0,'Données projet'!$E$10+1,1))-AVERAGE(OFFSET($H$3,0,0,'Données projet'!$E$10+1,1))</f>
        <v>188.36883552879721</v>
      </c>
      <c r="AO105" s="59">
        <f t="shared" si="90"/>
        <v>152.51465338737705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0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1">
        <f t="shared" si="86"/>
        <v>24.947725347033305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67">
        <f t="shared" si="56"/>
        <v>459.63235831274994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636.99999999999977</v>
      </c>
      <c r="O106" s="13">
        <f>N106*VLOOKUP('Données projet'!$B$9,Paramètres!$A$1:$I$89,3,0)*VLOOKUP('Données projet'!$B$9,Paramètres!$A$1:$I$89,5,0)</f>
        <v>356.08299999999991</v>
      </c>
      <c r="P106" s="13">
        <f t="shared" si="87"/>
        <v>82.813805255716545</v>
      </c>
      <c r="Q106" s="20">
        <f t="shared" si="107"/>
        <v>764.41193582037283</v>
      </c>
      <c r="R106" s="59">
        <f t="shared" si="55"/>
        <v>1057.7452691537062</v>
      </c>
      <c r="S106" s="59">
        <f ca="1">AVERAGE(OFFSET($R$3,0,0,'Données projet'!$E$9+1,1))-AVERAGE(OFFSET($H$3,0,0,'Données projet'!$E$9+1,1))</f>
        <v>382.58588458673051</v>
      </c>
      <c r="T106" s="59">
        <f t="shared" si="88"/>
        <v>485.5120768430603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41.705545408834503</v>
      </c>
      <c r="AA106" s="21">
        <f>EXP(-LN(2)/25)*AA105+(1-EXP(-LN(2)/25))/(LN(2)/25)*Calculateur!V106*Calculateur!X106*VLOOKUP('Données projet'!$B$9,Paramètres!$A$1:$I$89,3,0)*0.475*44/12</f>
        <v>2.8985157738212073</v>
      </c>
      <c r="AB106" s="21">
        <f>EXP(-LN(2)/2)*AB105+(1-EXP(-LN(2)/2))/(LN(2)/2)*V106*Y106*VLOOKUP('Données projet'!$B$9,Paramètres!$A$1:$I$89,3,0)*0.475*44/12</f>
        <v>6.2168626997179514E-11</v>
      </c>
      <c r="AC106" s="22">
        <f t="shared" si="57"/>
        <v>44.604061182717878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255.00000000000006</v>
      </c>
      <c r="AJ106" s="13">
        <f>AI106*VLOOKUP('Données projet'!$B$10,Paramètres!$A$1:$I$89,3,0)*VLOOKUP('Données projet'!$B$10,Paramètres!$A$1:$I$89,5,0)</f>
        <v>186.96600000000004</v>
      </c>
      <c r="AK106" s="13">
        <f t="shared" si="89"/>
        <v>46.868551400324648</v>
      </c>
      <c r="AL106" s="20">
        <f t="shared" si="58"/>
        <v>407.26184368889881</v>
      </c>
      <c r="AM106" s="59">
        <f t="shared" si="59"/>
        <v>700.59517702223206</v>
      </c>
      <c r="AN106" s="59">
        <f ca="1">AVERAGE(OFFSET($AM$3,0,0,'Données projet'!$E$10+1,1))-AVERAGE(OFFSET($H$3,0,0,'Données projet'!$E$10+1,1))</f>
        <v>188.36883552879721</v>
      </c>
      <c r="AO106" s="59">
        <f t="shared" si="90"/>
        <v>152.51465338737705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0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1">
        <f t="shared" si="86"/>
        <v>25.161622425346469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67">
        <f t="shared" si="56"/>
        <v>461.55358572414536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636.99999999999977</v>
      </c>
      <c r="O107" s="13">
        <f>N107*VLOOKUP('Données projet'!$B$9,Paramètres!$A$1:$I$89,3,0)*VLOOKUP('Données projet'!$B$9,Paramètres!$A$1:$I$89,5,0)</f>
        <v>356.08299999999991</v>
      </c>
      <c r="P107" s="13">
        <f t="shared" si="87"/>
        <v>82.813805255716545</v>
      </c>
      <c r="Q107" s="20">
        <f t="shared" si="107"/>
        <v>764.41193582037283</v>
      </c>
      <c r="R107" s="59">
        <f t="shared" si="55"/>
        <v>1057.7452691537062</v>
      </c>
      <c r="S107" s="59">
        <f ca="1">AVERAGE(OFFSET($R$3,0,0,'Données projet'!$E$9+1,1))-AVERAGE(OFFSET($H$3,0,0,'Données projet'!$E$9+1,1))</f>
        <v>382.58588458673051</v>
      </c>
      <c r="T107" s="59">
        <f t="shared" si="88"/>
        <v>485.5120768430603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40.887725101238175</v>
      </c>
      <c r="AA107" s="21">
        <f>EXP(-LN(2)/25)*AA106+(1-EXP(-LN(2)/25))/(LN(2)/25)*Calculateur!V107*Calculateur!X107*VLOOKUP('Données projet'!$B$9,Paramètres!$A$1:$I$89,3,0)*0.475*44/12</f>
        <v>2.8192557075597464</v>
      </c>
      <c r="AB107" s="21">
        <f>EXP(-LN(2)/2)*AB106+(1-EXP(-LN(2)/2))/(LN(2)/2)*V107*Y107*VLOOKUP('Données projet'!$B$9,Paramètres!$A$1:$I$89,3,0)*0.475*44/12</f>
        <v>4.3959857726762706E-11</v>
      </c>
      <c r="AC107" s="22">
        <f t="shared" si="57"/>
        <v>43.706980808841884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255.00000000000006</v>
      </c>
      <c r="AJ107" s="13">
        <f>AI107*VLOOKUP('Données projet'!$B$10,Paramètres!$A$1:$I$89,3,0)*VLOOKUP('Données projet'!$B$10,Paramètres!$A$1:$I$89,5,0)</f>
        <v>186.96600000000004</v>
      </c>
      <c r="AK107" s="13">
        <f t="shared" si="89"/>
        <v>46.868551400324648</v>
      </c>
      <c r="AL107" s="20">
        <f t="shared" si="58"/>
        <v>407.26184368889881</v>
      </c>
      <c r="AM107" s="59">
        <f t="shared" si="59"/>
        <v>700.59517702223206</v>
      </c>
      <c r="AN107" s="59">
        <f ca="1">AVERAGE(OFFSET($AM$3,0,0,'Données projet'!$E$10+1,1))-AVERAGE(OFFSET($H$3,0,0,'Données projet'!$E$10+1,1))</f>
        <v>188.36883552879721</v>
      </c>
      <c r="AO107" s="59">
        <f t="shared" si="90"/>
        <v>152.51465338737705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0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1">
        <f t="shared" si="86"/>
        <v>25.375280233490724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67">
        <f t="shared" si="56"/>
        <v>463.47439640666329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636.99999999999977</v>
      </c>
      <c r="O108" s="13">
        <f>N108*VLOOKUP('Données projet'!$B$9,Paramètres!$A$1:$I$89,3,0)*VLOOKUP('Données projet'!$B$9,Paramètres!$A$1:$I$89,5,0)</f>
        <v>356.08299999999991</v>
      </c>
      <c r="P108" s="13">
        <f t="shared" si="87"/>
        <v>82.813805255716545</v>
      </c>
      <c r="Q108" s="20">
        <f t="shared" si="107"/>
        <v>764.41193582037283</v>
      </c>
      <c r="R108" s="59">
        <f t="shared" si="55"/>
        <v>1057.7452691537062</v>
      </c>
      <c r="S108" s="59">
        <f ca="1">AVERAGE(OFFSET($R$3,0,0,'Données projet'!$E$9+1,1))-AVERAGE(OFFSET($H$3,0,0,'Données projet'!$E$9+1,1))</f>
        <v>382.58588458673051</v>
      </c>
      <c r="T108" s="59">
        <f t="shared" si="88"/>
        <v>485.5120768430603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40.08594175105268</v>
      </c>
      <c r="AA108" s="21">
        <f>EXP(-LN(2)/25)*AA107+(1-EXP(-LN(2)/25))/(LN(2)/25)*Calculateur!V108*Calculateur!X108*VLOOKUP('Données projet'!$B$9,Paramètres!$A$1:$I$89,3,0)*0.475*44/12</f>
        <v>2.7421630119783109</v>
      </c>
      <c r="AB108" s="21">
        <f>EXP(-LN(2)/2)*AB107+(1-EXP(-LN(2)/2))/(LN(2)/2)*V108*Y108*VLOOKUP('Données projet'!$B$9,Paramètres!$A$1:$I$89,3,0)*0.475*44/12</f>
        <v>3.1084313498589757E-11</v>
      </c>
      <c r="AC108" s="22">
        <f t="shared" si="57"/>
        <v>42.828104763062079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255.00000000000006</v>
      </c>
      <c r="AJ108" s="13">
        <f>AI108*VLOOKUP('Données projet'!$B$10,Paramètres!$A$1:$I$89,3,0)*VLOOKUP('Données projet'!$B$10,Paramètres!$A$1:$I$89,5,0)</f>
        <v>186.96600000000004</v>
      </c>
      <c r="AK108" s="13">
        <f t="shared" si="89"/>
        <v>46.868551400324648</v>
      </c>
      <c r="AL108" s="20">
        <f t="shared" si="58"/>
        <v>407.26184368889881</v>
      </c>
      <c r="AM108" s="59">
        <f t="shared" si="59"/>
        <v>700.59517702223206</v>
      </c>
      <c r="AN108" s="59">
        <f ca="1">AVERAGE(OFFSET($AM$3,0,0,'Données projet'!$E$10+1,1))-AVERAGE(OFFSET($H$3,0,0,'Données projet'!$E$10+1,1))</f>
        <v>188.36883552879721</v>
      </c>
      <c r="AO108" s="59">
        <f t="shared" si="90"/>
        <v>152.51465338737705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0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1">
        <f t="shared" si="86"/>
        <v>25.588701314145272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67">
        <f t="shared" si="56"/>
        <v>465.39479478880332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636.99999999999977</v>
      </c>
      <c r="O109" s="13">
        <f>N109*VLOOKUP('Données projet'!$B$9,Paramètres!$A$1:$I$89,3,0)*VLOOKUP('Données projet'!$B$9,Paramètres!$A$1:$I$89,5,0)</f>
        <v>356.08299999999991</v>
      </c>
      <c r="P109" s="13">
        <f t="shared" si="87"/>
        <v>82.813805255716545</v>
      </c>
      <c r="Q109" s="20">
        <f t="shared" si="107"/>
        <v>764.41193582037283</v>
      </c>
      <c r="R109" s="59">
        <f t="shared" si="55"/>
        <v>1057.7452691537062</v>
      </c>
      <c r="S109" s="59">
        <f ca="1">AVERAGE(OFFSET($R$3,0,0,'Données projet'!$E$9+1,1))-AVERAGE(OFFSET($H$3,0,0,'Données projet'!$E$9+1,1))</f>
        <v>382.58588458673051</v>
      </c>
      <c r="T109" s="59">
        <f t="shared" si="88"/>
        <v>485.5120768430603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39.299880883324768</v>
      </c>
      <c r="AA109" s="21">
        <f>EXP(-LN(2)/25)*AA108+(1-EXP(-LN(2)/25))/(LN(2)/25)*Calculateur!V109*Calculateur!X109*VLOOKUP('Données projet'!$B$9,Paramètres!$A$1:$I$89,3,0)*0.475*44/12</f>
        <v>2.6671784202116786</v>
      </c>
      <c r="AB109" s="21">
        <f>EXP(-LN(2)/2)*AB108+(1-EXP(-LN(2)/2))/(LN(2)/2)*V109*Y109*VLOOKUP('Données projet'!$B$9,Paramètres!$A$1:$I$89,3,0)*0.475*44/12</f>
        <v>2.1979928863381353E-11</v>
      </c>
      <c r="AC109" s="22">
        <f t="shared" si="57"/>
        <v>41.967059303558422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255.00000000000006</v>
      </c>
      <c r="AJ109" s="13">
        <f>AI109*VLOOKUP('Données projet'!$B$10,Paramètres!$A$1:$I$89,3,0)*VLOOKUP('Données projet'!$B$10,Paramètres!$A$1:$I$89,5,0)</f>
        <v>186.96600000000004</v>
      </c>
      <c r="AK109" s="13">
        <f t="shared" si="89"/>
        <v>46.868551400324648</v>
      </c>
      <c r="AL109" s="20">
        <f t="shared" si="58"/>
        <v>407.26184368889881</v>
      </c>
      <c r="AM109" s="59">
        <f t="shared" si="59"/>
        <v>700.59517702223206</v>
      </c>
      <c r="AN109" s="59">
        <f ca="1">AVERAGE(OFFSET($AM$3,0,0,'Données projet'!$E$10+1,1))-AVERAGE(OFFSET($H$3,0,0,'Données projet'!$E$10+1,1))</f>
        <v>188.36883552879721</v>
      </c>
      <c r="AO109" s="59">
        <f t="shared" si="90"/>
        <v>152.51465338737705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0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1">
        <f t="shared" si="86"/>
        <v>25.801888159247749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67">
        <f t="shared" si="56"/>
        <v>467.3147852106901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636.99999999999977</v>
      </c>
      <c r="O110" s="13">
        <f>N110*VLOOKUP('Données projet'!$B$9,Paramètres!$A$1:$I$89,3,0)*VLOOKUP('Données projet'!$B$9,Paramètres!$A$1:$I$89,5,0)</f>
        <v>356.08299999999991</v>
      </c>
      <c r="P110" s="13">
        <f t="shared" si="87"/>
        <v>82.813805255716545</v>
      </c>
      <c r="Q110" s="20">
        <f t="shared" si="107"/>
        <v>764.41193582037283</v>
      </c>
      <c r="R110" s="59">
        <f t="shared" si="55"/>
        <v>1057.7452691537062</v>
      </c>
      <c r="S110" s="59">
        <f ca="1">AVERAGE(OFFSET($R$3,0,0,'Données projet'!$E$9+1,1))-AVERAGE(OFFSET($H$3,0,0,'Données projet'!$E$9+1,1))</f>
        <v>382.58588458673051</v>
      </c>
      <c r="T110" s="59">
        <f t="shared" si="88"/>
        <v>485.5120768430603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38.529234189763208</v>
      </c>
      <c r="AA110" s="21">
        <f>EXP(-LN(2)/25)*AA109+(1-EXP(-LN(2)/25))/(LN(2)/25)*Calculateur!V110*Calculateur!X110*VLOOKUP('Données projet'!$B$9,Paramètres!$A$1:$I$89,3,0)*0.475*44/12</f>
        <v>2.5942442860501731</v>
      </c>
      <c r="AB110" s="21">
        <f>EXP(-LN(2)/2)*AB109+(1-EXP(-LN(2)/2))/(LN(2)/2)*V110*Y110*VLOOKUP('Données projet'!$B$9,Paramètres!$A$1:$I$89,3,0)*0.475*44/12</f>
        <v>1.5542156749294878E-11</v>
      </c>
      <c r="AC110" s="22">
        <f t="shared" si="57"/>
        <v>41.123478475828918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255.00000000000006</v>
      </c>
      <c r="AJ110" s="13">
        <f>AI110*VLOOKUP('Données projet'!$B$10,Paramètres!$A$1:$I$89,3,0)*VLOOKUP('Données projet'!$B$10,Paramètres!$A$1:$I$89,5,0)</f>
        <v>186.96600000000004</v>
      </c>
      <c r="AK110" s="13">
        <f t="shared" si="89"/>
        <v>46.868551400324648</v>
      </c>
      <c r="AL110" s="20">
        <f t="shared" si="58"/>
        <v>407.26184368889881</v>
      </c>
      <c r="AM110" s="59">
        <f t="shared" si="59"/>
        <v>700.59517702223206</v>
      </c>
      <c r="AN110" s="59">
        <f ca="1">AVERAGE(OFFSET($AM$3,0,0,'Données projet'!$E$10+1,1))-AVERAGE(OFFSET($H$3,0,0,'Données projet'!$E$10+1,1))</f>
        <v>188.36883552879721</v>
      </c>
      <c r="AO110" s="59">
        <f t="shared" si="90"/>
        <v>152.51465338737705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0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1">
        <f t="shared" si="86"/>
        <v>26.014843211471252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67">
        <f t="shared" si="56"/>
        <v>469.23437192664602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636.99999999999977</v>
      </c>
      <c r="O111" s="13">
        <f>N111*VLOOKUP('Données projet'!$B$9,Paramètres!$A$1:$I$89,3,0)*VLOOKUP('Données projet'!$B$9,Paramètres!$A$1:$I$89,5,0)</f>
        <v>356.08299999999991</v>
      </c>
      <c r="P111" s="13">
        <f t="shared" si="87"/>
        <v>82.813805255716545</v>
      </c>
      <c r="Q111" s="20">
        <f t="shared" si="107"/>
        <v>764.41193582037283</v>
      </c>
      <c r="R111" s="59">
        <f t="shared" si="55"/>
        <v>1057.7452691537062</v>
      </c>
      <c r="S111" s="59">
        <f ca="1">AVERAGE(OFFSET($R$3,0,0,'Données projet'!$E$9+1,1))-AVERAGE(OFFSET($H$3,0,0,'Données projet'!$E$9+1,1))</f>
        <v>382.58588458673051</v>
      </c>
      <c r="T111" s="59">
        <f t="shared" si="88"/>
        <v>485.5120768430603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37.773699407814327</v>
      </c>
      <c r="AA111" s="21">
        <f>EXP(-LN(2)/25)*AA110+(1-EXP(-LN(2)/25))/(LN(2)/25)*Calculateur!V111*Calculateur!X111*VLOOKUP('Données projet'!$B$9,Paramètres!$A$1:$I$89,3,0)*0.475*44/12</f>
        <v>2.5233045396227531</v>
      </c>
      <c r="AB111" s="21">
        <f>EXP(-LN(2)/2)*AB110+(1-EXP(-LN(2)/2))/(LN(2)/2)*V111*Y111*VLOOKUP('Données projet'!$B$9,Paramètres!$A$1:$I$89,3,0)*0.475*44/12</f>
        <v>1.0989964431690677E-11</v>
      </c>
      <c r="AC111" s="22">
        <f t="shared" si="57"/>
        <v>40.297003947448069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255.00000000000006</v>
      </c>
      <c r="AJ111" s="13">
        <f>AI111*VLOOKUP('Données projet'!$B$10,Paramètres!$A$1:$I$89,3,0)*VLOOKUP('Données projet'!$B$10,Paramètres!$A$1:$I$89,5,0)</f>
        <v>186.96600000000004</v>
      </c>
      <c r="AK111" s="13">
        <f t="shared" si="89"/>
        <v>46.868551400324648</v>
      </c>
      <c r="AL111" s="20">
        <f t="shared" si="58"/>
        <v>407.26184368889881</v>
      </c>
      <c r="AM111" s="59">
        <f t="shared" si="59"/>
        <v>700.59517702223206</v>
      </c>
      <c r="AN111" s="59">
        <f ca="1">AVERAGE(OFFSET($AM$3,0,0,'Données projet'!$E$10+1,1))-AVERAGE(OFFSET($H$3,0,0,'Données projet'!$E$10+1,1))</f>
        <v>188.36883552879721</v>
      </c>
      <c r="AO111" s="59">
        <f t="shared" si="90"/>
        <v>152.51465338737705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0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1">
        <f t="shared" si="86"/>
        <v>26.227568865645399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67">
        <f t="shared" si="56"/>
        <v>471.15355910766601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636.99999999999977</v>
      </c>
      <c r="O112" s="13">
        <f>N112*VLOOKUP('Données projet'!$B$9,Paramètres!$A$1:$I$89,3,0)*VLOOKUP('Données projet'!$B$9,Paramètres!$A$1:$I$89,5,0)</f>
        <v>356.08299999999991</v>
      </c>
      <c r="P112" s="13">
        <f t="shared" si="87"/>
        <v>82.813805255716545</v>
      </c>
      <c r="Q112" s="20">
        <f t="shared" si="107"/>
        <v>764.41193582037283</v>
      </c>
      <c r="R112" s="59">
        <f t="shared" si="55"/>
        <v>1057.7452691537062</v>
      </c>
      <c r="S112" s="59">
        <f ca="1">AVERAGE(OFFSET($R$3,0,0,'Données projet'!$E$9+1,1))-AVERAGE(OFFSET($H$3,0,0,'Données projet'!$E$9+1,1))</f>
        <v>382.58588458673051</v>
      </c>
      <c r="T112" s="59">
        <f t="shared" si="88"/>
        <v>485.5120768430603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37.032980202108746</v>
      </c>
      <c r="AA112" s="21">
        <f>EXP(-LN(2)/25)*AA111+(1-EXP(-LN(2)/25))/(LN(2)/25)*Calculateur!V112*Calculateur!X112*VLOOKUP('Données projet'!$B$9,Paramètres!$A$1:$I$89,3,0)*0.475*44/12</f>
        <v>2.4543046442919505</v>
      </c>
      <c r="AB112" s="21">
        <f>EXP(-LN(2)/2)*AB111+(1-EXP(-LN(2)/2))/(LN(2)/2)*V112*Y112*VLOOKUP('Données projet'!$B$9,Paramètres!$A$1:$I$89,3,0)*0.475*44/12</f>
        <v>7.7710783746474392E-12</v>
      </c>
      <c r="AC112" s="22">
        <f t="shared" si="57"/>
        <v>39.487284846408471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255.00000000000006</v>
      </c>
      <c r="AJ112" s="13">
        <f>AI112*VLOOKUP('Données projet'!$B$10,Paramètres!$A$1:$I$89,3,0)*VLOOKUP('Données projet'!$B$10,Paramètres!$A$1:$I$89,5,0)</f>
        <v>186.96600000000004</v>
      </c>
      <c r="AK112" s="13">
        <f t="shared" si="89"/>
        <v>46.868551400324648</v>
      </c>
      <c r="AL112" s="20">
        <f t="shared" si="58"/>
        <v>407.26184368889881</v>
      </c>
      <c r="AM112" s="59">
        <f t="shared" si="59"/>
        <v>700.59517702223206</v>
      </c>
      <c r="AN112" s="59">
        <f ca="1">AVERAGE(OFFSET($AM$3,0,0,'Données projet'!$E$10+1,1))-AVERAGE(OFFSET($H$3,0,0,'Données projet'!$E$10+1,1))</f>
        <v>188.36883552879721</v>
      </c>
      <c r="AO112" s="59">
        <f t="shared" si="90"/>
        <v>152.51465338737705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0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1">
        <f t="shared" si="86"/>
        <v>26.440067470123306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67">
        <f t="shared" si="56"/>
        <v>473.0723508437984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636.99999999999977</v>
      </c>
      <c r="O113" s="13">
        <f>N113*VLOOKUP('Données projet'!$B$9,Paramètres!$A$1:$I$89,3,0)*VLOOKUP('Données projet'!$B$9,Paramètres!$A$1:$I$89,5,0)</f>
        <v>356.08299999999991</v>
      </c>
      <c r="P113" s="13">
        <f t="shared" si="87"/>
        <v>82.813805255716545</v>
      </c>
      <c r="Q113" s="20">
        <f t="shared" si="107"/>
        <v>764.41193582037283</v>
      </c>
      <c r="R113" s="59">
        <f t="shared" si="55"/>
        <v>1057.7452691537062</v>
      </c>
      <c r="S113" s="59">
        <f ca="1">AVERAGE(OFFSET($R$3,0,0,'Données projet'!$E$9+1,1))-AVERAGE(OFFSET($H$3,0,0,'Données projet'!$E$9+1,1))</f>
        <v>382.58588458673051</v>
      </c>
      <c r="T113" s="59">
        <f t="shared" si="88"/>
        <v>485.5120768430603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36.306786048232951</v>
      </c>
      <c r="AA113" s="21">
        <f>EXP(-LN(2)/25)*AA112+(1-EXP(-LN(2)/25))/(LN(2)/25)*Calculateur!V113*Calculateur!X113*VLOOKUP('Données projet'!$B$9,Paramètres!$A$1:$I$89,3,0)*0.475*44/12</f>
        <v>2.3871915547275151</v>
      </c>
      <c r="AB113" s="21">
        <f>EXP(-LN(2)/2)*AB112+(1-EXP(-LN(2)/2))/(LN(2)/2)*V113*Y113*VLOOKUP('Données projet'!$B$9,Paramètres!$A$1:$I$89,3,0)*0.475*44/12</f>
        <v>5.4949822158453383E-12</v>
      </c>
      <c r="AC113" s="22">
        <f t="shared" si="57"/>
        <v>38.693977602965958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255.00000000000006</v>
      </c>
      <c r="AJ113" s="13">
        <f>AI113*VLOOKUP('Données projet'!$B$10,Paramètres!$A$1:$I$89,3,0)*VLOOKUP('Données projet'!$B$10,Paramètres!$A$1:$I$89,5,0)</f>
        <v>186.96600000000004</v>
      </c>
      <c r="AK113" s="13">
        <f t="shared" si="89"/>
        <v>46.868551400324648</v>
      </c>
      <c r="AL113" s="20">
        <f t="shared" si="58"/>
        <v>407.26184368889881</v>
      </c>
      <c r="AM113" s="59">
        <f t="shared" si="59"/>
        <v>700.59517702223206</v>
      </c>
      <c r="AN113" s="59">
        <f ca="1">AVERAGE(OFFSET($AM$3,0,0,'Données projet'!$E$10+1,1))-AVERAGE(OFFSET($H$3,0,0,'Données projet'!$E$10+1,1))</f>
        <v>188.36883552879721</v>
      </c>
      <c r="AO113" s="59">
        <f t="shared" si="90"/>
        <v>152.51465338737705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0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1">
        <f t="shared" si="86"/>
        <v>26.65234132809799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67">
        <f t="shared" si="56"/>
        <v>474.99075114643767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636.99999999999977</v>
      </c>
      <c r="O114" s="13">
        <f>N114*VLOOKUP('Données projet'!$B$9,Paramètres!$A$1:$I$89,3,0)*VLOOKUP('Données projet'!$B$9,Paramètres!$A$1:$I$89,5,0)</f>
        <v>356.08299999999991</v>
      </c>
      <c r="P114" s="13">
        <f t="shared" si="87"/>
        <v>82.813805255716545</v>
      </c>
      <c r="Q114" s="20">
        <f t="shared" si="107"/>
        <v>764.41193582037283</v>
      </c>
      <c r="R114" s="59">
        <f t="shared" si="55"/>
        <v>1057.7452691537062</v>
      </c>
      <c r="S114" s="59">
        <f ca="1">AVERAGE(OFFSET($R$3,0,0,'Données projet'!$E$9+1,1))-AVERAGE(OFFSET($H$3,0,0,'Données projet'!$E$9+1,1))</f>
        <v>382.58588458673051</v>
      </c>
      <c r="T114" s="59">
        <f t="shared" si="88"/>
        <v>485.5120768430603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35.594832118779962</v>
      </c>
      <c r="AA114" s="21">
        <f>EXP(-LN(2)/25)*AA113+(1-EXP(-LN(2)/25))/(LN(2)/25)*Calculateur!V114*Calculateur!X114*VLOOKUP('Données projet'!$B$9,Paramètres!$A$1:$I$89,3,0)*0.475*44/12</f>
        <v>2.3219136761265435</v>
      </c>
      <c r="AB114" s="21">
        <f>EXP(-LN(2)/2)*AB113+(1-EXP(-LN(2)/2))/(LN(2)/2)*V114*Y114*VLOOKUP('Données projet'!$B$9,Paramètres!$A$1:$I$89,3,0)*0.475*44/12</f>
        <v>3.8855391873237196E-12</v>
      </c>
      <c r="AC114" s="22">
        <f t="shared" si="57"/>
        <v>37.916745794910391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255.00000000000006</v>
      </c>
      <c r="AJ114" s="13">
        <f>AI114*VLOOKUP('Données projet'!$B$10,Paramètres!$A$1:$I$89,3,0)*VLOOKUP('Données projet'!$B$10,Paramètres!$A$1:$I$89,5,0)</f>
        <v>186.96600000000004</v>
      </c>
      <c r="AK114" s="13">
        <f t="shared" si="89"/>
        <v>46.868551400324648</v>
      </c>
      <c r="AL114" s="20">
        <f t="shared" si="58"/>
        <v>407.26184368889881</v>
      </c>
      <c r="AM114" s="59">
        <f t="shared" si="59"/>
        <v>700.59517702223206</v>
      </c>
      <c r="AN114" s="59">
        <f ca="1">AVERAGE(OFFSET($AM$3,0,0,'Données projet'!$E$10+1,1))-AVERAGE(OFFSET($H$3,0,0,'Données projet'!$E$10+1,1))</f>
        <v>188.36883552879721</v>
      </c>
      <c r="AO114" s="59">
        <f t="shared" si="90"/>
        <v>152.51465338737705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0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1">
        <f t="shared" si="86"/>
        <v>26.864392698869374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67">
        <f t="shared" si="56"/>
        <v>476.90876395053112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636.99999999999977</v>
      </c>
      <c r="O115" s="13">
        <f>N115*VLOOKUP('Données projet'!$B$9,Paramètres!$A$1:$I$89,3,0)*VLOOKUP('Données projet'!$B$9,Paramètres!$A$1:$I$89,5,0)</f>
        <v>356.08299999999991</v>
      </c>
      <c r="P115" s="13">
        <f t="shared" si="87"/>
        <v>82.813805255716545</v>
      </c>
      <c r="Q115" s="20">
        <f t="shared" si="107"/>
        <v>764.41193582037283</v>
      </c>
      <c r="R115" s="59">
        <f t="shared" si="55"/>
        <v>1057.7452691537062</v>
      </c>
      <c r="S115" s="59">
        <f ca="1">AVERAGE(OFFSET($R$3,0,0,'Données projet'!$E$9+1,1))-AVERAGE(OFFSET($H$3,0,0,'Données projet'!$E$9+1,1))</f>
        <v>382.58588458673051</v>
      </c>
      <c r="T115" s="59">
        <f t="shared" si="88"/>
        <v>485.5120768430603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34.896839171634525</v>
      </c>
      <c r="AA115" s="21">
        <f>EXP(-LN(2)/25)*AA114+(1-EXP(-LN(2)/25))/(LN(2)/25)*Calculateur!V115*Calculateur!X115*VLOOKUP('Données projet'!$B$9,Paramètres!$A$1:$I$89,3,0)*0.475*44/12</f>
        <v>2.2584208245487298</v>
      </c>
      <c r="AB115" s="21">
        <f>EXP(-LN(2)/2)*AB114+(1-EXP(-LN(2)/2))/(LN(2)/2)*V115*Y115*VLOOKUP('Données projet'!$B$9,Paramètres!$A$1:$I$89,3,0)*0.475*44/12</f>
        <v>2.7474911079226691E-12</v>
      </c>
      <c r="AC115" s="22">
        <f t="shared" si="57"/>
        <v>37.155259996186004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255.00000000000006</v>
      </c>
      <c r="AJ115" s="13">
        <f>AI115*VLOOKUP('Données projet'!$B$10,Paramètres!$A$1:$I$89,3,0)*VLOOKUP('Données projet'!$B$10,Paramètres!$A$1:$I$89,5,0)</f>
        <v>186.96600000000004</v>
      </c>
      <c r="AK115" s="13">
        <f t="shared" si="89"/>
        <v>46.868551400324648</v>
      </c>
      <c r="AL115" s="20">
        <f t="shared" si="58"/>
        <v>407.26184368889881</v>
      </c>
      <c r="AM115" s="59">
        <f t="shared" si="59"/>
        <v>700.59517702223206</v>
      </c>
      <c r="AN115" s="59">
        <f ca="1">AVERAGE(OFFSET($AM$3,0,0,'Données projet'!$E$10+1,1))-AVERAGE(OFFSET($H$3,0,0,'Données projet'!$E$10+1,1))</f>
        <v>188.36883552879721</v>
      </c>
      <c r="AO115" s="59">
        <f t="shared" si="90"/>
        <v>152.51465338737705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0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1">
        <f t="shared" si="86"/>
        <v>27.076223799065254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67">
        <f t="shared" si="56"/>
        <v>478.82639311670562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636.99999999999977</v>
      </c>
      <c r="O116" s="13">
        <f>N116*VLOOKUP('Données projet'!$B$9,Paramètres!$A$1:$I$89,3,0)*VLOOKUP('Données projet'!$B$9,Paramètres!$A$1:$I$89,5,0)</f>
        <v>356.08299999999991</v>
      </c>
      <c r="P116" s="13">
        <f t="shared" si="87"/>
        <v>82.813805255716545</v>
      </c>
      <c r="Q116" s="20">
        <f t="shared" si="107"/>
        <v>764.41193582037283</v>
      </c>
      <c r="R116" s="59">
        <f t="shared" si="55"/>
        <v>1057.7452691537062</v>
      </c>
      <c r="S116" s="59">
        <f ca="1">AVERAGE(OFFSET($R$3,0,0,'Données projet'!$E$9+1,1))-AVERAGE(OFFSET($H$3,0,0,'Données projet'!$E$9+1,1))</f>
        <v>382.58588458673051</v>
      </c>
      <c r="T116" s="59">
        <f t="shared" si="88"/>
        <v>485.5120768430603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34.212533440448951</v>
      </c>
      <c r="AA116" s="21">
        <f>EXP(-LN(2)/25)*AA115+(1-EXP(-LN(2)/25))/(LN(2)/25)*Calculateur!V116*Calculateur!X116*VLOOKUP('Données projet'!$B$9,Paramètres!$A$1:$I$89,3,0)*0.475*44/12</f>
        <v>2.1966641883362552</v>
      </c>
      <c r="AB116" s="21">
        <f>EXP(-LN(2)/2)*AB115+(1-EXP(-LN(2)/2))/(LN(2)/2)*V116*Y116*VLOOKUP('Données projet'!$B$9,Paramètres!$A$1:$I$89,3,0)*0.475*44/12</f>
        <v>1.9427695936618598E-12</v>
      </c>
      <c r="AC116" s="22">
        <f t="shared" si="57"/>
        <v>36.409197628787147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255.00000000000006</v>
      </c>
      <c r="AJ116" s="13">
        <f>AI116*VLOOKUP('Données projet'!$B$10,Paramètres!$A$1:$I$89,3,0)*VLOOKUP('Données projet'!$B$10,Paramètres!$A$1:$I$89,5,0)</f>
        <v>186.96600000000004</v>
      </c>
      <c r="AK116" s="13">
        <f t="shared" si="89"/>
        <v>46.868551400324648</v>
      </c>
      <c r="AL116" s="20">
        <f t="shared" si="58"/>
        <v>407.26184368889881</v>
      </c>
      <c r="AM116" s="59">
        <f t="shared" si="59"/>
        <v>700.59517702223206</v>
      </c>
      <c r="AN116" s="59">
        <f ca="1">AVERAGE(OFFSET($AM$3,0,0,'Données projet'!$E$10+1,1))-AVERAGE(OFFSET($H$3,0,0,'Données projet'!$E$10+1,1))</f>
        <v>188.36883552879721</v>
      </c>
      <c r="AO116" s="59">
        <f t="shared" si="90"/>
        <v>152.51465338737705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0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1">
        <f t="shared" si="86"/>
        <v>27.287836803817498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67">
        <f t="shared" si="56"/>
        <v>480.74364243331581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636.99999999999977</v>
      </c>
      <c r="O117" s="13">
        <f>N117*VLOOKUP('Données projet'!$B$9,Paramètres!$A$1:$I$89,3,0)*VLOOKUP('Données projet'!$B$9,Paramètres!$A$1:$I$89,5,0)</f>
        <v>356.08299999999991</v>
      </c>
      <c r="P117" s="13">
        <f t="shared" si="87"/>
        <v>82.813805255716545</v>
      </c>
      <c r="Q117" s="20">
        <f t="shared" si="107"/>
        <v>764.41193582037283</v>
      </c>
      <c r="R117" s="59">
        <f t="shared" si="55"/>
        <v>1057.7452691537062</v>
      </c>
      <c r="S117" s="59">
        <f ca="1">AVERAGE(OFFSET($R$3,0,0,'Données projet'!$E$9+1,1))-AVERAGE(OFFSET($H$3,0,0,'Données projet'!$E$9+1,1))</f>
        <v>382.58588458673051</v>
      </c>
      <c r="T117" s="59">
        <f t="shared" si="88"/>
        <v>485.5120768430603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33.541646527266643</v>
      </c>
      <c r="AA117" s="21">
        <f>EXP(-LN(2)/25)*AA116+(1-EXP(-LN(2)/25))/(LN(2)/25)*Calculateur!V117*Calculateur!X117*VLOOKUP('Données projet'!$B$9,Paramètres!$A$1:$I$89,3,0)*0.475*44/12</f>
        <v>2.1365962905886513</v>
      </c>
      <c r="AB117" s="21">
        <f>EXP(-LN(2)/2)*AB116+(1-EXP(-LN(2)/2))/(LN(2)/2)*V117*Y117*VLOOKUP('Données projet'!$B$9,Paramètres!$A$1:$I$89,3,0)*0.475*44/12</f>
        <v>1.3737455539613346E-12</v>
      </c>
      <c r="AC117" s="22">
        <f t="shared" si="57"/>
        <v>35.678242817856663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255.00000000000006</v>
      </c>
      <c r="AJ117" s="13">
        <f>AI117*VLOOKUP('Données projet'!$B$10,Paramètres!$A$1:$I$89,3,0)*VLOOKUP('Données projet'!$B$10,Paramètres!$A$1:$I$89,5,0)</f>
        <v>186.96600000000004</v>
      </c>
      <c r="AK117" s="13">
        <f t="shared" si="89"/>
        <v>46.868551400324648</v>
      </c>
      <c r="AL117" s="20">
        <f t="shared" si="58"/>
        <v>407.26184368889881</v>
      </c>
      <c r="AM117" s="59">
        <f t="shared" si="59"/>
        <v>700.59517702223206</v>
      </c>
      <c r="AN117" s="59">
        <f ca="1">AVERAGE(OFFSET($AM$3,0,0,'Données projet'!$E$10+1,1))-AVERAGE(OFFSET($H$3,0,0,'Données projet'!$E$10+1,1))</f>
        <v>188.36883552879721</v>
      </c>
      <c r="AO117" s="59">
        <f t="shared" si="90"/>
        <v>152.51465338737705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0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1">
        <f t="shared" si="86"/>
        <v>27.499233847895908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67">
        <f t="shared" si="56"/>
        <v>482.66051561841903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636.99999999999977</v>
      </c>
      <c r="O118" s="13">
        <f>N118*VLOOKUP('Données projet'!$B$9,Paramètres!$A$1:$I$89,3,0)*VLOOKUP('Données projet'!$B$9,Paramètres!$A$1:$I$89,5,0)</f>
        <v>356.08299999999991</v>
      </c>
      <c r="P118" s="13">
        <f t="shared" si="87"/>
        <v>82.813805255716545</v>
      </c>
      <c r="Q118" s="20">
        <f t="shared" si="107"/>
        <v>764.41193582037283</v>
      </c>
      <c r="R118" s="59">
        <f t="shared" si="55"/>
        <v>1057.7452691537062</v>
      </c>
      <c r="S118" s="59">
        <f ca="1">AVERAGE(OFFSET($R$3,0,0,'Données projet'!$E$9+1,1))-AVERAGE(OFFSET($H$3,0,0,'Données projet'!$E$9+1,1))</f>
        <v>382.58588458673051</v>
      </c>
      <c r="T118" s="59">
        <f t="shared" si="88"/>
        <v>485.5120768430603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32.883915297251228</v>
      </c>
      <c r="AA118" s="21">
        <f>EXP(-LN(2)/25)*AA117+(1-EXP(-LN(2)/25))/(LN(2)/25)*Calculateur!V118*Calculateur!X118*VLOOKUP('Données projet'!$B$9,Paramètres!$A$1:$I$89,3,0)*0.475*44/12</f>
        <v>2.0781709526637888</v>
      </c>
      <c r="AB118" s="21">
        <f>EXP(-LN(2)/2)*AB117+(1-EXP(-LN(2)/2))/(LN(2)/2)*V118*Y118*VLOOKUP('Données projet'!$B$9,Paramètres!$A$1:$I$89,3,0)*0.475*44/12</f>
        <v>9.713847968309299E-13</v>
      </c>
      <c r="AC118" s="22">
        <f t="shared" si="57"/>
        <v>34.962086249915991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255.00000000000006</v>
      </c>
      <c r="AJ118" s="13">
        <f>AI118*VLOOKUP('Données projet'!$B$10,Paramètres!$A$1:$I$89,3,0)*VLOOKUP('Données projet'!$B$10,Paramètres!$A$1:$I$89,5,0)</f>
        <v>186.96600000000004</v>
      </c>
      <c r="AK118" s="13">
        <f t="shared" si="89"/>
        <v>46.868551400324648</v>
      </c>
      <c r="AL118" s="20">
        <f t="shared" si="58"/>
        <v>407.26184368889881</v>
      </c>
      <c r="AM118" s="59">
        <f t="shared" si="59"/>
        <v>700.59517702223206</v>
      </c>
      <c r="AN118" s="59">
        <f ca="1">AVERAGE(OFFSET($AM$3,0,0,'Données projet'!$E$10+1,1))-AVERAGE(OFFSET($H$3,0,0,'Données projet'!$E$10+1,1))</f>
        <v>188.36883552879721</v>
      </c>
      <c r="AO118" s="59">
        <f t="shared" si="90"/>
        <v>152.51465338737705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0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1">
        <f t="shared" si="86"/>
        <v>27.710417026801501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67">
        <f t="shared" si="56"/>
        <v>484.57701632167959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636.99999999999977</v>
      </c>
      <c r="O119" s="13">
        <f>N119*VLOOKUP('Données projet'!$B$9,Paramètres!$A$1:$I$89,3,0)*VLOOKUP('Données projet'!$B$9,Paramètres!$A$1:$I$89,5,0)</f>
        <v>356.08299999999991</v>
      </c>
      <c r="P119" s="13">
        <f t="shared" si="87"/>
        <v>82.813805255716545</v>
      </c>
      <c r="Q119" s="20">
        <f t="shared" si="107"/>
        <v>764.41193582037283</v>
      </c>
      <c r="R119" s="59">
        <f t="shared" si="55"/>
        <v>1057.7452691537062</v>
      </c>
      <c r="S119" s="59">
        <f ca="1">AVERAGE(OFFSET($R$3,0,0,'Données projet'!$E$9+1,1))-AVERAGE(OFFSET($H$3,0,0,'Données projet'!$E$9+1,1))</f>
        <v>382.58588458673051</v>
      </c>
      <c r="T119" s="59">
        <f t="shared" si="88"/>
        <v>485.5120768430603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32.239081775479981</v>
      </c>
      <c r="AA119" s="21">
        <f>EXP(-LN(2)/25)*AA118+(1-EXP(-LN(2)/25))/(LN(2)/25)*Calculateur!V119*Calculateur!X119*VLOOKUP('Données projet'!$B$9,Paramètres!$A$1:$I$89,3,0)*0.475*44/12</f>
        <v>2.0213432586769366</v>
      </c>
      <c r="AB119" s="21">
        <f>EXP(-LN(2)/2)*AB118+(1-EXP(-LN(2)/2))/(LN(2)/2)*V119*Y119*VLOOKUP('Données projet'!$B$9,Paramètres!$A$1:$I$89,3,0)*0.475*44/12</f>
        <v>6.8687277698066728E-13</v>
      </c>
      <c r="AC119" s="22">
        <f t="shared" si="57"/>
        <v>34.260425034157606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255.00000000000006</v>
      </c>
      <c r="AJ119" s="13">
        <f>AI119*VLOOKUP('Données projet'!$B$10,Paramètres!$A$1:$I$89,3,0)*VLOOKUP('Données projet'!$B$10,Paramètres!$A$1:$I$89,5,0)</f>
        <v>186.96600000000004</v>
      </c>
      <c r="AK119" s="13">
        <f t="shared" si="89"/>
        <v>46.868551400324648</v>
      </c>
      <c r="AL119" s="20">
        <f t="shared" si="58"/>
        <v>407.26184368889881</v>
      </c>
      <c r="AM119" s="59">
        <f t="shared" si="59"/>
        <v>700.59517702223206</v>
      </c>
      <c r="AN119" s="59">
        <f ca="1">AVERAGE(OFFSET($AM$3,0,0,'Données projet'!$E$10+1,1))-AVERAGE(OFFSET($H$3,0,0,'Données projet'!$E$10+1,1))</f>
        <v>188.36883552879721</v>
      </c>
      <c r="AO119" s="59">
        <f t="shared" si="90"/>
        <v>152.51465338737705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0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1">
        <f t="shared" si="86"/>
        <v>27.921388397821048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67">
        <f t="shared" si="56"/>
        <v>486.49314812620531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636.99999999999977</v>
      </c>
      <c r="O120" s="13">
        <f>N120*VLOOKUP('Données projet'!$B$9,Paramètres!$A$1:$I$89,3,0)*VLOOKUP('Données projet'!$B$9,Paramètres!$A$1:$I$89,5,0)</f>
        <v>356.08299999999991</v>
      </c>
      <c r="P120" s="13">
        <f t="shared" si="87"/>
        <v>82.813805255716545</v>
      </c>
      <c r="Q120" s="20">
        <f t="shared" si="107"/>
        <v>764.41193582037283</v>
      </c>
      <c r="R120" s="59">
        <f t="shared" si="55"/>
        <v>1057.7452691537062</v>
      </c>
      <c r="S120" s="59">
        <f ca="1">AVERAGE(OFFSET($R$3,0,0,'Données projet'!$E$9+1,1))-AVERAGE(OFFSET($H$3,0,0,'Données projet'!$E$9+1,1))</f>
        <v>382.58588458673051</v>
      </c>
      <c r="T120" s="59">
        <f t="shared" si="88"/>
        <v>485.5120768430603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31.606893045761055</v>
      </c>
      <c r="AA120" s="21">
        <f>EXP(-LN(2)/25)*AA119+(1-EXP(-LN(2)/25))/(LN(2)/25)*Calculateur!V120*Calculateur!X120*VLOOKUP('Données projet'!$B$9,Paramètres!$A$1:$I$89,3,0)*0.475*44/12</f>
        <v>1.9660695209705936</v>
      </c>
      <c r="AB120" s="21">
        <f>EXP(-LN(2)/2)*AB119+(1-EXP(-LN(2)/2))/(LN(2)/2)*V120*Y120*VLOOKUP('Données projet'!$B$9,Paramètres!$A$1:$I$89,3,0)*0.475*44/12</f>
        <v>4.8569239841546495E-13</v>
      </c>
      <c r="AC120" s="22">
        <f t="shared" si="57"/>
        <v>33.57296256673213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255.00000000000006</v>
      </c>
      <c r="AJ120" s="13">
        <f>AI120*VLOOKUP('Données projet'!$B$10,Paramètres!$A$1:$I$89,3,0)*VLOOKUP('Données projet'!$B$10,Paramètres!$A$1:$I$89,5,0)</f>
        <v>186.96600000000004</v>
      </c>
      <c r="AK120" s="13">
        <f t="shared" si="89"/>
        <v>46.868551400324648</v>
      </c>
      <c r="AL120" s="20">
        <f t="shared" si="58"/>
        <v>407.26184368889881</v>
      </c>
      <c r="AM120" s="59">
        <f t="shared" si="59"/>
        <v>700.59517702223206</v>
      </c>
      <c r="AN120" s="59">
        <f ca="1">AVERAGE(OFFSET($AM$3,0,0,'Données projet'!$E$10+1,1))-AVERAGE(OFFSET($H$3,0,0,'Données projet'!$E$10+1,1))</f>
        <v>188.36883552879721</v>
      </c>
      <c r="AO120" s="59">
        <f t="shared" si="90"/>
        <v>152.51465338737705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0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1">
        <f t="shared" si="86"/>
        <v>28.132149981044396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67">
        <f t="shared" si="56"/>
        <v>488.40891455031931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636.99999999999977</v>
      </c>
      <c r="O121" s="13">
        <f>N121*VLOOKUP('Données projet'!$B$9,Paramètres!$A$1:$I$89,3,0)*VLOOKUP('Données projet'!$B$9,Paramètres!$A$1:$I$89,5,0)</f>
        <v>356.08299999999991</v>
      </c>
      <c r="P121" s="13">
        <f t="shared" si="87"/>
        <v>82.813805255716545</v>
      </c>
      <c r="Q121" s="20">
        <f t="shared" si="107"/>
        <v>764.41193582037283</v>
      </c>
      <c r="R121" s="59">
        <f t="shared" si="55"/>
        <v>1057.7452691537062</v>
      </c>
      <c r="S121" s="59">
        <f ca="1">AVERAGE(OFFSET($R$3,0,0,'Données projet'!$E$9+1,1))-AVERAGE(OFFSET($H$3,0,0,'Données projet'!$E$9+1,1))</f>
        <v>382.58588458673051</v>
      </c>
      <c r="T121" s="59">
        <f t="shared" si="88"/>
        <v>485.5120768430603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30.987101151434864</v>
      </c>
      <c r="AA121" s="21">
        <f>EXP(-LN(2)/25)*AA120+(1-EXP(-LN(2)/25))/(LN(2)/25)*Calculateur!V121*Calculateur!X121*VLOOKUP('Données projet'!$B$9,Paramètres!$A$1:$I$89,3,0)*0.475*44/12</f>
        <v>1.9123072465285502</v>
      </c>
      <c r="AB121" s="21">
        <f>EXP(-LN(2)/2)*AB120+(1-EXP(-LN(2)/2))/(LN(2)/2)*V121*Y121*VLOOKUP('Données projet'!$B$9,Paramètres!$A$1:$I$89,3,0)*0.475*44/12</f>
        <v>3.4343638849033364E-13</v>
      </c>
      <c r="AC121" s="22">
        <f t="shared" si="57"/>
        <v>32.899408397963754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255.00000000000006</v>
      </c>
      <c r="AJ121" s="13">
        <f>AI121*VLOOKUP('Données projet'!$B$10,Paramètres!$A$1:$I$89,3,0)*VLOOKUP('Données projet'!$B$10,Paramètres!$A$1:$I$89,5,0)</f>
        <v>186.96600000000004</v>
      </c>
      <c r="AK121" s="13">
        <f t="shared" si="89"/>
        <v>46.868551400324648</v>
      </c>
      <c r="AL121" s="20">
        <f t="shared" si="58"/>
        <v>407.26184368889881</v>
      </c>
      <c r="AM121" s="59">
        <f t="shared" si="59"/>
        <v>700.59517702223206</v>
      </c>
      <c r="AN121" s="59">
        <f ca="1">AVERAGE(OFFSET($AM$3,0,0,'Données projet'!$E$10+1,1))-AVERAGE(OFFSET($H$3,0,0,'Données projet'!$E$10+1,1))</f>
        <v>188.36883552879721</v>
      </c>
      <c r="AO121" s="59">
        <f t="shared" si="90"/>
        <v>152.51465338737705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0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1">
        <f t="shared" si="86"/>
        <v>28.342703760346538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67">
        <f t="shared" si="56"/>
        <v>490.32431904927057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636.99999999999977</v>
      </c>
      <c r="O122" s="13">
        <f>N122*VLOOKUP('Données projet'!$B$9,Paramètres!$A$1:$I$89,3,0)*VLOOKUP('Données projet'!$B$9,Paramètres!$A$1:$I$89,5,0)</f>
        <v>356.08299999999991</v>
      </c>
      <c r="P122" s="13">
        <f t="shared" si="87"/>
        <v>82.813805255716545</v>
      </c>
      <c r="Q122" s="20">
        <f t="shared" si="107"/>
        <v>764.41193582037283</v>
      </c>
      <c r="R122" s="59">
        <f t="shared" si="55"/>
        <v>1057.7452691537062</v>
      </c>
      <c r="S122" s="59">
        <f ca="1">AVERAGE(OFFSET($R$3,0,0,'Données projet'!$E$9+1,1))-AVERAGE(OFFSET($H$3,0,0,'Données projet'!$E$9+1,1))</f>
        <v>382.58588458673051</v>
      </c>
      <c r="T122" s="59">
        <f t="shared" si="88"/>
        <v>485.5120768430603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30.379462998120683</v>
      </c>
      <c r="AA122" s="21">
        <f>EXP(-LN(2)/25)*AA121+(1-EXP(-LN(2)/25))/(LN(2)/25)*Calculateur!V122*Calculateur!X122*VLOOKUP('Données projet'!$B$9,Paramètres!$A$1:$I$89,3,0)*0.475*44/12</f>
        <v>1.8600151043083595</v>
      </c>
      <c r="AB122" s="21">
        <f>EXP(-LN(2)/2)*AB121+(1-EXP(-LN(2)/2))/(LN(2)/2)*V122*Y122*VLOOKUP('Données projet'!$B$9,Paramètres!$A$1:$I$89,3,0)*0.475*44/12</f>
        <v>2.4284619920773248E-13</v>
      </c>
      <c r="AC122" s="22">
        <f t="shared" si="57"/>
        <v>32.239478102429281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255.00000000000006</v>
      </c>
      <c r="AJ122" s="13">
        <f>AI122*VLOOKUP('Données projet'!$B$10,Paramètres!$A$1:$I$89,3,0)*VLOOKUP('Données projet'!$B$10,Paramètres!$A$1:$I$89,5,0)</f>
        <v>186.96600000000004</v>
      </c>
      <c r="AK122" s="13">
        <f t="shared" si="89"/>
        <v>46.868551400324648</v>
      </c>
      <c r="AL122" s="20">
        <f t="shared" si="58"/>
        <v>407.26184368889881</v>
      </c>
      <c r="AM122" s="59">
        <f t="shared" si="59"/>
        <v>700.59517702223206</v>
      </c>
      <c r="AN122" s="59">
        <f ca="1">AVERAGE(OFFSET($AM$3,0,0,'Données projet'!$E$10+1,1))-AVERAGE(OFFSET($H$3,0,0,'Données projet'!$E$10+1,1))</f>
        <v>188.36883552879721</v>
      </c>
      <c r="AO122" s="59">
        <f t="shared" si="90"/>
        <v>152.51465338737705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0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1">
        <f t="shared" si="86"/>
        <v>28.553051684335379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67">
        <f t="shared" si="56"/>
        <v>492.23936501688451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636.99999999999977</v>
      </c>
      <c r="O123" s="13">
        <f>N123*VLOOKUP('Données projet'!$B$9,Paramètres!$A$1:$I$89,3,0)*VLOOKUP('Données projet'!$B$9,Paramètres!$A$1:$I$89,5,0)</f>
        <v>356.08299999999991</v>
      </c>
      <c r="P123" s="13">
        <f t="shared" si="87"/>
        <v>82.813805255716545</v>
      </c>
      <c r="Q123" s="20">
        <f t="shared" si="107"/>
        <v>764.41193582037283</v>
      </c>
      <c r="R123" s="59">
        <f t="shared" si="55"/>
        <v>1057.7452691537062</v>
      </c>
      <c r="S123" s="59">
        <f ca="1">AVERAGE(OFFSET($R$3,0,0,'Données projet'!$E$9+1,1))-AVERAGE(OFFSET($H$3,0,0,'Données projet'!$E$9+1,1))</f>
        <v>382.58588458673051</v>
      </c>
      <c r="T123" s="59">
        <f t="shared" si="88"/>
        <v>485.5120768430603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29.783740258370315</v>
      </c>
      <c r="AA123" s="21">
        <f>EXP(-LN(2)/25)*AA122+(1-EXP(-LN(2)/25))/(LN(2)/25)*Calculateur!V123*Calculateur!X123*VLOOKUP('Données projet'!$B$9,Paramètres!$A$1:$I$89,3,0)*0.475*44/12</f>
        <v>1.8091528934671042</v>
      </c>
      <c r="AB123" s="21">
        <f>EXP(-LN(2)/2)*AB122+(1-EXP(-LN(2)/2))/(LN(2)/2)*V123*Y123*VLOOKUP('Données projet'!$B$9,Paramètres!$A$1:$I$89,3,0)*0.475*44/12</f>
        <v>1.7171819424516682E-13</v>
      </c>
      <c r="AC123" s="22">
        <f t="shared" si="57"/>
        <v>31.59289315183759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255.00000000000006</v>
      </c>
      <c r="AJ123" s="13">
        <f>AI123*VLOOKUP('Données projet'!$B$10,Paramètres!$A$1:$I$89,3,0)*VLOOKUP('Données projet'!$B$10,Paramètres!$A$1:$I$89,5,0)</f>
        <v>186.96600000000004</v>
      </c>
      <c r="AK123" s="13">
        <f t="shared" si="89"/>
        <v>46.868551400324648</v>
      </c>
      <c r="AL123" s="20">
        <f t="shared" si="58"/>
        <v>407.26184368889881</v>
      </c>
      <c r="AM123" s="59">
        <f t="shared" si="59"/>
        <v>700.59517702223206</v>
      </c>
      <c r="AN123" s="59">
        <f ca="1">AVERAGE(OFFSET($AM$3,0,0,'Données projet'!$E$10+1,1))-AVERAGE(OFFSET($H$3,0,0,'Données projet'!$E$10+1,1))</f>
        <v>188.36883552879721</v>
      </c>
      <c r="AO123" s="59">
        <f t="shared" si="90"/>
        <v>152.51465338737705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0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1">
        <f t="shared" si="86"/>
        <v>28.763195667267546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67">
        <f t="shared" si="56"/>
        <v>494.15405578715797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636.99999999999977</v>
      </c>
      <c r="O124" s="13">
        <f>N124*VLOOKUP('Données projet'!$B$9,Paramètres!$A$1:$I$89,3,0)*VLOOKUP('Données projet'!$B$9,Paramètres!$A$1:$I$89,5,0)</f>
        <v>356.08299999999991</v>
      </c>
      <c r="P124" s="13">
        <f t="shared" si="87"/>
        <v>82.813805255716545</v>
      </c>
      <c r="Q124" s="20">
        <f t="shared" si="107"/>
        <v>764.41193582037283</v>
      </c>
      <c r="R124" s="59">
        <f t="shared" si="55"/>
        <v>1057.7452691537062</v>
      </c>
      <c r="S124" s="59">
        <f ca="1">AVERAGE(OFFSET($R$3,0,0,'Données projet'!$E$9+1,1))-AVERAGE(OFFSET($H$3,0,0,'Données projet'!$E$9+1,1))</f>
        <v>382.58588458673051</v>
      </c>
      <c r="T124" s="59">
        <f t="shared" si="88"/>
        <v>485.5120768430603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29.19969927819146</v>
      </c>
      <c r="AA124" s="21">
        <f>EXP(-LN(2)/25)*AA123+(1-EXP(-LN(2)/25))/(LN(2)/25)*Calculateur!V124*Calculateur!X124*VLOOKUP('Données projet'!$B$9,Paramètres!$A$1:$I$89,3,0)*0.475*44/12</f>
        <v>1.7596815124560303</v>
      </c>
      <c r="AB124" s="21">
        <f>EXP(-LN(2)/2)*AB123+(1-EXP(-LN(2)/2))/(LN(2)/2)*V124*Y124*VLOOKUP('Données projet'!$B$9,Paramètres!$A$1:$I$89,3,0)*0.475*44/12</f>
        <v>1.2142309960386624E-13</v>
      </c>
      <c r="AC124" s="22">
        <f t="shared" si="57"/>
        <v>30.959380790647611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255.00000000000006</v>
      </c>
      <c r="AJ124" s="13">
        <f>AI124*VLOOKUP('Données projet'!$B$10,Paramètres!$A$1:$I$89,3,0)*VLOOKUP('Données projet'!$B$10,Paramètres!$A$1:$I$89,5,0)</f>
        <v>186.96600000000004</v>
      </c>
      <c r="AK124" s="13">
        <f t="shared" si="89"/>
        <v>46.868551400324648</v>
      </c>
      <c r="AL124" s="20">
        <f t="shared" si="58"/>
        <v>407.26184368889881</v>
      </c>
      <c r="AM124" s="59">
        <f t="shared" si="59"/>
        <v>700.59517702223206</v>
      </c>
      <c r="AN124" s="59">
        <f ca="1">AVERAGE(OFFSET($AM$3,0,0,'Données projet'!$E$10+1,1))-AVERAGE(OFFSET($H$3,0,0,'Données projet'!$E$10+1,1))</f>
        <v>188.36883552879721</v>
      </c>
      <c r="AO124" s="59">
        <f t="shared" si="90"/>
        <v>152.51465338737705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0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1">
        <f t="shared" si="86"/>
        <v>28.973137589932421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67">
        <f t="shared" si="56"/>
        <v>496.06839463579934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636.99999999999977</v>
      </c>
      <c r="O125" s="13">
        <f>N125*VLOOKUP('Données projet'!$B$9,Paramètres!$A$1:$I$89,3,0)*VLOOKUP('Données projet'!$B$9,Paramètres!$A$1:$I$89,5,0)</f>
        <v>356.08299999999991</v>
      </c>
      <c r="P125" s="13">
        <f t="shared" si="87"/>
        <v>82.813805255716545</v>
      </c>
      <c r="Q125" s="20">
        <f t="shared" si="107"/>
        <v>764.41193582037283</v>
      </c>
      <c r="R125" s="59">
        <f t="shared" si="55"/>
        <v>1057.7452691537062</v>
      </c>
      <c r="S125" s="59">
        <f ca="1">AVERAGE(OFFSET($R$3,0,0,'Données projet'!$E$9+1,1))-AVERAGE(OFFSET($H$3,0,0,'Données projet'!$E$9+1,1))</f>
        <v>382.58588458673051</v>
      </c>
      <c r="T125" s="59">
        <f t="shared" si="88"/>
        <v>485.5120768430603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28.627110985404087</v>
      </c>
      <c r="AA125" s="21">
        <f>EXP(-LN(2)/25)*AA124+(1-EXP(-LN(2)/25))/(LN(2)/25)*Calculateur!V125*Calculateur!X125*VLOOKUP('Données projet'!$B$9,Paramètres!$A$1:$I$89,3,0)*0.475*44/12</f>
        <v>1.7115629289602912</v>
      </c>
      <c r="AB125" s="21">
        <f>EXP(-LN(2)/2)*AB124+(1-EXP(-LN(2)/2))/(LN(2)/2)*V125*Y125*VLOOKUP('Données projet'!$B$9,Paramètres!$A$1:$I$89,3,0)*0.475*44/12</f>
        <v>8.585909712258341E-14</v>
      </c>
      <c r="AC125" s="22">
        <f t="shared" si="57"/>
        <v>30.338673914364463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255.00000000000006</v>
      </c>
      <c r="AJ125" s="13">
        <f>AI125*VLOOKUP('Données projet'!$B$10,Paramètres!$A$1:$I$89,3,0)*VLOOKUP('Données projet'!$B$10,Paramètres!$A$1:$I$89,5,0)</f>
        <v>186.96600000000004</v>
      </c>
      <c r="AK125" s="13">
        <f t="shared" si="89"/>
        <v>46.868551400324648</v>
      </c>
      <c r="AL125" s="20">
        <f t="shared" si="58"/>
        <v>407.26184368889881</v>
      </c>
      <c r="AM125" s="59">
        <f t="shared" si="59"/>
        <v>700.59517702223206</v>
      </c>
      <c r="AN125" s="59">
        <f ca="1">AVERAGE(OFFSET($AM$3,0,0,'Données projet'!$E$10+1,1))-AVERAGE(OFFSET($H$3,0,0,'Données projet'!$E$10+1,1))</f>
        <v>188.36883552879721</v>
      </c>
      <c r="AO125" s="59">
        <f t="shared" si="90"/>
        <v>152.51465338737705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0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1">
        <f t="shared" si="86"/>
        <v>29.182879300506769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67">
        <f t="shared" si="56"/>
        <v>497.98238478171629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636.99999999999977</v>
      </c>
      <c r="O126" s="13">
        <f>N126*VLOOKUP('Données projet'!$B$9,Paramètres!$A$1:$I$89,3,0)*VLOOKUP('Données projet'!$B$9,Paramètres!$A$1:$I$89,5,0)</f>
        <v>356.08299999999991</v>
      </c>
      <c r="P126" s="13">
        <f t="shared" si="87"/>
        <v>82.813805255716545</v>
      </c>
      <c r="Q126" s="20">
        <f t="shared" si="107"/>
        <v>764.41193582037283</v>
      </c>
      <c r="R126" s="59">
        <f t="shared" si="55"/>
        <v>1057.7452691537062</v>
      </c>
      <c r="S126" s="59">
        <f ca="1">AVERAGE(OFFSET($R$3,0,0,'Données projet'!$E$9+1,1))-AVERAGE(OFFSET($H$3,0,0,'Données projet'!$E$9+1,1))</f>
        <v>382.58588458673051</v>
      </c>
      <c r="T126" s="59">
        <f t="shared" si="88"/>
        <v>485.5120768430603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28.065750799793904</v>
      </c>
      <c r="AA126" s="21">
        <f>EXP(-LN(2)/25)*AA125+(1-EXP(-LN(2)/25))/(LN(2)/25)*Calculateur!V126*Calculateur!X126*VLOOKUP('Données projet'!$B$9,Paramètres!$A$1:$I$89,3,0)*0.475*44/12</f>
        <v>1.6647601506606895</v>
      </c>
      <c r="AB126" s="21">
        <f>EXP(-LN(2)/2)*AB125+(1-EXP(-LN(2)/2))/(LN(2)/2)*V126*Y126*VLOOKUP('Données projet'!$B$9,Paramètres!$A$1:$I$89,3,0)*0.475*44/12</f>
        <v>6.0711549801933119E-14</v>
      </c>
      <c r="AC126" s="22">
        <f t="shared" si="57"/>
        <v>29.730510950454654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255.00000000000006</v>
      </c>
      <c r="AJ126" s="13">
        <f>AI126*VLOOKUP('Données projet'!$B$10,Paramètres!$A$1:$I$89,3,0)*VLOOKUP('Données projet'!$B$10,Paramètres!$A$1:$I$89,5,0)</f>
        <v>186.96600000000004</v>
      </c>
      <c r="AK126" s="13">
        <f t="shared" si="89"/>
        <v>46.868551400324648</v>
      </c>
      <c r="AL126" s="20">
        <f t="shared" si="58"/>
        <v>407.26184368889881</v>
      </c>
      <c r="AM126" s="59">
        <f t="shared" si="59"/>
        <v>700.59517702223206</v>
      </c>
      <c r="AN126" s="59">
        <f ca="1">AVERAGE(OFFSET($AM$3,0,0,'Données projet'!$E$10+1,1))-AVERAGE(OFFSET($H$3,0,0,'Données projet'!$E$10+1,1))</f>
        <v>188.36883552879721</v>
      </c>
      <c r="AO126" s="59">
        <f t="shared" si="90"/>
        <v>152.51465338737705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0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1">
        <f t="shared" si="86"/>
        <v>29.392422615380852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67">
        <f t="shared" si="56"/>
        <v>499.89602938845536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636.99999999999977</v>
      </c>
      <c r="O127" s="13">
        <f>N127*VLOOKUP('Données projet'!$B$9,Paramètres!$A$1:$I$89,3,0)*VLOOKUP('Données projet'!$B$9,Paramètres!$A$1:$I$89,5,0)</f>
        <v>356.08299999999991</v>
      </c>
      <c r="P127" s="13">
        <f t="shared" si="87"/>
        <v>82.813805255716545</v>
      </c>
      <c r="Q127" s="20">
        <f t="shared" si="107"/>
        <v>764.41193582037283</v>
      </c>
      <c r="R127" s="59">
        <f t="shared" si="55"/>
        <v>1057.7452691537062</v>
      </c>
      <c r="S127" s="59">
        <f ca="1">AVERAGE(OFFSET($R$3,0,0,'Données projet'!$E$9+1,1))-AVERAGE(OFFSET($H$3,0,0,'Données projet'!$E$9+1,1))</f>
        <v>382.58588458673051</v>
      </c>
      <c r="T127" s="59">
        <f t="shared" si="88"/>
        <v>485.5120768430603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27.515398545027629</v>
      </c>
      <c r="AA127" s="21">
        <f>EXP(-LN(2)/25)*AA126+(1-EXP(-LN(2)/25))/(LN(2)/25)*Calculateur!V127*Calculateur!X127*VLOOKUP('Données projet'!$B$9,Paramètres!$A$1:$I$89,3,0)*0.475*44/12</f>
        <v>1.6192371967949415</v>
      </c>
      <c r="AB127" s="21">
        <f>EXP(-LN(2)/2)*AB126+(1-EXP(-LN(2)/2))/(LN(2)/2)*V127*Y127*VLOOKUP('Données projet'!$B$9,Paramètres!$A$1:$I$89,3,0)*0.475*44/12</f>
        <v>4.2929548561291705E-14</v>
      </c>
      <c r="AC127" s="22">
        <f t="shared" si="57"/>
        <v>29.134635741822613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255.00000000000006</v>
      </c>
      <c r="AJ127" s="13">
        <f>AI127*VLOOKUP('Données projet'!$B$10,Paramètres!$A$1:$I$89,3,0)*VLOOKUP('Données projet'!$B$10,Paramètres!$A$1:$I$89,5,0)</f>
        <v>186.96600000000004</v>
      </c>
      <c r="AK127" s="13">
        <f t="shared" si="89"/>
        <v>46.868551400324648</v>
      </c>
      <c r="AL127" s="20">
        <f t="shared" si="58"/>
        <v>407.26184368889881</v>
      </c>
      <c r="AM127" s="59">
        <f t="shared" si="59"/>
        <v>700.59517702223206</v>
      </c>
      <c r="AN127" s="59">
        <f ca="1">AVERAGE(OFFSET($AM$3,0,0,'Données projet'!$E$10+1,1))-AVERAGE(OFFSET($H$3,0,0,'Données projet'!$E$10+1,1))</f>
        <v>188.36883552879721</v>
      </c>
      <c r="AO127" s="59">
        <f t="shared" si="90"/>
        <v>152.51465338737705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0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1">
        <f t="shared" si="86"/>
        <v>29.601769319956595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67">
        <f t="shared" si="56"/>
        <v>501.80933156559138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636.99999999999977</v>
      </c>
      <c r="O128" s="13">
        <f>N128*VLOOKUP('Données projet'!$B$9,Paramètres!$A$1:$I$89,3,0)*VLOOKUP('Données projet'!$B$9,Paramètres!$A$1:$I$89,5,0)</f>
        <v>356.08299999999991</v>
      </c>
      <c r="P128" s="13">
        <f t="shared" si="87"/>
        <v>82.813805255716545</v>
      </c>
      <c r="Q128" s="20">
        <f t="shared" si="107"/>
        <v>764.41193582037283</v>
      </c>
      <c r="R128" s="59">
        <f t="shared" si="55"/>
        <v>1057.7452691537062</v>
      </c>
      <c r="S128" s="59">
        <f ca="1">AVERAGE(OFFSET($R$3,0,0,'Données projet'!$E$9+1,1))-AVERAGE(OFFSET($H$3,0,0,'Données projet'!$E$9+1,1))</f>
        <v>382.58588458673051</v>
      </c>
      <c r="T128" s="59">
        <f t="shared" si="88"/>
        <v>485.5120768430603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26.975838362295594</v>
      </c>
      <c r="AA128" s="21">
        <f>EXP(-LN(2)/25)*AA127+(1-EXP(-LN(2)/25))/(LN(2)/25)*Calculateur!V128*Calculateur!X128*VLOOKUP('Données projet'!$B$9,Paramètres!$A$1:$I$89,3,0)*0.475*44/12</f>
        <v>1.5749590704966006</v>
      </c>
      <c r="AB128" s="21">
        <f>EXP(-LN(2)/2)*AB127+(1-EXP(-LN(2)/2))/(LN(2)/2)*V128*Y128*VLOOKUP('Données projet'!$B$9,Paramètres!$A$1:$I$89,3,0)*0.475*44/12</f>
        <v>3.0355774900966559E-14</v>
      </c>
      <c r="AC128" s="22">
        <f t="shared" si="57"/>
        <v>28.550797432792226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255.00000000000006</v>
      </c>
      <c r="AJ128" s="13">
        <f>AI128*VLOOKUP('Données projet'!$B$10,Paramètres!$A$1:$I$89,3,0)*VLOOKUP('Données projet'!$B$10,Paramètres!$A$1:$I$89,5,0)</f>
        <v>186.96600000000004</v>
      </c>
      <c r="AK128" s="13">
        <f t="shared" si="89"/>
        <v>46.868551400324648</v>
      </c>
      <c r="AL128" s="20">
        <f t="shared" si="58"/>
        <v>407.26184368889881</v>
      </c>
      <c r="AM128" s="59">
        <f t="shared" si="59"/>
        <v>700.59517702223206</v>
      </c>
      <c r="AN128" s="59">
        <f ca="1">AVERAGE(OFFSET($AM$3,0,0,'Données projet'!$E$10+1,1))-AVERAGE(OFFSET($H$3,0,0,'Données projet'!$E$10+1,1))</f>
        <v>188.36883552879721</v>
      </c>
      <c r="AO128" s="59">
        <f t="shared" si="90"/>
        <v>152.51465338737705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0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1">
        <f t="shared" si="86"/>
        <v>29.810921169420254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67">
        <f t="shared" si="56"/>
        <v>503.72229437007394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636.99999999999977</v>
      </c>
      <c r="O129" s="13">
        <f>N129*VLOOKUP('Données projet'!$B$9,Paramètres!$A$1:$I$89,3,0)*VLOOKUP('Données projet'!$B$9,Paramètres!$A$1:$I$89,5,0)</f>
        <v>356.08299999999991</v>
      </c>
      <c r="P129" s="13">
        <f t="shared" si="87"/>
        <v>82.813805255716545</v>
      </c>
      <c r="Q129" s="20">
        <f t="shared" si="107"/>
        <v>764.41193582037283</v>
      </c>
      <c r="R129" s="59">
        <f t="shared" si="55"/>
        <v>1057.7452691537062</v>
      </c>
      <c r="S129" s="59">
        <f ca="1">AVERAGE(OFFSET($R$3,0,0,'Données projet'!$E$9+1,1))-AVERAGE(OFFSET($H$3,0,0,'Données projet'!$E$9+1,1))</f>
        <v>382.58588458673051</v>
      </c>
      <c r="T129" s="59">
        <f t="shared" si="88"/>
        <v>485.5120768430603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26.446858625647717</v>
      </c>
      <c r="AA129" s="21">
        <f>EXP(-LN(2)/25)*AA128+(1-EXP(-LN(2)/25))/(LN(2)/25)*Calculateur!V129*Calculateur!X129*VLOOKUP('Données projet'!$B$9,Paramètres!$A$1:$I$89,3,0)*0.475*44/12</f>
        <v>1.5318917318903731</v>
      </c>
      <c r="AB129" s="21">
        <f>EXP(-LN(2)/2)*AB128+(1-EXP(-LN(2)/2))/(LN(2)/2)*V129*Y129*VLOOKUP('Données projet'!$B$9,Paramètres!$A$1:$I$89,3,0)*0.475*44/12</f>
        <v>2.1464774280645853E-14</v>
      </c>
      <c r="AC129" s="22">
        <f t="shared" si="57"/>
        <v>27.978750357538111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255.00000000000006</v>
      </c>
      <c r="AJ129" s="13">
        <f>AI129*VLOOKUP('Données projet'!$B$10,Paramètres!$A$1:$I$89,3,0)*VLOOKUP('Données projet'!$B$10,Paramètres!$A$1:$I$89,5,0)</f>
        <v>186.96600000000004</v>
      </c>
      <c r="AK129" s="13">
        <f t="shared" si="89"/>
        <v>46.868551400324648</v>
      </c>
      <c r="AL129" s="20">
        <f t="shared" si="58"/>
        <v>407.26184368889881</v>
      </c>
      <c r="AM129" s="59">
        <f t="shared" si="59"/>
        <v>700.59517702223206</v>
      </c>
      <c r="AN129" s="59">
        <f ca="1">AVERAGE(OFFSET($AM$3,0,0,'Données projet'!$E$10+1,1))-AVERAGE(OFFSET($H$3,0,0,'Données projet'!$E$10+1,1))</f>
        <v>188.36883552879721</v>
      </c>
      <c r="AO129" s="59">
        <f t="shared" si="90"/>
        <v>152.51465338737705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0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1">
        <f t="shared" si="86"/>
        <v>30.019879889489037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67">
        <f t="shared" si="56"/>
        <v>505.63492080752712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636.99999999999977</v>
      </c>
      <c r="O130" s="13">
        <f>N130*VLOOKUP('Données projet'!$B$9,Paramètres!$A$1:$I$89,3,0)*VLOOKUP('Données projet'!$B$9,Paramètres!$A$1:$I$89,5,0)</f>
        <v>356.08299999999991</v>
      </c>
      <c r="P130" s="13">
        <f t="shared" si="87"/>
        <v>82.813805255716545</v>
      </c>
      <c r="Q130" s="20">
        <f t="shared" si="107"/>
        <v>764.41193582037283</v>
      </c>
      <c r="R130" s="59">
        <f t="shared" si="55"/>
        <v>1057.7452691537062</v>
      </c>
      <c r="S130" s="59">
        <f ca="1">AVERAGE(OFFSET($R$3,0,0,'Données projet'!$E$9+1,1))-AVERAGE(OFFSET($H$3,0,0,'Données projet'!$E$9+1,1))</f>
        <v>382.58588458673051</v>
      </c>
      <c r="T130" s="59">
        <f t="shared" si="88"/>
        <v>485.5120768430603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25.928251858989725</v>
      </c>
      <c r="AA130" s="21">
        <f>EXP(-LN(2)/25)*AA129+(1-EXP(-LN(2)/25))/(LN(2)/25)*Calculateur!V130*Calculateur!X130*VLOOKUP('Données projet'!$B$9,Paramètres!$A$1:$I$89,3,0)*0.475*44/12</f>
        <v>1.4900020719231459</v>
      </c>
      <c r="AB130" s="21">
        <f>EXP(-LN(2)/2)*AB129+(1-EXP(-LN(2)/2))/(LN(2)/2)*V130*Y130*VLOOKUP('Données projet'!$B$9,Paramètres!$A$1:$I$89,3,0)*0.475*44/12</f>
        <v>1.517788745048328E-14</v>
      </c>
      <c r="AC130" s="22">
        <f t="shared" si="57"/>
        <v>27.418253930912886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255.00000000000006</v>
      </c>
      <c r="AJ130" s="13">
        <f>AI130*VLOOKUP('Données projet'!$B$10,Paramètres!$A$1:$I$89,3,0)*VLOOKUP('Données projet'!$B$10,Paramètres!$A$1:$I$89,5,0)</f>
        <v>186.96600000000004</v>
      </c>
      <c r="AK130" s="13">
        <f t="shared" si="89"/>
        <v>46.868551400324648</v>
      </c>
      <c r="AL130" s="20">
        <f t="shared" si="58"/>
        <v>407.26184368889881</v>
      </c>
      <c r="AM130" s="59">
        <f t="shared" si="59"/>
        <v>700.59517702223206</v>
      </c>
      <c r="AN130" s="59">
        <f ca="1">AVERAGE(OFFSET($AM$3,0,0,'Données projet'!$E$10+1,1))-AVERAGE(OFFSET($H$3,0,0,'Données projet'!$E$10+1,1))</f>
        <v>188.36883552879721</v>
      </c>
      <c r="AO130" s="59">
        <f t="shared" si="90"/>
        <v>152.51465338737705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0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1">
        <f t="shared" si="86"/>
        <v>30.228647177134249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67">
        <f t="shared" si="56"/>
        <v>507.5472138335092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636.99999999999977</v>
      </c>
      <c r="O131" s="13">
        <f>N131*VLOOKUP('Données projet'!$B$9,Paramètres!$A$1:$I$89,3,0)*VLOOKUP('Données projet'!$B$9,Paramètres!$A$1:$I$89,5,0)</f>
        <v>356.08299999999991</v>
      </c>
      <c r="P131" s="13">
        <f t="shared" si="87"/>
        <v>82.813805255716545</v>
      </c>
      <c r="Q131" s="20">
        <f t="shared" ref="Q131:Q153" si="108">(O131+P131)*0.475*44/12</f>
        <v>764.41193582037283</v>
      </c>
      <c r="R131" s="59">
        <f t="shared" ref="R131:R194" si="109">Q131+(I131+J131)*44/12</f>
        <v>1057.7452691537062</v>
      </c>
      <c r="S131" s="59">
        <f ca="1">AVERAGE(OFFSET($R$3,0,0,'Données projet'!$E$9+1,1))-AVERAGE(OFFSET($H$3,0,0,'Données projet'!$E$9+1,1))</f>
        <v>382.58588458673051</v>
      </c>
      <c r="T131" s="59">
        <f t="shared" si="88"/>
        <v>485.5120768430603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25.419814654707</v>
      </c>
      <c r="AA131" s="21">
        <f>EXP(-LN(2)/25)*AA130+(1-EXP(-LN(2)/25))/(LN(2)/25)*Calculateur!V131*Calculateur!X131*VLOOKUP('Données projet'!$B$9,Paramètres!$A$1:$I$89,3,0)*0.475*44/12</f>
        <v>1.4492578869106041</v>
      </c>
      <c r="AB131" s="21">
        <f>EXP(-LN(2)/2)*AB130+(1-EXP(-LN(2)/2))/(LN(2)/2)*V131*Y131*VLOOKUP('Données projet'!$B$9,Paramètres!$A$1:$I$89,3,0)*0.475*44/12</f>
        <v>1.0732387140322926E-14</v>
      </c>
      <c r="AC131" s="22">
        <f t="shared" si="57"/>
        <v>26.869072541617616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255.00000000000006</v>
      </c>
      <c r="AJ131" s="13">
        <f>AI131*VLOOKUP('Données projet'!$B$10,Paramètres!$A$1:$I$89,3,0)*VLOOKUP('Données projet'!$B$10,Paramètres!$A$1:$I$89,5,0)</f>
        <v>186.96600000000004</v>
      </c>
      <c r="AK131" s="13">
        <f t="shared" si="89"/>
        <v>46.868551400324648</v>
      </c>
      <c r="AL131" s="20">
        <f t="shared" si="58"/>
        <v>407.26184368889881</v>
      </c>
      <c r="AM131" s="59">
        <f t="shared" si="59"/>
        <v>700.59517702223206</v>
      </c>
      <c r="AN131" s="59">
        <f ca="1">AVERAGE(OFFSET($AM$3,0,0,'Données projet'!$E$10+1,1))-AVERAGE(OFFSET($H$3,0,0,'Données projet'!$E$10+1,1))</f>
        <v>188.36883552879721</v>
      </c>
      <c r="AO131" s="59">
        <f t="shared" si="90"/>
        <v>152.51465338737705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0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1">
        <f t="shared" si="86"/>
        <v>30.437224701280673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67">
        <f t="shared" ref="H132:H195" si="110">(B132+E132+F132)*44/12+(C132+D132)*0.475*44/12</f>
        <v>509.45917635473086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636.99999999999977</v>
      </c>
      <c r="O132" s="13">
        <f>N132*VLOOKUP('Données projet'!$B$9,Paramètres!$A$1:$I$89,3,0)*VLOOKUP('Données projet'!$B$9,Paramètres!$A$1:$I$89,5,0)</f>
        <v>356.08299999999991</v>
      </c>
      <c r="P132" s="13">
        <f t="shared" si="87"/>
        <v>82.813805255716545</v>
      </c>
      <c r="Q132" s="20">
        <f t="shared" si="108"/>
        <v>764.41193582037283</v>
      </c>
      <c r="R132" s="59">
        <f t="shared" si="109"/>
        <v>1057.7452691537062</v>
      </c>
      <c r="S132" s="59">
        <f ca="1">AVERAGE(OFFSET($R$3,0,0,'Données projet'!$E$9+1,1))-AVERAGE(OFFSET($H$3,0,0,'Données projet'!$E$9+1,1))</f>
        <v>382.58588458673051</v>
      </c>
      <c r="T132" s="59">
        <f t="shared" si="88"/>
        <v>485.5120768430603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24.921347593884189</v>
      </c>
      <c r="AA132" s="21">
        <f>EXP(-LN(2)/25)*AA131+(1-EXP(-LN(2)/25))/(LN(2)/25)*Calculateur!V132*Calculateur!X132*VLOOKUP('Données projet'!$B$9,Paramètres!$A$1:$I$89,3,0)*0.475*44/12</f>
        <v>1.4096278537798737</v>
      </c>
      <c r="AB132" s="21">
        <f>EXP(-LN(2)/2)*AB131+(1-EXP(-LN(2)/2))/(LN(2)/2)*V132*Y132*VLOOKUP('Données projet'!$B$9,Paramètres!$A$1:$I$89,3,0)*0.475*44/12</f>
        <v>7.5889437252416399E-15</v>
      </c>
      <c r="AC132" s="22">
        <f t="shared" ref="AC132:AC153" si="111">SUM(Z132:AB132)</f>
        <v>26.33097544766407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255.00000000000006</v>
      </c>
      <c r="AJ132" s="13">
        <f>AI132*VLOOKUP('Données projet'!$B$10,Paramètres!$A$1:$I$89,3,0)*VLOOKUP('Données projet'!$B$10,Paramètres!$A$1:$I$89,5,0)</f>
        <v>186.96600000000004</v>
      </c>
      <c r="AK132" s="13">
        <f t="shared" si="89"/>
        <v>46.868551400324648</v>
      </c>
      <c r="AL132" s="20">
        <f t="shared" ref="AL132:AL153" si="112">(AJ132+AK132)*0.475*44/12</f>
        <v>407.26184368889881</v>
      </c>
      <c r="AM132" s="59">
        <f t="shared" ref="AM132:AM195" si="113">AL132+(AD132+AE132)*44/12</f>
        <v>700.59517702223206</v>
      </c>
      <c r="AN132" s="59">
        <f ca="1">AVERAGE(OFFSET($AM$3,0,0,'Données projet'!$E$10+1,1))-AVERAGE(OFFSET($H$3,0,0,'Données projet'!$E$10+1,1))</f>
        <v>188.36883552879721</v>
      </c>
      <c r="AO132" s="59">
        <f t="shared" si="90"/>
        <v>152.51465338737705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0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1">
        <f t="shared" ref="D133:D196" si="140">IFERROR(EXP(-1.0587+0.8836*LN(C133)+0.284),0)</f>
        <v>30.645614103483904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67">
        <f t="shared" si="110"/>
        <v>511.37081123023484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636.99999999999977</v>
      </c>
      <c r="O133" s="13">
        <f>N133*VLOOKUP('Données projet'!$B$9,Paramètres!$A$1:$I$89,3,0)*VLOOKUP('Données projet'!$B$9,Paramètres!$A$1:$I$89,5,0)</f>
        <v>356.08299999999991</v>
      </c>
      <c r="P133" s="13">
        <f t="shared" ref="P133:P196" si="141">EXP(-1.0587+0.8836*LN(O133)+0.284)</f>
        <v>82.813805255716545</v>
      </c>
      <c r="Q133" s="20">
        <f t="shared" si="108"/>
        <v>764.41193582037283</v>
      </c>
      <c r="R133" s="59">
        <f t="shared" si="109"/>
        <v>1057.7452691537062</v>
      </c>
      <c r="S133" s="59">
        <f ca="1">AVERAGE(OFFSET($R$3,0,0,'Données projet'!$E$9+1,1))-AVERAGE(OFFSET($H$3,0,0,'Données projet'!$E$9+1,1))</f>
        <v>382.58588458673051</v>
      </c>
      <c r="T133" s="59">
        <f t="shared" ref="T133:T196" si="142">$T$3</f>
        <v>485.5120768430603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24.432655168089227</v>
      </c>
      <c r="AA133" s="21">
        <f>EXP(-LN(2)/25)*AA132+(1-EXP(-LN(2)/25))/(LN(2)/25)*Calculateur!V133*Calculateur!X133*VLOOKUP('Données projet'!$B$9,Paramètres!$A$1:$I$89,3,0)*0.475*44/12</f>
        <v>1.3710815059891559</v>
      </c>
      <c r="AB133" s="21">
        <f>EXP(-LN(2)/2)*AB132+(1-EXP(-LN(2)/2))/(LN(2)/2)*V133*Y133*VLOOKUP('Données projet'!$B$9,Paramètres!$A$1:$I$89,3,0)*0.475*44/12</f>
        <v>5.3661935701614631E-15</v>
      </c>
      <c r="AC133" s="22">
        <f t="shared" si="111"/>
        <v>25.80373667407839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255.00000000000006</v>
      </c>
      <c r="AJ133" s="13">
        <f>AI133*VLOOKUP('Données projet'!$B$10,Paramètres!$A$1:$I$89,3,0)*VLOOKUP('Données projet'!$B$10,Paramètres!$A$1:$I$89,5,0)</f>
        <v>186.96600000000004</v>
      </c>
      <c r="AK133" s="13">
        <f t="shared" ref="AK133:AK153" si="143">EXP(-1.0587+0.8836*LN(AJ133)+0.284)</f>
        <v>46.868551400324648</v>
      </c>
      <c r="AL133" s="20">
        <f t="shared" si="112"/>
        <v>407.26184368889881</v>
      </c>
      <c r="AM133" s="59">
        <f t="shared" si="113"/>
        <v>700.59517702223206</v>
      </c>
      <c r="AN133" s="59">
        <f ca="1">AVERAGE(OFFSET($AM$3,0,0,'Données projet'!$E$10+1,1))-AVERAGE(OFFSET($H$3,0,0,'Données projet'!$E$10+1,1))</f>
        <v>188.36883552879721</v>
      </c>
      <c r="AO133" s="59">
        <f t="shared" ref="AO133:AO196" si="144">$AO$3</f>
        <v>152.51465338737705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0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1">
        <f t="shared" si="140"/>
        <v>30.853816998586289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67">
        <f t="shared" si="110"/>
        <v>513.28212127253823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636.99999999999977</v>
      </c>
      <c r="O134" s="13">
        <f>N134*VLOOKUP('Données projet'!$B$9,Paramètres!$A$1:$I$89,3,0)*VLOOKUP('Données projet'!$B$9,Paramètres!$A$1:$I$89,5,0)</f>
        <v>356.08299999999991</v>
      </c>
      <c r="P134" s="13">
        <f t="shared" si="141"/>
        <v>82.813805255716545</v>
      </c>
      <c r="Q134" s="20">
        <f t="shared" si="108"/>
        <v>764.41193582037283</v>
      </c>
      <c r="R134" s="59">
        <f t="shared" si="109"/>
        <v>1057.7452691537062</v>
      </c>
      <c r="S134" s="59">
        <f ca="1">AVERAGE(OFFSET($R$3,0,0,'Données projet'!$E$9+1,1))-AVERAGE(OFFSET($H$3,0,0,'Données projet'!$E$9+1,1))</f>
        <v>382.58588458673051</v>
      </c>
      <c r="T134" s="59">
        <f t="shared" si="142"/>
        <v>485.5120768430603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23.953545702691155</v>
      </c>
      <c r="AA134" s="21">
        <f>EXP(-LN(2)/25)*AA133+(1-EXP(-LN(2)/25))/(LN(2)/25)*Calculateur!V134*Calculateur!X134*VLOOKUP('Données projet'!$B$9,Paramètres!$A$1:$I$89,3,0)*0.475*44/12</f>
        <v>1.3335892101058398</v>
      </c>
      <c r="AB134" s="21">
        <f>EXP(-LN(2)/2)*AB133+(1-EXP(-LN(2)/2))/(LN(2)/2)*V134*Y134*VLOOKUP('Données projet'!$B$9,Paramètres!$A$1:$I$89,3,0)*0.475*44/12</f>
        <v>3.7944718626208199E-15</v>
      </c>
      <c r="AC134" s="22">
        <f t="shared" si="111"/>
        <v>25.287134912796997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255.00000000000006</v>
      </c>
      <c r="AJ134" s="13">
        <f>AI134*VLOOKUP('Données projet'!$B$10,Paramètres!$A$1:$I$89,3,0)*VLOOKUP('Données projet'!$B$10,Paramètres!$A$1:$I$89,5,0)</f>
        <v>186.96600000000004</v>
      </c>
      <c r="AK134" s="13">
        <f t="shared" si="143"/>
        <v>46.868551400324648</v>
      </c>
      <c r="AL134" s="20">
        <f t="shared" si="112"/>
        <v>407.26184368889881</v>
      </c>
      <c r="AM134" s="59">
        <f t="shared" si="113"/>
        <v>700.59517702223206</v>
      </c>
      <c r="AN134" s="59">
        <f ca="1">AVERAGE(OFFSET($AM$3,0,0,'Données projet'!$E$10+1,1))-AVERAGE(OFFSET($H$3,0,0,'Données projet'!$E$10+1,1))</f>
        <v>188.36883552879721</v>
      </c>
      <c r="AO134" s="59">
        <f t="shared" si="144"/>
        <v>152.51465338737705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0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1">
        <f t="shared" si="140"/>
        <v>31.061834975351932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67">
        <f t="shared" si="110"/>
        <v>515.19310924873832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636.99999999999977</v>
      </c>
      <c r="O135" s="13">
        <f>N135*VLOOKUP('Données projet'!$B$9,Paramètres!$A$1:$I$89,3,0)*VLOOKUP('Données projet'!$B$9,Paramètres!$A$1:$I$89,5,0)</f>
        <v>356.08299999999991</v>
      </c>
      <c r="P135" s="13">
        <f t="shared" si="141"/>
        <v>82.813805255716545</v>
      </c>
      <c r="Q135" s="20">
        <f t="shared" si="108"/>
        <v>764.41193582037283</v>
      </c>
      <c r="R135" s="59">
        <f t="shared" si="109"/>
        <v>1057.7452691537062</v>
      </c>
      <c r="S135" s="59">
        <f ca="1">AVERAGE(OFFSET($R$3,0,0,'Données projet'!$E$9+1,1))-AVERAGE(OFFSET($H$3,0,0,'Données projet'!$E$9+1,1))</f>
        <v>382.58588458673051</v>
      </c>
      <c r="T135" s="59">
        <f t="shared" si="142"/>
        <v>485.5120768430603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23.483831281681621</v>
      </c>
      <c r="AA135" s="21">
        <f>EXP(-LN(2)/25)*AA134+(1-EXP(-LN(2)/25))/(LN(2)/25)*Calculateur!V135*Calculateur!X135*VLOOKUP('Données projet'!$B$9,Paramètres!$A$1:$I$89,3,0)*0.475*44/12</f>
        <v>1.297122143025087</v>
      </c>
      <c r="AB135" s="21">
        <f>EXP(-LN(2)/2)*AB134+(1-EXP(-LN(2)/2))/(LN(2)/2)*V135*Y135*VLOOKUP('Données projet'!$B$9,Paramètres!$A$1:$I$89,3,0)*0.475*44/12</f>
        <v>2.6830967850807316E-15</v>
      </c>
      <c r="AC135" s="22">
        <f t="shared" si="111"/>
        <v>24.780953424706713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255.00000000000006</v>
      </c>
      <c r="AJ135" s="13">
        <f>AI135*VLOOKUP('Données projet'!$B$10,Paramètres!$A$1:$I$89,3,0)*VLOOKUP('Données projet'!$B$10,Paramètres!$A$1:$I$89,5,0)</f>
        <v>186.96600000000004</v>
      </c>
      <c r="AK135" s="13">
        <f t="shared" si="143"/>
        <v>46.868551400324648</v>
      </c>
      <c r="AL135" s="20">
        <f t="shared" si="112"/>
        <v>407.26184368889881</v>
      </c>
      <c r="AM135" s="59">
        <f t="shared" si="113"/>
        <v>700.59517702223206</v>
      </c>
      <c r="AN135" s="59">
        <f ca="1">AVERAGE(OFFSET($AM$3,0,0,'Données projet'!$E$10+1,1))-AVERAGE(OFFSET($H$3,0,0,'Données projet'!$E$10+1,1))</f>
        <v>188.36883552879721</v>
      </c>
      <c r="AO135" s="59">
        <f t="shared" si="144"/>
        <v>152.51465338737705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0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1">
        <f t="shared" si="140"/>
        <v>31.26966959708238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67">
        <f t="shared" si="110"/>
        <v>517.10377788158553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636.99999999999977</v>
      </c>
      <c r="O136" s="13">
        <f>N136*VLOOKUP('Données projet'!$B$9,Paramètres!$A$1:$I$89,3,0)*VLOOKUP('Données projet'!$B$9,Paramètres!$A$1:$I$89,5,0)</f>
        <v>356.08299999999991</v>
      </c>
      <c r="P136" s="13">
        <f t="shared" si="141"/>
        <v>82.813805255716545</v>
      </c>
      <c r="Q136" s="20">
        <f t="shared" si="108"/>
        <v>764.41193582037283</v>
      </c>
      <c r="R136" s="59">
        <f t="shared" si="109"/>
        <v>1057.7452691537062</v>
      </c>
      <c r="S136" s="59">
        <f ca="1">AVERAGE(OFFSET($R$3,0,0,'Données projet'!$E$9+1,1))-AVERAGE(OFFSET($H$3,0,0,'Données projet'!$E$9+1,1))</f>
        <v>382.58588458673051</v>
      </c>
      <c r="T136" s="59">
        <f t="shared" si="142"/>
        <v>485.5120768430603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23.023327673970577</v>
      </c>
      <c r="AA136" s="21">
        <f>EXP(-LN(2)/25)*AA135+(1-EXP(-LN(2)/25))/(LN(2)/25)*Calculateur!V136*Calculateur!X136*VLOOKUP('Données projet'!$B$9,Paramètres!$A$1:$I$89,3,0)*0.475*44/12</f>
        <v>1.261652269811377</v>
      </c>
      <c r="AB136" s="21">
        <f>EXP(-LN(2)/2)*AB135+(1-EXP(-LN(2)/2))/(LN(2)/2)*V136*Y136*VLOOKUP('Données projet'!$B$9,Paramètres!$A$1:$I$89,3,0)*0.475*44/12</f>
        <v>1.89723593131041E-15</v>
      </c>
      <c r="AC136" s="22">
        <f t="shared" si="111"/>
        <v>24.284979943781959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255.00000000000006</v>
      </c>
      <c r="AJ136" s="13">
        <f>AI136*VLOOKUP('Données projet'!$B$10,Paramètres!$A$1:$I$89,3,0)*VLOOKUP('Données projet'!$B$10,Paramètres!$A$1:$I$89,5,0)</f>
        <v>186.96600000000004</v>
      </c>
      <c r="AK136" s="13">
        <f t="shared" si="143"/>
        <v>46.868551400324648</v>
      </c>
      <c r="AL136" s="20">
        <f t="shared" si="112"/>
        <v>407.26184368889881</v>
      </c>
      <c r="AM136" s="59">
        <f t="shared" si="113"/>
        <v>700.59517702223206</v>
      </c>
      <c r="AN136" s="59">
        <f ca="1">AVERAGE(OFFSET($AM$3,0,0,'Données projet'!$E$10+1,1))-AVERAGE(OFFSET($H$3,0,0,'Données projet'!$E$10+1,1))</f>
        <v>188.36883552879721</v>
      </c>
      <c r="AO136" s="59">
        <f t="shared" si="144"/>
        <v>152.51465338737705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0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1">
        <f t="shared" si="140"/>
        <v>31.477322402212781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67">
        <f t="shared" si="110"/>
        <v>519.01412985052093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636.99999999999977</v>
      </c>
      <c r="O137" s="13">
        <f>N137*VLOOKUP('Données projet'!$B$9,Paramètres!$A$1:$I$89,3,0)*VLOOKUP('Données projet'!$B$9,Paramètres!$A$1:$I$89,5,0)</f>
        <v>356.08299999999991</v>
      </c>
      <c r="P137" s="13">
        <f t="shared" si="141"/>
        <v>82.813805255716545</v>
      </c>
      <c r="Q137" s="20">
        <f t="shared" si="108"/>
        <v>764.41193582037283</v>
      </c>
      <c r="R137" s="59">
        <f t="shared" si="109"/>
        <v>1057.7452691537062</v>
      </c>
      <c r="S137" s="59">
        <f ca="1">AVERAGE(OFFSET($R$3,0,0,'Données projet'!$E$9+1,1))-AVERAGE(OFFSET($H$3,0,0,'Données projet'!$E$9+1,1))</f>
        <v>382.58588458673051</v>
      </c>
      <c r="T137" s="59">
        <f t="shared" si="142"/>
        <v>485.5120768430603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22.571854261127278</v>
      </c>
      <c r="AA137" s="21">
        <f>EXP(-LN(2)/25)*AA136+(1-EXP(-LN(2)/25))/(LN(2)/25)*Calculateur!V137*Calculateur!X137*VLOOKUP('Données projet'!$B$9,Paramètres!$A$1:$I$89,3,0)*0.475*44/12</f>
        <v>1.2271523221459757</v>
      </c>
      <c r="AB137" s="21">
        <f>EXP(-LN(2)/2)*AB136+(1-EXP(-LN(2)/2))/(LN(2)/2)*V137*Y137*VLOOKUP('Données projet'!$B$9,Paramètres!$A$1:$I$89,3,0)*0.475*44/12</f>
        <v>1.3415483925403658E-15</v>
      </c>
      <c r="AC137" s="22">
        <f t="shared" si="111"/>
        <v>23.799006583273254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255.00000000000006</v>
      </c>
      <c r="AJ137" s="13">
        <f>AI137*VLOOKUP('Données projet'!$B$10,Paramètres!$A$1:$I$89,3,0)*VLOOKUP('Données projet'!$B$10,Paramètres!$A$1:$I$89,5,0)</f>
        <v>186.96600000000004</v>
      </c>
      <c r="AK137" s="13">
        <f t="shared" si="143"/>
        <v>46.868551400324648</v>
      </c>
      <c r="AL137" s="20">
        <f t="shared" si="112"/>
        <v>407.26184368889881</v>
      </c>
      <c r="AM137" s="59">
        <f t="shared" si="113"/>
        <v>700.59517702223206</v>
      </c>
      <c r="AN137" s="59">
        <f ca="1">AVERAGE(OFFSET($AM$3,0,0,'Données projet'!$E$10+1,1))-AVERAGE(OFFSET($H$3,0,0,'Données projet'!$E$10+1,1))</f>
        <v>188.36883552879721</v>
      </c>
      <c r="AO137" s="59">
        <f t="shared" si="144"/>
        <v>152.51465338737705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0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1">
        <f t="shared" si="140"/>
        <v>31.68479490489014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67">
        <f t="shared" si="110"/>
        <v>520.9241677926841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636.99999999999977</v>
      </c>
      <c r="O138" s="13">
        <f>N138*VLOOKUP('Données projet'!$B$9,Paramètres!$A$1:$I$89,3,0)*VLOOKUP('Données projet'!$B$9,Paramètres!$A$1:$I$89,5,0)</f>
        <v>356.08299999999991</v>
      </c>
      <c r="P138" s="13">
        <f t="shared" si="141"/>
        <v>82.813805255716545</v>
      </c>
      <c r="Q138" s="20">
        <f t="shared" si="108"/>
        <v>764.41193582037283</v>
      </c>
      <c r="R138" s="59">
        <f t="shared" si="109"/>
        <v>1057.7452691537062</v>
      </c>
      <c r="S138" s="59">
        <f ca="1">AVERAGE(OFFSET($R$3,0,0,'Données projet'!$E$9+1,1))-AVERAGE(OFFSET($H$3,0,0,'Données projet'!$E$9+1,1))</f>
        <v>382.58588458673051</v>
      </c>
      <c r="T138" s="59">
        <f t="shared" si="142"/>
        <v>485.5120768430603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22.129233966538248</v>
      </c>
      <c r="AA138" s="21">
        <f>EXP(-LN(2)/25)*AA137+(1-EXP(-LN(2)/25))/(LN(2)/25)*Calculateur!V138*Calculateur!X138*VLOOKUP('Données projet'!$B$9,Paramètres!$A$1:$I$89,3,0)*0.475*44/12</f>
        <v>1.193595777363758</v>
      </c>
      <c r="AB138" s="21">
        <f>EXP(-LN(2)/2)*AB137+(1-EXP(-LN(2)/2))/(LN(2)/2)*V138*Y138*VLOOKUP('Données projet'!$B$9,Paramètres!$A$1:$I$89,3,0)*0.475*44/12</f>
        <v>9.4861796565520498E-16</v>
      </c>
      <c r="AC138" s="22">
        <f t="shared" si="111"/>
        <v>23.322829743902005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255.00000000000006</v>
      </c>
      <c r="AJ138" s="13">
        <f>AI138*VLOOKUP('Données projet'!$B$10,Paramètres!$A$1:$I$89,3,0)*VLOOKUP('Données projet'!$B$10,Paramètres!$A$1:$I$89,5,0)</f>
        <v>186.96600000000004</v>
      </c>
      <c r="AK138" s="13">
        <f t="shared" si="143"/>
        <v>46.868551400324648</v>
      </c>
      <c r="AL138" s="20">
        <f t="shared" si="112"/>
        <v>407.26184368889881</v>
      </c>
      <c r="AM138" s="59">
        <f t="shared" si="113"/>
        <v>700.59517702223206</v>
      </c>
      <c r="AN138" s="59">
        <f ca="1">AVERAGE(OFFSET($AM$3,0,0,'Données projet'!$E$10+1,1))-AVERAGE(OFFSET($H$3,0,0,'Données projet'!$E$10+1,1))</f>
        <v>188.36883552879721</v>
      </c>
      <c r="AO138" s="59">
        <f t="shared" si="144"/>
        <v>152.51465338737705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0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1">
        <f t="shared" si="140"/>
        <v>31.892088595533707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67">
        <f t="shared" si="110"/>
        <v>522.83389430388831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636.99999999999977</v>
      </c>
      <c r="O139" s="13">
        <f>N139*VLOOKUP('Données projet'!$B$9,Paramètres!$A$1:$I$89,3,0)*VLOOKUP('Données projet'!$B$9,Paramètres!$A$1:$I$89,5,0)</f>
        <v>356.08299999999991</v>
      </c>
      <c r="P139" s="13">
        <f t="shared" si="141"/>
        <v>82.813805255716545</v>
      </c>
      <c r="Q139" s="20">
        <f t="shared" si="108"/>
        <v>764.41193582037283</v>
      </c>
      <c r="R139" s="59">
        <f t="shared" si="109"/>
        <v>1057.7452691537062</v>
      </c>
      <c r="S139" s="59">
        <f ca="1">AVERAGE(OFFSET($R$3,0,0,'Données projet'!$E$9+1,1))-AVERAGE(OFFSET($H$3,0,0,'Données projet'!$E$9+1,1))</f>
        <v>382.58588458673051</v>
      </c>
      <c r="T139" s="59">
        <f t="shared" si="142"/>
        <v>485.5120768430603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21.695293185954384</v>
      </c>
      <c r="AA139" s="21">
        <f>EXP(-LN(2)/25)*AA138+(1-EXP(-LN(2)/25))/(LN(2)/25)*Calculateur!V139*Calculateur!X139*VLOOKUP('Données projet'!$B$9,Paramètres!$A$1:$I$89,3,0)*0.475*44/12</f>
        <v>1.160956838063272</v>
      </c>
      <c r="AB139" s="21">
        <f>EXP(-LN(2)/2)*AB138+(1-EXP(-LN(2)/2))/(LN(2)/2)*V139*Y139*VLOOKUP('Données projet'!$B$9,Paramètres!$A$1:$I$89,3,0)*0.475*44/12</f>
        <v>6.7077419627018289E-16</v>
      </c>
      <c r="AC139" s="22">
        <f t="shared" si="111"/>
        <v>22.856250024017655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255.00000000000006</v>
      </c>
      <c r="AJ139" s="13">
        <f>AI139*VLOOKUP('Données projet'!$B$10,Paramètres!$A$1:$I$89,3,0)*VLOOKUP('Données projet'!$B$10,Paramètres!$A$1:$I$89,5,0)</f>
        <v>186.96600000000004</v>
      </c>
      <c r="AK139" s="13">
        <f t="shared" si="143"/>
        <v>46.868551400324648</v>
      </c>
      <c r="AL139" s="20">
        <f t="shared" si="112"/>
        <v>407.26184368889881</v>
      </c>
      <c r="AM139" s="59">
        <f t="shared" si="113"/>
        <v>700.59517702223206</v>
      </c>
      <c r="AN139" s="59">
        <f ca="1">AVERAGE(OFFSET($AM$3,0,0,'Données projet'!$E$10+1,1))-AVERAGE(OFFSET($H$3,0,0,'Données projet'!$E$10+1,1))</f>
        <v>188.36883552879721</v>
      </c>
      <c r="AO139" s="59">
        <f t="shared" si="144"/>
        <v>152.51465338737705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0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1">
        <f t="shared" si="140"/>
        <v>32.09920494137846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67">
        <f t="shared" si="110"/>
        <v>524.74331193956789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636.99999999999977</v>
      </c>
      <c r="O140" s="13">
        <f>N140*VLOOKUP('Données projet'!$B$9,Paramètres!$A$1:$I$89,3,0)*VLOOKUP('Données projet'!$B$9,Paramètres!$A$1:$I$89,5,0)</f>
        <v>356.08299999999991</v>
      </c>
      <c r="P140" s="13">
        <f t="shared" si="141"/>
        <v>82.813805255716545</v>
      </c>
      <c r="Q140" s="20">
        <f t="shared" si="108"/>
        <v>764.41193582037283</v>
      </c>
      <c r="R140" s="59">
        <f t="shared" si="109"/>
        <v>1057.7452691537062</v>
      </c>
      <c r="S140" s="59">
        <f ca="1">AVERAGE(OFFSET($R$3,0,0,'Données projet'!$E$9+1,1))-AVERAGE(OFFSET($H$3,0,0,'Données projet'!$E$9+1,1))</f>
        <v>382.58588458673051</v>
      </c>
      <c r="T140" s="59">
        <f t="shared" si="142"/>
        <v>485.5120768430603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21.26986171940003</v>
      </c>
      <c r="AA140" s="21">
        <f>EXP(-LN(2)/25)*AA139+(1-EXP(-LN(2)/25))/(LN(2)/25)*Calculateur!V140*Calculateur!X140*VLOOKUP('Données projet'!$B$9,Paramètres!$A$1:$I$89,3,0)*0.475*44/12</f>
        <v>1.1292104122743651</v>
      </c>
      <c r="AB140" s="21">
        <f>EXP(-LN(2)/2)*AB139+(1-EXP(-LN(2)/2))/(LN(2)/2)*V140*Y140*VLOOKUP('Données projet'!$B$9,Paramètres!$A$1:$I$89,3,0)*0.475*44/12</f>
        <v>4.7430898282760249E-16</v>
      </c>
      <c r="AC140" s="22">
        <f t="shared" si="111"/>
        <v>22.399072131674394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255.00000000000006</v>
      </c>
      <c r="AJ140" s="13">
        <f>AI140*VLOOKUP('Données projet'!$B$10,Paramètres!$A$1:$I$89,3,0)*VLOOKUP('Données projet'!$B$10,Paramètres!$A$1:$I$89,5,0)</f>
        <v>186.96600000000004</v>
      </c>
      <c r="AK140" s="13">
        <f t="shared" si="143"/>
        <v>46.868551400324648</v>
      </c>
      <c r="AL140" s="20">
        <f t="shared" si="112"/>
        <v>407.26184368889881</v>
      </c>
      <c r="AM140" s="59">
        <f t="shared" si="113"/>
        <v>700.59517702223206</v>
      </c>
      <c r="AN140" s="59">
        <f ca="1">AVERAGE(OFFSET($AM$3,0,0,'Données projet'!$E$10+1,1))-AVERAGE(OFFSET($H$3,0,0,'Données projet'!$E$10+1,1))</f>
        <v>188.36883552879721</v>
      </c>
      <c r="AO140" s="59">
        <f t="shared" si="144"/>
        <v>152.51465338737705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0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1">
        <f t="shared" si="140"/>
        <v>32.306145387002346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67">
        <f t="shared" si="110"/>
        <v>526.65242321569622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636.99999999999977</v>
      </c>
      <c r="O141" s="13">
        <f>N141*VLOOKUP('Données projet'!$B$9,Paramètres!$A$1:$I$89,3,0)*VLOOKUP('Données projet'!$B$9,Paramètres!$A$1:$I$89,5,0)</f>
        <v>356.08299999999991</v>
      </c>
      <c r="P141" s="13">
        <f t="shared" si="141"/>
        <v>82.813805255716545</v>
      </c>
      <c r="Q141" s="20">
        <f t="shared" si="108"/>
        <v>764.41193582037283</v>
      </c>
      <c r="R141" s="59">
        <f t="shared" si="109"/>
        <v>1057.7452691537062</v>
      </c>
      <c r="S141" s="59">
        <f ca="1">AVERAGE(OFFSET($R$3,0,0,'Données projet'!$E$9+1,1))-AVERAGE(OFFSET($H$3,0,0,'Données projet'!$E$9+1,1))</f>
        <v>382.58588458673051</v>
      </c>
      <c r="T141" s="59">
        <f t="shared" si="142"/>
        <v>485.5120768430603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20.852772704417234</v>
      </c>
      <c r="AA141" s="21">
        <f>EXP(-LN(2)/25)*AA140+(1-EXP(-LN(2)/25))/(LN(2)/25)*Calculateur!V141*Calculateur!X141*VLOOKUP('Données projet'!$B$9,Paramètres!$A$1:$I$89,3,0)*0.475*44/12</f>
        <v>1.0983320941681278</v>
      </c>
      <c r="AB141" s="21">
        <f>EXP(-LN(2)/2)*AB140+(1-EXP(-LN(2)/2))/(LN(2)/2)*V141*Y141*VLOOKUP('Données projet'!$B$9,Paramètres!$A$1:$I$89,3,0)*0.475*44/12</f>
        <v>3.3538709813509145E-16</v>
      </c>
      <c r="AC141" s="22">
        <f t="shared" si="111"/>
        <v>21.951104798585362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255.00000000000006</v>
      </c>
      <c r="AJ141" s="13">
        <f>AI141*VLOOKUP('Données projet'!$B$10,Paramètres!$A$1:$I$89,3,0)*VLOOKUP('Données projet'!$B$10,Paramètres!$A$1:$I$89,5,0)</f>
        <v>186.96600000000004</v>
      </c>
      <c r="AK141" s="13">
        <f t="shared" si="143"/>
        <v>46.868551400324648</v>
      </c>
      <c r="AL141" s="20">
        <f t="shared" si="112"/>
        <v>407.26184368889881</v>
      </c>
      <c r="AM141" s="59">
        <f t="shared" si="113"/>
        <v>700.59517702223206</v>
      </c>
      <c r="AN141" s="59">
        <f ca="1">AVERAGE(OFFSET($AM$3,0,0,'Données projet'!$E$10+1,1))-AVERAGE(OFFSET($H$3,0,0,'Données projet'!$E$10+1,1))</f>
        <v>188.36883552879721</v>
      </c>
      <c r="AO141" s="59">
        <f t="shared" si="144"/>
        <v>152.51465338737705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0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1">
        <f t="shared" si="140"/>
        <v>32.512911354837613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67">
        <f t="shared" si="110"/>
        <v>528.56123060967593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636.99999999999977</v>
      </c>
      <c r="O142" s="13">
        <f>N142*VLOOKUP('Données projet'!$B$9,Paramètres!$A$1:$I$89,3,0)*VLOOKUP('Données projet'!$B$9,Paramètres!$A$1:$I$89,5,0)</f>
        <v>356.08299999999991</v>
      </c>
      <c r="P142" s="13">
        <f t="shared" si="141"/>
        <v>82.813805255716545</v>
      </c>
      <c r="Q142" s="20">
        <f t="shared" si="108"/>
        <v>764.41193582037283</v>
      </c>
      <c r="R142" s="59">
        <f t="shared" si="109"/>
        <v>1057.7452691537062</v>
      </c>
      <c r="S142" s="59">
        <f ca="1">AVERAGE(OFFSET($R$3,0,0,'Données projet'!$E$9+1,1))-AVERAGE(OFFSET($H$3,0,0,'Données projet'!$E$9+1,1))</f>
        <v>382.58588458673051</v>
      </c>
      <c r="T142" s="59">
        <f t="shared" si="142"/>
        <v>485.5120768430603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20.44386255061907</v>
      </c>
      <c r="AA142" s="21">
        <f>EXP(-LN(2)/25)*AA141+(1-EXP(-LN(2)/25))/(LN(2)/25)*Calculateur!V142*Calculateur!X142*VLOOKUP('Données projet'!$B$9,Paramètres!$A$1:$I$89,3,0)*0.475*44/12</f>
        <v>1.0682981452943259</v>
      </c>
      <c r="AB142" s="21">
        <f>EXP(-LN(2)/2)*AB141+(1-EXP(-LN(2)/2))/(LN(2)/2)*V142*Y142*VLOOKUP('Données projet'!$B$9,Paramètres!$A$1:$I$89,3,0)*0.475*44/12</f>
        <v>2.3715449141380125E-16</v>
      </c>
      <c r="AC142" s="22">
        <f t="shared" si="111"/>
        <v>21.512160695913394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255.00000000000006</v>
      </c>
      <c r="AJ142" s="13">
        <f>AI142*VLOOKUP('Données projet'!$B$10,Paramètres!$A$1:$I$89,3,0)*VLOOKUP('Données projet'!$B$10,Paramètres!$A$1:$I$89,5,0)</f>
        <v>186.96600000000004</v>
      </c>
      <c r="AK142" s="13">
        <f t="shared" si="143"/>
        <v>46.868551400324648</v>
      </c>
      <c r="AL142" s="20">
        <f t="shared" si="112"/>
        <v>407.26184368889881</v>
      </c>
      <c r="AM142" s="59">
        <f t="shared" si="113"/>
        <v>700.59517702223206</v>
      </c>
      <c r="AN142" s="59">
        <f ca="1">AVERAGE(OFFSET($AM$3,0,0,'Données projet'!$E$10+1,1))-AVERAGE(OFFSET($H$3,0,0,'Données projet'!$E$10+1,1))</f>
        <v>188.36883552879721</v>
      </c>
      <c r="AO142" s="59">
        <f t="shared" si="144"/>
        <v>152.51465338737705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0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1">
        <f t="shared" si="140"/>
        <v>32.719504245667331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67">
        <f t="shared" si="110"/>
        <v>530.4697365612044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636.99999999999977</v>
      </c>
      <c r="O143" s="13">
        <f>N143*VLOOKUP('Données projet'!$B$9,Paramètres!$A$1:$I$89,3,0)*VLOOKUP('Données projet'!$B$9,Paramètres!$A$1:$I$89,5,0)</f>
        <v>356.08299999999991</v>
      </c>
      <c r="P143" s="13">
        <f t="shared" si="141"/>
        <v>82.813805255716545</v>
      </c>
      <c r="Q143" s="20">
        <f t="shared" si="108"/>
        <v>764.41193582037283</v>
      </c>
      <c r="R143" s="59">
        <f t="shared" si="109"/>
        <v>1057.7452691537062</v>
      </c>
      <c r="S143" s="59">
        <f ca="1">AVERAGE(OFFSET($R$3,0,0,'Données projet'!$E$9+1,1))-AVERAGE(OFFSET($H$3,0,0,'Données projet'!$E$9+1,1))</f>
        <v>382.58588458673051</v>
      </c>
      <c r="T143" s="59">
        <f t="shared" si="142"/>
        <v>485.5120768430603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20.042970875526322</v>
      </c>
      <c r="AA143" s="21">
        <f>EXP(-LN(2)/25)*AA142+(1-EXP(-LN(2)/25))/(LN(2)/25)*Calculateur!V143*Calculateur!X143*VLOOKUP('Données projet'!$B$9,Paramètres!$A$1:$I$89,3,0)*0.475*44/12</f>
        <v>1.0390854763318946</v>
      </c>
      <c r="AB143" s="21">
        <f>EXP(-LN(2)/2)*AB142+(1-EXP(-LN(2)/2))/(LN(2)/2)*V143*Y143*VLOOKUP('Données projet'!$B$9,Paramètres!$A$1:$I$89,3,0)*0.475*44/12</f>
        <v>1.6769354906754572E-16</v>
      </c>
      <c r="AC143" s="22">
        <f t="shared" si="111"/>
        <v>21.082056351858217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255.00000000000006</v>
      </c>
      <c r="AJ143" s="13">
        <f>AI143*VLOOKUP('Données projet'!$B$10,Paramètres!$A$1:$I$89,3,0)*VLOOKUP('Données projet'!$B$10,Paramètres!$A$1:$I$89,5,0)</f>
        <v>186.96600000000004</v>
      </c>
      <c r="AK143" s="13">
        <f t="shared" si="143"/>
        <v>46.868551400324648</v>
      </c>
      <c r="AL143" s="20">
        <f t="shared" si="112"/>
        <v>407.26184368889881</v>
      </c>
      <c r="AM143" s="59">
        <f t="shared" si="113"/>
        <v>700.59517702223206</v>
      </c>
      <c r="AN143" s="59">
        <f ca="1">AVERAGE(OFFSET($AM$3,0,0,'Données projet'!$E$10+1,1))-AVERAGE(OFFSET($H$3,0,0,'Données projet'!$E$10+1,1))</f>
        <v>188.36883552879721</v>
      </c>
      <c r="AO143" s="59">
        <f t="shared" si="144"/>
        <v>152.51465338737705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0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1">
        <f t="shared" si="140"/>
        <v>32.925925439106905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67">
        <f t="shared" si="110"/>
        <v>532.3779434731116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636.99999999999977</v>
      </c>
      <c r="O144" s="13">
        <f>N144*VLOOKUP('Données projet'!$B$9,Paramètres!$A$1:$I$89,3,0)*VLOOKUP('Données projet'!$B$9,Paramètres!$A$1:$I$89,5,0)</f>
        <v>356.08299999999991</v>
      </c>
      <c r="P144" s="13">
        <f t="shared" si="141"/>
        <v>82.813805255716545</v>
      </c>
      <c r="Q144" s="20">
        <f t="shared" si="108"/>
        <v>764.41193582037283</v>
      </c>
      <c r="R144" s="59">
        <f t="shared" si="109"/>
        <v>1057.7452691537062</v>
      </c>
      <c r="S144" s="59">
        <f ca="1">AVERAGE(OFFSET($R$3,0,0,'Données projet'!$E$9+1,1))-AVERAGE(OFFSET($H$3,0,0,'Données projet'!$E$9+1,1))</f>
        <v>382.58588458673051</v>
      </c>
      <c r="T144" s="59">
        <f t="shared" si="142"/>
        <v>485.5120768430603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19.649940441662366</v>
      </c>
      <c r="AA144" s="21">
        <f>EXP(-LN(2)/25)*AA143+(1-EXP(-LN(2)/25))/(LN(2)/25)*Calculateur!V144*Calculateur!X144*VLOOKUP('Données projet'!$B$9,Paramètres!$A$1:$I$89,3,0)*0.475*44/12</f>
        <v>1.0106716293384685</v>
      </c>
      <c r="AB144" s="21">
        <f>EXP(-LN(2)/2)*AB143+(1-EXP(-LN(2)/2))/(LN(2)/2)*V144*Y144*VLOOKUP('Données projet'!$B$9,Paramètres!$A$1:$I$89,3,0)*0.475*44/12</f>
        <v>1.1857724570690062E-16</v>
      </c>
      <c r="AC144" s="22">
        <f t="shared" si="111"/>
        <v>20.660612071000834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255.00000000000006</v>
      </c>
      <c r="AJ144" s="13">
        <f>AI144*VLOOKUP('Données projet'!$B$10,Paramètres!$A$1:$I$89,3,0)*VLOOKUP('Données projet'!$B$10,Paramètres!$A$1:$I$89,5,0)</f>
        <v>186.96600000000004</v>
      </c>
      <c r="AK144" s="13">
        <f t="shared" si="143"/>
        <v>46.868551400324648</v>
      </c>
      <c r="AL144" s="20">
        <f t="shared" si="112"/>
        <v>407.26184368889881</v>
      </c>
      <c r="AM144" s="59">
        <f t="shared" si="113"/>
        <v>700.59517702223206</v>
      </c>
      <c r="AN144" s="59">
        <f ca="1">AVERAGE(OFFSET($AM$3,0,0,'Données projet'!$E$10+1,1))-AVERAGE(OFFSET($H$3,0,0,'Données projet'!$E$10+1,1))</f>
        <v>188.36883552879721</v>
      </c>
      <c r="AO144" s="59">
        <f t="shared" si="144"/>
        <v>152.51465338737705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0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1">
        <f t="shared" si="140"/>
        <v>33.132176294071868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67">
        <f t="shared" si="110"/>
        <v>534.28585371217559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636.99999999999977</v>
      </c>
      <c r="O145" s="13">
        <f>N145*VLOOKUP('Données projet'!$B$9,Paramètres!$A$1:$I$89,3,0)*VLOOKUP('Données projet'!$B$9,Paramètres!$A$1:$I$89,5,0)</f>
        <v>356.08299999999991</v>
      </c>
      <c r="P145" s="13">
        <f t="shared" si="141"/>
        <v>82.813805255716545</v>
      </c>
      <c r="Q145" s="20">
        <f t="shared" si="108"/>
        <v>764.41193582037283</v>
      </c>
      <c r="R145" s="59">
        <f t="shared" si="109"/>
        <v>1057.7452691537062</v>
      </c>
      <c r="S145" s="59">
        <f ca="1">AVERAGE(OFFSET($R$3,0,0,'Données projet'!$E$9+1,1))-AVERAGE(OFFSET($H$3,0,0,'Données projet'!$E$9+1,1))</f>
        <v>382.58588458673051</v>
      </c>
      <c r="T145" s="59">
        <f t="shared" si="142"/>
        <v>485.5120768430603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19.26461709488159</v>
      </c>
      <c r="AA145" s="21">
        <f>EXP(-LN(2)/25)*AA144+(1-EXP(-LN(2)/25))/(LN(2)/25)*Calculateur!V145*Calculateur!X145*VLOOKUP('Données projet'!$B$9,Paramètres!$A$1:$I$89,3,0)*0.475*44/12</f>
        <v>0.98303476048529703</v>
      </c>
      <c r="AB145" s="21">
        <f>EXP(-LN(2)/2)*AB144+(1-EXP(-LN(2)/2))/(LN(2)/2)*V145*Y145*VLOOKUP('Données projet'!$B$9,Paramètres!$A$1:$I$89,3,0)*0.475*44/12</f>
        <v>8.3846774533772862E-17</v>
      </c>
      <c r="AC145" s="22">
        <f t="shared" si="111"/>
        <v>20.247651855366886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255.00000000000006</v>
      </c>
      <c r="AJ145" s="13">
        <f>AI145*VLOOKUP('Données projet'!$B$10,Paramètres!$A$1:$I$89,3,0)*VLOOKUP('Données projet'!$B$10,Paramètres!$A$1:$I$89,5,0)</f>
        <v>186.96600000000004</v>
      </c>
      <c r="AK145" s="13">
        <f t="shared" si="143"/>
        <v>46.868551400324648</v>
      </c>
      <c r="AL145" s="20">
        <f t="shared" si="112"/>
        <v>407.26184368889881</v>
      </c>
      <c r="AM145" s="59">
        <f t="shared" si="113"/>
        <v>700.59517702223206</v>
      </c>
      <c r="AN145" s="59">
        <f ca="1">AVERAGE(OFFSET($AM$3,0,0,'Données projet'!$E$10+1,1))-AVERAGE(OFFSET($H$3,0,0,'Données projet'!$E$10+1,1))</f>
        <v>188.36883552879721</v>
      </c>
      <c r="AO145" s="59">
        <f t="shared" si="144"/>
        <v>152.51465338737705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0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1">
        <f t="shared" si="140"/>
        <v>33.33825814923194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67">
        <f t="shared" si="110"/>
        <v>536.19346960991265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636.99999999999977</v>
      </c>
      <c r="O146" s="13">
        <f>N146*VLOOKUP('Données projet'!$B$9,Paramètres!$A$1:$I$89,3,0)*VLOOKUP('Données projet'!$B$9,Paramètres!$A$1:$I$89,5,0)</f>
        <v>356.08299999999991</v>
      </c>
      <c r="P146" s="13">
        <f t="shared" si="141"/>
        <v>82.813805255716545</v>
      </c>
      <c r="Q146" s="20">
        <f t="shared" si="108"/>
        <v>764.41193582037283</v>
      </c>
      <c r="R146" s="59">
        <f t="shared" si="109"/>
        <v>1057.7452691537062</v>
      </c>
      <c r="S146" s="59">
        <f ca="1">AVERAGE(OFFSET($R$3,0,0,'Données projet'!$E$9+1,1))-AVERAGE(OFFSET($H$3,0,0,'Données projet'!$E$9+1,1))</f>
        <v>382.58588458673051</v>
      </c>
      <c r="T146" s="59">
        <f t="shared" si="142"/>
        <v>485.5120768430603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18.886849703907149</v>
      </c>
      <c r="AA146" s="21">
        <f>EXP(-LN(2)/25)*AA145+(1-EXP(-LN(2)/25))/(LN(2)/25)*Calculateur!V146*Calculateur!X146*VLOOKUP('Données projet'!$B$9,Paramètres!$A$1:$I$89,3,0)*0.475*44/12</f>
        <v>0.95615362326427533</v>
      </c>
      <c r="AB146" s="21">
        <f>EXP(-LN(2)/2)*AB145+(1-EXP(-LN(2)/2))/(LN(2)/2)*V146*Y146*VLOOKUP('Données projet'!$B$9,Paramètres!$A$1:$I$89,3,0)*0.475*44/12</f>
        <v>5.9288622853450311E-17</v>
      </c>
      <c r="AC146" s="22">
        <f t="shared" si="111"/>
        <v>19.843003327171424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255.00000000000006</v>
      </c>
      <c r="AJ146" s="13">
        <f>AI146*VLOOKUP('Données projet'!$B$10,Paramètres!$A$1:$I$89,3,0)*VLOOKUP('Données projet'!$B$10,Paramètres!$A$1:$I$89,5,0)</f>
        <v>186.96600000000004</v>
      </c>
      <c r="AK146" s="13">
        <f t="shared" si="143"/>
        <v>46.868551400324648</v>
      </c>
      <c r="AL146" s="20">
        <f t="shared" si="112"/>
        <v>407.26184368889881</v>
      </c>
      <c r="AM146" s="59">
        <f t="shared" si="113"/>
        <v>700.59517702223206</v>
      </c>
      <c r="AN146" s="59">
        <f ca="1">AVERAGE(OFFSET($AM$3,0,0,'Données projet'!$E$10+1,1))-AVERAGE(OFFSET($H$3,0,0,'Données projet'!$E$10+1,1))</f>
        <v>188.36883552879721</v>
      </c>
      <c r="AO146" s="59">
        <f t="shared" si="144"/>
        <v>152.51465338737705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0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1">
        <f t="shared" si="140"/>
        <v>33.544172323452237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67">
        <f t="shared" si="110"/>
        <v>538.10079346334646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636.99999999999977</v>
      </c>
      <c r="O147" s="13">
        <f>N147*VLOOKUP('Données projet'!$B$9,Paramètres!$A$1:$I$89,3,0)*VLOOKUP('Données projet'!$B$9,Paramètres!$A$1:$I$89,5,0)</f>
        <v>356.08299999999991</v>
      </c>
      <c r="P147" s="13">
        <f t="shared" si="141"/>
        <v>82.813805255716545</v>
      </c>
      <c r="Q147" s="20">
        <f t="shared" si="108"/>
        <v>764.41193582037283</v>
      </c>
      <c r="R147" s="59">
        <f t="shared" si="109"/>
        <v>1057.7452691537062</v>
      </c>
      <c r="S147" s="59">
        <f ca="1">AVERAGE(OFFSET($R$3,0,0,'Données projet'!$E$9+1,1))-AVERAGE(OFFSET($H$3,0,0,'Données projet'!$E$9+1,1))</f>
        <v>382.58588458673051</v>
      </c>
      <c r="T147" s="59">
        <f t="shared" si="142"/>
        <v>485.5120768430603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18.516490101054359</v>
      </c>
      <c r="AA147" s="21">
        <f>EXP(-LN(2)/25)*AA146+(1-EXP(-LN(2)/25))/(LN(2)/25)*Calculateur!V147*Calculateur!X147*VLOOKUP('Données projet'!$B$9,Paramètres!$A$1:$I$89,3,0)*0.475*44/12</f>
        <v>0.93000755215417996</v>
      </c>
      <c r="AB147" s="21">
        <f>EXP(-LN(2)/2)*AB146+(1-EXP(-LN(2)/2))/(LN(2)/2)*V147*Y147*VLOOKUP('Données projet'!$B$9,Paramètres!$A$1:$I$89,3,0)*0.475*44/12</f>
        <v>4.1923387266886431E-17</v>
      </c>
      <c r="AC147" s="22">
        <f t="shared" si="111"/>
        <v>19.446497653208539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255.00000000000006</v>
      </c>
      <c r="AJ147" s="13">
        <f>AI147*VLOOKUP('Données projet'!$B$10,Paramètres!$A$1:$I$89,3,0)*VLOOKUP('Données projet'!$B$10,Paramètres!$A$1:$I$89,5,0)</f>
        <v>186.96600000000004</v>
      </c>
      <c r="AK147" s="13">
        <f t="shared" si="143"/>
        <v>46.868551400324648</v>
      </c>
      <c r="AL147" s="20">
        <f t="shared" si="112"/>
        <v>407.26184368889881</v>
      </c>
      <c r="AM147" s="59">
        <f t="shared" si="113"/>
        <v>700.59517702223206</v>
      </c>
      <c r="AN147" s="59">
        <f ca="1">AVERAGE(OFFSET($AM$3,0,0,'Données projet'!$E$10+1,1))-AVERAGE(OFFSET($H$3,0,0,'Données projet'!$E$10+1,1))</f>
        <v>188.36883552879721</v>
      </c>
      <c r="AO147" s="59">
        <f t="shared" si="144"/>
        <v>152.51465338737705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0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1">
        <f t="shared" si="140"/>
        <v>33.749920116221446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67">
        <f t="shared" si="110"/>
        <v>540.00782753575277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636.99999999999977</v>
      </c>
      <c r="O148" s="13">
        <f>N148*VLOOKUP('Données projet'!$B$9,Paramètres!$A$1:$I$89,3,0)*VLOOKUP('Données projet'!$B$9,Paramètres!$A$1:$I$89,5,0)</f>
        <v>356.08299999999991</v>
      </c>
      <c r="P148" s="13">
        <f t="shared" si="141"/>
        <v>82.813805255716545</v>
      </c>
      <c r="Q148" s="20">
        <f t="shared" si="108"/>
        <v>764.41193582037283</v>
      </c>
      <c r="R148" s="59">
        <f t="shared" si="109"/>
        <v>1057.7452691537062</v>
      </c>
      <c r="S148" s="59">
        <f ca="1">AVERAGE(OFFSET($R$3,0,0,'Données projet'!$E$9+1,1))-AVERAGE(OFFSET($H$3,0,0,'Données projet'!$E$9+1,1))</f>
        <v>382.58588458673051</v>
      </c>
      <c r="T148" s="59">
        <f t="shared" si="142"/>
        <v>485.5120768430603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18.153393024116461</v>
      </c>
      <c r="AA148" s="21">
        <f>EXP(-LN(2)/25)*AA147+(1-EXP(-LN(2)/25))/(LN(2)/25)*Calculateur!V148*Calculateur!X148*VLOOKUP('Données projet'!$B$9,Paramètres!$A$1:$I$89,3,0)*0.475*44/12</f>
        <v>0.90457644673355231</v>
      </c>
      <c r="AB148" s="21">
        <f>EXP(-LN(2)/2)*AB147+(1-EXP(-LN(2)/2))/(LN(2)/2)*V148*Y148*VLOOKUP('Données projet'!$B$9,Paramètres!$A$1:$I$89,3,0)*0.475*44/12</f>
        <v>2.9644311426725156E-17</v>
      </c>
      <c r="AC148" s="22">
        <f t="shared" si="111"/>
        <v>19.057969470850015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255.00000000000006</v>
      </c>
      <c r="AJ148" s="13">
        <f>AI148*VLOOKUP('Données projet'!$B$10,Paramètres!$A$1:$I$89,3,0)*VLOOKUP('Données projet'!$B$10,Paramètres!$A$1:$I$89,5,0)</f>
        <v>186.96600000000004</v>
      </c>
      <c r="AK148" s="13">
        <f t="shared" si="143"/>
        <v>46.868551400324648</v>
      </c>
      <c r="AL148" s="20">
        <f t="shared" si="112"/>
        <v>407.26184368889881</v>
      </c>
      <c r="AM148" s="59">
        <f t="shared" si="113"/>
        <v>700.59517702223206</v>
      </c>
      <c r="AN148" s="59">
        <f ca="1">AVERAGE(OFFSET($AM$3,0,0,'Données projet'!$E$10+1,1))-AVERAGE(OFFSET($H$3,0,0,'Données projet'!$E$10+1,1))</f>
        <v>188.36883552879721</v>
      </c>
      <c r="AO148" s="59">
        <f t="shared" si="144"/>
        <v>152.51465338737705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0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1">
        <f t="shared" si="140"/>
        <v>33.955502808068339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67">
        <f t="shared" si="110"/>
        <v>541.91457405738606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636.99999999999977</v>
      </c>
      <c r="O149" s="13">
        <f>N149*VLOOKUP('Données projet'!$B$9,Paramètres!$A$1:$I$89,3,0)*VLOOKUP('Données projet'!$B$9,Paramètres!$A$1:$I$89,5,0)</f>
        <v>356.08299999999991</v>
      </c>
      <c r="P149" s="13">
        <f t="shared" si="141"/>
        <v>82.813805255716545</v>
      </c>
      <c r="Q149" s="20">
        <f t="shared" si="108"/>
        <v>764.41193582037283</v>
      </c>
      <c r="R149" s="59">
        <f t="shared" si="109"/>
        <v>1057.7452691537062</v>
      </c>
      <c r="S149" s="59">
        <f ca="1">AVERAGE(OFFSET($R$3,0,0,'Données projet'!$E$9+1,1))-AVERAGE(OFFSET($H$3,0,0,'Données projet'!$E$9+1,1))</f>
        <v>382.58588458673051</v>
      </c>
      <c r="T149" s="59">
        <f t="shared" si="142"/>
        <v>485.5120768430603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17.797416059389967</v>
      </c>
      <c r="AA149" s="21">
        <f>EXP(-LN(2)/25)*AA148+(1-EXP(-LN(2)/25))/(LN(2)/25)*Calculateur!V149*Calculateur!X149*VLOOKUP('Données projet'!$B$9,Paramètres!$A$1:$I$89,3,0)*0.475*44/12</f>
        <v>0.87984075622801539</v>
      </c>
      <c r="AB149" s="21">
        <f>EXP(-LN(2)/2)*AB148+(1-EXP(-LN(2)/2))/(LN(2)/2)*V149*Y149*VLOOKUP('Données projet'!$B$9,Paramètres!$A$1:$I$89,3,0)*0.475*44/12</f>
        <v>2.0961693633443215E-17</v>
      </c>
      <c r="AC149" s="22">
        <f t="shared" si="111"/>
        <v>18.677256815617984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255.00000000000006</v>
      </c>
      <c r="AJ149" s="13">
        <f>AI149*VLOOKUP('Données projet'!$B$10,Paramètres!$A$1:$I$89,3,0)*VLOOKUP('Données projet'!$B$10,Paramètres!$A$1:$I$89,5,0)</f>
        <v>186.96600000000004</v>
      </c>
      <c r="AK149" s="13">
        <f t="shared" si="143"/>
        <v>46.868551400324648</v>
      </c>
      <c r="AL149" s="20">
        <f t="shared" si="112"/>
        <v>407.26184368889881</v>
      </c>
      <c r="AM149" s="59">
        <f t="shared" si="113"/>
        <v>700.59517702223206</v>
      </c>
      <c r="AN149" s="59">
        <f ca="1">AVERAGE(OFFSET($AM$3,0,0,'Données projet'!$E$10+1,1))-AVERAGE(OFFSET($H$3,0,0,'Données projet'!$E$10+1,1))</f>
        <v>188.36883552879721</v>
      </c>
      <c r="AO149" s="59">
        <f t="shared" si="144"/>
        <v>152.51465338737705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0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1">
        <f t="shared" si="140"/>
        <v>34.160921660966174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67">
        <f t="shared" si="110"/>
        <v>543.82103522618308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636.99999999999977</v>
      </c>
      <c r="O150" s="13">
        <f>N150*VLOOKUP('Données projet'!$B$9,Paramètres!$A$1:$I$89,3,0)*VLOOKUP('Données projet'!$B$9,Paramètres!$A$1:$I$89,5,0)</f>
        <v>356.08299999999991</v>
      </c>
      <c r="P150" s="13">
        <f t="shared" si="141"/>
        <v>82.813805255716545</v>
      </c>
      <c r="Q150" s="20">
        <f t="shared" si="108"/>
        <v>764.41193582037283</v>
      </c>
      <c r="R150" s="59">
        <f t="shared" si="109"/>
        <v>1057.7452691537062</v>
      </c>
      <c r="S150" s="59">
        <f ca="1">AVERAGE(OFFSET($R$3,0,0,'Données projet'!$E$9+1,1))-AVERAGE(OFFSET($H$3,0,0,'Données projet'!$E$9+1,1))</f>
        <v>382.58588458673051</v>
      </c>
      <c r="T150" s="59">
        <f t="shared" si="142"/>
        <v>485.5120768430603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17.448419585817248</v>
      </c>
      <c r="AA150" s="21">
        <f>EXP(-LN(2)/25)*AA149+(1-EXP(-LN(2)/25))/(LN(2)/25)*Calculateur!V150*Calculateur!X150*VLOOKUP('Données projet'!$B$9,Paramètres!$A$1:$I$89,3,0)*0.475*44/12</f>
        <v>0.8557814644801458</v>
      </c>
      <c r="AB150" s="21">
        <f>EXP(-LN(2)/2)*AB149+(1-EXP(-LN(2)/2))/(LN(2)/2)*V150*Y150*VLOOKUP('Données projet'!$B$9,Paramètres!$A$1:$I$89,3,0)*0.475*44/12</f>
        <v>1.4822155713362578E-17</v>
      </c>
      <c r="AC150" s="22">
        <f t="shared" si="111"/>
        <v>18.304201050297394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255.00000000000006</v>
      </c>
      <c r="AJ150" s="13">
        <f>AI150*VLOOKUP('Données projet'!$B$10,Paramètres!$A$1:$I$89,3,0)*VLOOKUP('Données projet'!$B$10,Paramètres!$A$1:$I$89,5,0)</f>
        <v>186.96600000000004</v>
      </c>
      <c r="AK150" s="13">
        <f t="shared" si="143"/>
        <v>46.868551400324648</v>
      </c>
      <c r="AL150" s="20">
        <f t="shared" si="112"/>
        <v>407.26184368889881</v>
      </c>
      <c r="AM150" s="59">
        <f t="shared" si="113"/>
        <v>700.59517702223206</v>
      </c>
      <c r="AN150" s="59">
        <f ca="1">AVERAGE(OFFSET($AM$3,0,0,'Données projet'!$E$10+1,1))-AVERAGE(OFFSET($H$3,0,0,'Données projet'!$E$10+1,1))</f>
        <v>188.36883552879721</v>
      </c>
      <c r="AO150" s="59">
        <f t="shared" si="144"/>
        <v>152.51465338737705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0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1">
        <f t="shared" si="140"/>
        <v>34.366177918726152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67">
        <f t="shared" si="110"/>
        <v>545.72721320844835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636.99999999999977</v>
      </c>
      <c r="O151" s="13">
        <f>N151*VLOOKUP('Données projet'!$B$9,Paramètres!$A$1:$I$89,3,0)*VLOOKUP('Données projet'!$B$9,Paramètres!$A$1:$I$89,5,0)</f>
        <v>356.08299999999991</v>
      </c>
      <c r="P151" s="13">
        <f t="shared" si="141"/>
        <v>82.813805255716545</v>
      </c>
      <c r="Q151" s="20">
        <f t="shared" si="108"/>
        <v>764.41193582037283</v>
      </c>
      <c r="R151" s="59">
        <f t="shared" si="109"/>
        <v>1057.7452691537062</v>
      </c>
      <c r="S151" s="59">
        <f ca="1">AVERAGE(OFFSET($R$3,0,0,'Données projet'!$E$9+1,1))-AVERAGE(OFFSET($H$3,0,0,'Données projet'!$E$9+1,1))</f>
        <v>382.58588458673051</v>
      </c>
      <c r="T151" s="59">
        <f t="shared" si="142"/>
        <v>485.5120768430603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17.106266720224461</v>
      </c>
      <c r="AA151" s="21">
        <f>EXP(-LN(2)/25)*AA150+(1-EXP(-LN(2)/25))/(LN(2)/25)*Calculateur!V151*Calculateur!X151*VLOOKUP('Données projet'!$B$9,Paramètres!$A$1:$I$89,3,0)*0.475*44/12</f>
        <v>0.83238007533034486</v>
      </c>
      <c r="AB151" s="21">
        <f>EXP(-LN(2)/2)*AB150+(1-EXP(-LN(2)/2))/(LN(2)/2)*V151*Y151*VLOOKUP('Données projet'!$B$9,Paramètres!$A$1:$I$89,3,0)*0.475*44/12</f>
        <v>1.0480846816721608E-17</v>
      </c>
      <c r="AC151" s="22">
        <f t="shared" si="111"/>
        <v>17.938646795554806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255.00000000000006</v>
      </c>
      <c r="AJ151" s="13">
        <f>AI151*VLOOKUP('Données projet'!$B$10,Paramètres!$A$1:$I$89,3,0)*VLOOKUP('Données projet'!$B$10,Paramètres!$A$1:$I$89,5,0)</f>
        <v>186.96600000000004</v>
      </c>
      <c r="AK151" s="13">
        <f t="shared" si="143"/>
        <v>46.868551400324648</v>
      </c>
      <c r="AL151" s="20">
        <f t="shared" si="112"/>
        <v>407.26184368889881</v>
      </c>
      <c r="AM151" s="59">
        <f t="shared" si="113"/>
        <v>700.59517702223206</v>
      </c>
      <c r="AN151" s="59">
        <f ca="1">AVERAGE(OFFSET($AM$3,0,0,'Données projet'!$E$10+1,1))-AVERAGE(OFFSET($H$3,0,0,'Données projet'!$E$10+1,1))</f>
        <v>188.36883552879721</v>
      </c>
      <c r="AO151" s="59">
        <f t="shared" si="144"/>
        <v>152.51465338737705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0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1">
        <f t="shared" si="140"/>
        <v>34.571272807379401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67">
        <f t="shared" si="110"/>
        <v>547.63311013951943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636.99999999999977</v>
      </c>
      <c r="O152" s="13">
        <f>N152*VLOOKUP('Données projet'!$B$9,Paramètres!$A$1:$I$89,3,0)*VLOOKUP('Données projet'!$B$9,Paramètres!$A$1:$I$89,5,0)</f>
        <v>356.08299999999991</v>
      </c>
      <c r="P152" s="13">
        <f t="shared" si="141"/>
        <v>82.813805255716545</v>
      </c>
      <c r="Q152" s="20">
        <f t="shared" si="108"/>
        <v>764.41193582037283</v>
      </c>
      <c r="R152" s="59">
        <f t="shared" si="109"/>
        <v>1057.7452691537062</v>
      </c>
      <c r="S152" s="59">
        <f ca="1">AVERAGE(OFFSET($R$3,0,0,'Données projet'!$E$9+1,1))-AVERAGE(OFFSET($H$3,0,0,'Données projet'!$E$9+1,1))</f>
        <v>382.58588458673051</v>
      </c>
      <c r="T152" s="59">
        <f t="shared" si="142"/>
        <v>485.5120768430603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16.770823263633307</v>
      </c>
      <c r="AA152" s="21">
        <f>EXP(-LN(2)/25)*AA151+(1-EXP(-LN(2)/25))/(LN(2)/25)*Calculateur!V152*Calculateur!X152*VLOOKUP('Données projet'!$B$9,Paramètres!$A$1:$I$89,3,0)*0.475*44/12</f>
        <v>0.80961859839747086</v>
      </c>
      <c r="AB152" s="21">
        <f>EXP(-LN(2)/2)*AB151+(1-EXP(-LN(2)/2))/(LN(2)/2)*V152*Y152*VLOOKUP('Données projet'!$B$9,Paramètres!$A$1:$I$89,3,0)*0.475*44/12</f>
        <v>7.4110778566812889E-18</v>
      </c>
      <c r="AC152" s="22">
        <f t="shared" si="111"/>
        <v>17.580441862030778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255.00000000000006</v>
      </c>
      <c r="AJ152" s="13">
        <f>AI152*VLOOKUP('Données projet'!$B$10,Paramètres!$A$1:$I$89,3,0)*VLOOKUP('Données projet'!$B$10,Paramètres!$A$1:$I$89,5,0)</f>
        <v>186.96600000000004</v>
      </c>
      <c r="AK152" s="13">
        <f t="shared" si="143"/>
        <v>46.868551400324648</v>
      </c>
      <c r="AL152" s="20">
        <f t="shared" si="112"/>
        <v>407.26184368889881</v>
      </c>
      <c r="AM152" s="59">
        <f t="shared" si="113"/>
        <v>700.59517702223206</v>
      </c>
      <c r="AN152" s="59">
        <f ca="1">AVERAGE(OFFSET($AM$3,0,0,'Données projet'!$E$10+1,1))-AVERAGE(OFFSET($H$3,0,0,'Données projet'!$E$10+1,1))</f>
        <v>188.36883552879721</v>
      </c>
      <c r="AO152" s="59">
        <f t="shared" si="144"/>
        <v>152.51465338737705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0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1">
        <f t="shared" si="140"/>
        <v>34.776207535549027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67">
        <f t="shared" si="110"/>
        <v>549.53872812441477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636.99999999999977</v>
      </c>
      <c r="O153" s="13">
        <f>N153*VLOOKUP('Données projet'!$B$9,Paramètres!$A$1:$I$89,3,0)*VLOOKUP('Données projet'!$B$9,Paramètres!$A$1:$I$89,5,0)</f>
        <v>356.08299999999991</v>
      </c>
      <c r="P153" s="13">
        <f t="shared" si="141"/>
        <v>82.813805255716545</v>
      </c>
      <c r="Q153" s="20">
        <f t="shared" si="108"/>
        <v>764.41193582037283</v>
      </c>
      <c r="R153" s="59">
        <f t="shared" si="109"/>
        <v>1057.7452691537062</v>
      </c>
      <c r="S153" s="59">
        <f ca="1">AVERAGE(OFFSET($R$3,0,0,'Données projet'!$E$9+1,1))-AVERAGE(OFFSET($H$3,0,0,'Données projet'!$E$9+1,1))</f>
        <v>382.58588458673051</v>
      </c>
      <c r="T153" s="59">
        <f t="shared" si="142"/>
        <v>485.5120768430603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16.4419576486256</v>
      </c>
      <c r="AA153" s="21">
        <f>EXP(-LN(2)/25)*AA152+(1-EXP(-LN(2)/25))/(LN(2)/25)*Calculateur!V153*Calculateur!X153*VLOOKUP('Données projet'!$B$9,Paramètres!$A$1:$I$89,3,0)*0.475*44/12</f>
        <v>0.78747953524830039</v>
      </c>
      <c r="AB153" s="21">
        <f>EXP(-LN(2)/2)*AB152+(1-EXP(-LN(2)/2))/(LN(2)/2)*V153*Y153*VLOOKUP('Données projet'!$B$9,Paramètres!$A$1:$I$89,3,0)*0.475*44/12</f>
        <v>5.2404234083608039E-18</v>
      </c>
      <c r="AC153" s="22">
        <f t="shared" si="111"/>
        <v>17.229437183873902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255.00000000000006</v>
      </c>
      <c r="AJ153" s="13">
        <f>AI153*VLOOKUP('Données projet'!$B$10,Paramètres!$A$1:$I$89,3,0)*VLOOKUP('Données projet'!$B$10,Paramètres!$A$1:$I$89,5,0)</f>
        <v>186.96600000000004</v>
      </c>
      <c r="AK153" s="13">
        <f t="shared" si="143"/>
        <v>46.868551400324648</v>
      </c>
      <c r="AL153" s="20">
        <f t="shared" si="112"/>
        <v>407.26184368889881</v>
      </c>
      <c r="AM153" s="59">
        <f t="shared" si="113"/>
        <v>700.59517702223206</v>
      </c>
      <c r="AN153" s="59">
        <f ca="1">AVERAGE(OFFSET($AM$3,0,0,'Données projet'!$E$10+1,1))-AVERAGE(OFFSET($H$3,0,0,'Données projet'!$E$10+1,1))</f>
        <v>188.36883552879721</v>
      </c>
      <c r="AO153" s="59">
        <f t="shared" si="144"/>
        <v>152.51465338737705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0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1">
        <f t="shared" si="140"/>
        <v>34.980983294811438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67">
        <f t="shared" si="110"/>
        <v>551.4440692384635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636.99999999999977</v>
      </c>
      <c r="O154" s="13">
        <f>N154*VLOOKUP('Données projet'!$B$9,Paramètres!$A$1:$I$89,3,0)*VLOOKUP('Données projet'!$B$9,Paramètres!$A$1:$I$89,5,0)</f>
        <v>356.08299999999991</v>
      </c>
      <c r="P154" s="13">
        <f t="shared" si="141"/>
        <v>82.813805255716545</v>
      </c>
      <c r="Q154" s="20">
        <f t="shared" ref="Q154:Q203" si="162">(O154+P154)*0.475*44/12</f>
        <v>764.41193582037283</v>
      </c>
      <c r="R154" s="59">
        <f t="shared" si="109"/>
        <v>1057.7452691537062</v>
      </c>
      <c r="S154" s="59">
        <f ca="1">AVERAGE(OFFSET($R$3,0,0,'Données projet'!$E$9+1,1))-AVERAGE(OFFSET($H$3,0,0,'Données projet'!$E$9+1,1))</f>
        <v>382.58588458673051</v>
      </c>
      <c r="T154" s="59">
        <f t="shared" si="142"/>
        <v>485.5120768430603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16.119540887739976</v>
      </c>
      <c r="AA154" s="21">
        <f>EXP(-LN(2)/25)*AA153+(1-EXP(-LN(2)/25))/(LN(2)/25)*Calculateur!V154*Calculateur!X154*VLOOKUP('Données projet'!$B$9,Paramètres!$A$1:$I$89,3,0)*0.475*44/12</f>
        <v>0.76594586594518665</v>
      </c>
      <c r="AB154" s="21">
        <f>EXP(-LN(2)/2)*AB153+(1-EXP(-LN(2)/2))/(LN(2)/2)*V154*Y154*VLOOKUP('Données projet'!$B$9,Paramètres!$A$1:$I$89,3,0)*0.475*44/12</f>
        <v>3.7055389283406445E-18</v>
      </c>
      <c r="AC154" s="22">
        <f t="shared" ref="AC154:AC203" si="163">SUM(Z154:AB154)</f>
        <v>16.885486753685164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255.00000000000006</v>
      </c>
      <c r="AJ154" s="13">
        <f>AI154*VLOOKUP('Données projet'!$B$10,Paramètres!$A$1:$I$89,3,0)*VLOOKUP('Données projet'!$B$10,Paramètres!$A$1:$I$89,5,0)</f>
        <v>186.96600000000004</v>
      </c>
      <c r="AK154" s="13">
        <f t="shared" ref="AK154:AK203" si="164">EXP(-1.0587+0.8836*LN(AJ154)+0.284)</f>
        <v>46.868551400324648</v>
      </c>
      <c r="AL154" s="20">
        <f t="shared" ref="AL154:AL203" si="165">(AJ154+AK154)*0.475*44/12</f>
        <v>407.26184368889881</v>
      </c>
      <c r="AM154" s="59">
        <f t="shared" si="113"/>
        <v>700.59517702223206</v>
      </c>
      <c r="AN154" s="59">
        <f ca="1">AVERAGE(OFFSET($AM$3,0,0,'Données projet'!$E$10+1,1))-AVERAGE(OFFSET($H$3,0,0,'Données projet'!$E$10+1,1))</f>
        <v>188.36883552879721</v>
      </c>
      <c r="AO154" s="59">
        <f t="shared" si="144"/>
        <v>152.51465338737705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0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1">
        <f t="shared" si="140"/>
        <v>35.185601260048031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67">
        <f t="shared" si="110"/>
        <v>553.34913552791727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636.99999999999977</v>
      </c>
      <c r="O155" s="13">
        <f>N155*VLOOKUP('Données projet'!$B$9,Paramètres!$A$1:$I$89,3,0)*VLOOKUP('Données projet'!$B$9,Paramètres!$A$1:$I$89,5,0)</f>
        <v>356.08299999999991</v>
      </c>
      <c r="P155" s="13">
        <f t="shared" si="141"/>
        <v>82.813805255716545</v>
      </c>
      <c r="Q155" s="20">
        <f t="shared" si="162"/>
        <v>764.41193582037283</v>
      </c>
      <c r="R155" s="59">
        <f t="shared" si="109"/>
        <v>1057.7452691537062</v>
      </c>
      <c r="S155" s="59">
        <f ca="1">AVERAGE(OFFSET($R$3,0,0,'Données projet'!$E$9+1,1))-AVERAGE(OFFSET($H$3,0,0,'Données projet'!$E$9+1,1))</f>
        <v>382.58588458673051</v>
      </c>
      <c r="T155" s="59">
        <f t="shared" si="142"/>
        <v>485.5120768430603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15.803446522880513</v>
      </c>
      <c r="AA155" s="21">
        <f>EXP(-LN(2)/25)*AA154+(1-EXP(-LN(2)/25))/(LN(2)/25)*Calculateur!V155*Calculateur!X155*VLOOKUP('Données projet'!$B$9,Paramètres!$A$1:$I$89,3,0)*0.475*44/12</f>
        <v>0.74500103596157308</v>
      </c>
      <c r="AB155" s="21">
        <f>EXP(-LN(2)/2)*AB154+(1-EXP(-LN(2)/2))/(LN(2)/2)*V155*Y155*VLOOKUP('Données projet'!$B$9,Paramètres!$A$1:$I$89,3,0)*0.475*44/12</f>
        <v>2.6202117041804019E-18</v>
      </c>
      <c r="AC155" s="22">
        <f t="shared" si="163"/>
        <v>16.548447558842085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255.00000000000006</v>
      </c>
      <c r="AJ155" s="13">
        <f>AI155*VLOOKUP('Données projet'!$B$10,Paramètres!$A$1:$I$89,3,0)*VLOOKUP('Données projet'!$B$10,Paramètres!$A$1:$I$89,5,0)</f>
        <v>186.96600000000004</v>
      </c>
      <c r="AK155" s="13">
        <f t="shared" si="164"/>
        <v>46.868551400324648</v>
      </c>
      <c r="AL155" s="20">
        <f t="shared" si="165"/>
        <v>407.26184368889881</v>
      </c>
      <c r="AM155" s="59">
        <f t="shared" si="113"/>
        <v>700.59517702223206</v>
      </c>
      <c r="AN155" s="59">
        <f ca="1">AVERAGE(OFFSET($AM$3,0,0,'Données projet'!$E$10+1,1))-AVERAGE(OFFSET($H$3,0,0,'Données projet'!$E$10+1,1))</f>
        <v>188.36883552879721</v>
      </c>
      <c r="AO155" s="59">
        <f t="shared" si="144"/>
        <v>152.51465338737705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0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1">
        <f t="shared" si="140"/>
        <v>35.390062589787611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67">
        <f t="shared" si="110"/>
        <v>555.25392901054693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636.99999999999977</v>
      </c>
      <c r="O156" s="13">
        <f>N156*VLOOKUP('Données projet'!$B$9,Paramètres!$A$1:$I$89,3,0)*VLOOKUP('Données projet'!$B$9,Paramètres!$A$1:$I$89,5,0)</f>
        <v>356.08299999999991</v>
      </c>
      <c r="P156" s="13">
        <f t="shared" si="141"/>
        <v>82.813805255716545</v>
      </c>
      <c r="Q156" s="20">
        <f t="shared" si="162"/>
        <v>764.41193582037283</v>
      </c>
      <c r="R156" s="59">
        <f t="shared" si="109"/>
        <v>1057.7452691537062</v>
      </c>
      <c r="S156" s="59">
        <f ca="1">AVERAGE(OFFSET($R$3,0,0,'Données projet'!$E$9+1,1))-AVERAGE(OFFSET($H$3,0,0,'Données projet'!$E$9+1,1))</f>
        <v>382.58588458673051</v>
      </c>
      <c r="T156" s="59">
        <f t="shared" si="142"/>
        <v>485.5120768430603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15.493550575717418</v>
      </c>
      <c r="AA156" s="21">
        <f>EXP(-LN(2)/25)*AA155+(1-EXP(-LN(2)/25))/(LN(2)/25)*Calculateur!V156*Calculateur!X156*VLOOKUP('Données projet'!$B$9,Paramètres!$A$1:$I$89,3,0)*0.475*44/12</f>
        <v>0.72462894345530215</v>
      </c>
      <c r="AB156" s="21">
        <f>EXP(-LN(2)/2)*AB155+(1-EXP(-LN(2)/2))/(LN(2)/2)*V156*Y156*VLOOKUP('Données projet'!$B$9,Paramètres!$A$1:$I$89,3,0)*0.475*44/12</f>
        <v>1.8527694641703222E-18</v>
      </c>
      <c r="AC156" s="22">
        <f t="shared" si="163"/>
        <v>16.218179519172718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255.00000000000006</v>
      </c>
      <c r="AJ156" s="13">
        <f>AI156*VLOOKUP('Données projet'!$B$10,Paramètres!$A$1:$I$89,3,0)*VLOOKUP('Données projet'!$B$10,Paramètres!$A$1:$I$89,5,0)</f>
        <v>186.96600000000004</v>
      </c>
      <c r="AK156" s="13">
        <f t="shared" si="164"/>
        <v>46.868551400324648</v>
      </c>
      <c r="AL156" s="20">
        <f t="shared" si="165"/>
        <v>407.26184368889881</v>
      </c>
      <c r="AM156" s="59">
        <f t="shared" si="113"/>
        <v>700.59517702223206</v>
      </c>
      <c r="AN156" s="59">
        <f ca="1">AVERAGE(OFFSET($AM$3,0,0,'Données projet'!$E$10+1,1))-AVERAGE(OFFSET($H$3,0,0,'Données projet'!$E$10+1,1))</f>
        <v>188.36883552879721</v>
      </c>
      <c r="AO156" s="59">
        <f t="shared" si="144"/>
        <v>152.51465338737705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0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1">
        <f t="shared" si="140"/>
        <v>35.594368426539035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67">
        <f t="shared" si="110"/>
        <v>557.1584516762224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636.99999999999977</v>
      </c>
      <c r="O157" s="13">
        <f>N157*VLOOKUP('Données projet'!$B$9,Paramètres!$A$1:$I$89,3,0)*VLOOKUP('Données projet'!$B$9,Paramètres!$A$1:$I$89,5,0)</f>
        <v>356.08299999999991</v>
      </c>
      <c r="P157" s="13">
        <f t="shared" si="141"/>
        <v>82.813805255716545</v>
      </c>
      <c r="Q157" s="20">
        <f t="shared" si="162"/>
        <v>764.41193582037283</v>
      </c>
      <c r="R157" s="59">
        <f t="shared" si="109"/>
        <v>1057.7452691537062</v>
      </c>
      <c r="S157" s="59">
        <f ca="1">AVERAGE(OFFSET($R$3,0,0,'Données projet'!$E$9+1,1))-AVERAGE(OFFSET($H$3,0,0,'Données projet'!$E$9+1,1))</f>
        <v>382.58588458673051</v>
      </c>
      <c r="T157" s="59">
        <f t="shared" si="142"/>
        <v>485.5120768430603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15.189731499060327</v>
      </c>
      <c r="AA157" s="21">
        <f>EXP(-LN(2)/25)*AA156+(1-EXP(-LN(2)/25))/(LN(2)/25)*Calculateur!V157*Calculateur!X157*VLOOKUP('Données projet'!$B$9,Paramètres!$A$1:$I$89,3,0)*0.475*44/12</f>
        <v>0.70481392688993694</v>
      </c>
      <c r="AB157" s="21">
        <f>EXP(-LN(2)/2)*AB156+(1-EXP(-LN(2)/2))/(LN(2)/2)*V157*Y157*VLOOKUP('Données projet'!$B$9,Paramètres!$A$1:$I$89,3,0)*0.475*44/12</f>
        <v>1.310105852090201E-18</v>
      </c>
      <c r="AC157" s="22">
        <f t="shared" si="163"/>
        <v>15.894545425950264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255.00000000000006</v>
      </c>
      <c r="AJ157" s="13">
        <f>AI157*VLOOKUP('Données projet'!$B$10,Paramètres!$A$1:$I$89,3,0)*VLOOKUP('Données projet'!$B$10,Paramètres!$A$1:$I$89,5,0)</f>
        <v>186.96600000000004</v>
      </c>
      <c r="AK157" s="13">
        <f t="shared" si="164"/>
        <v>46.868551400324648</v>
      </c>
      <c r="AL157" s="20">
        <f t="shared" si="165"/>
        <v>407.26184368889881</v>
      </c>
      <c r="AM157" s="59">
        <f t="shared" si="113"/>
        <v>700.59517702223206</v>
      </c>
      <c r="AN157" s="59">
        <f ca="1">AVERAGE(OFFSET($AM$3,0,0,'Données projet'!$E$10+1,1))-AVERAGE(OFFSET($H$3,0,0,'Données projet'!$E$10+1,1))</f>
        <v>188.36883552879721</v>
      </c>
      <c r="AO157" s="59">
        <f t="shared" si="144"/>
        <v>152.51465338737705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0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1">
        <f t="shared" si="140"/>
        <v>35.798519897115533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67">
        <f t="shared" si="110"/>
        <v>559.06270548747648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636.99999999999977</v>
      </c>
      <c r="O158" s="13">
        <f>N158*VLOOKUP('Données projet'!$B$9,Paramètres!$A$1:$I$89,3,0)*VLOOKUP('Données projet'!$B$9,Paramètres!$A$1:$I$89,5,0)</f>
        <v>356.08299999999991</v>
      </c>
      <c r="P158" s="13">
        <f t="shared" si="141"/>
        <v>82.813805255716545</v>
      </c>
      <c r="Q158" s="20">
        <f t="shared" si="162"/>
        <v>764.41193582037283</v>
      </c>
      <c r="R158" s="59">
        <f t="shared" si="109"/>
        <v>1057.7452691537062</v>
      </c>
      <c r="S158" s="59">
        <f ca="1">AVERAGE(OFFSET($R$3,0,0,'Données projet'!$E$9+1,1))-AVERAGE(OFFSET($H$3,0,0,'Données projet'!$E$9+1,1))</f>
        <v>382.58588458673051</v>
      </c>
      <c r="T158" s="59">
        <f t="shared" si="142"/>
        <v>485.5120768430603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14.891870129185143</v>
      </c>
      <c r="AA158" s="21">
        <f>EXP(-LN(2)/25)*AA157+(1-EXP(-LN(2)/25))/(LN(2)/25)*Calculateur!V158*Calculateur!X158*VLOOKUP('Données projet'!$B$9,Paramètres!$A$1:$I$89,3,0)*0.475*44/12</f>
        <v>0.68554075299457806</v>
      </c>
      <c r="AB158" s="21">
        <f>EXP(-LN(2)/2)*AB157+(1-EXP(-LN(2)/2))/(LN(2)/2)*V158*Y158*VLOOKUP('Données projet'!$B$9,Paramètres!$A$1:$I$89,3,0)*0.475*44/12</f>
        <v>9.2638473208516112E-19</v>
      </c>
      <c r="AC158" s="22">
        <f t="shared" si="163"/>
        <v>15.577410882179722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255.00000000000006</v>
      </c>
      <c r="AJ158" s="13">
        <f>AI158*VLOOKUP('Données projet'!$B$10,Paramètres!$A$1:$I$89,3,0)*VLOOKUP('Données projet'!$B$10,Paramètres!$A$1:$I$89,5,0)</f>
        <v>186.96600000000004</v>
      </c>
      <c r="AK158" s="13">
        <f t="shared" si="164"/>
        <v>46.868551400324648</v>
      </c>
      <c r="AL158" s="20">
        <f t="shared" si="165"/>
        <v>407.26184368889881</v>
      </c>
      <c r="AM158" s="59">
        <f t="shared" si="113"/>
        <v>700.59517702223206</v>
      </c>
      <c r="AN158" s="59">
        <f ca="1">AVERAGE(OFFSET($AM$3,0,0,'Données projet'!$E$10+1,1))-AVERAGE(OFFSET($H$3,0,0,'Données projet'!$E$10+1,1))</f>
        <v>188.36883552879721</v>
      </c>
      <c r="AO158" s="59">
        <f t="shared" si="144"/>
        <v>152.51465338737705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0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1">
        <f t="shared" si="140"/>
        <v>36.002518112950014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67">
        <f t="shared" si="110"/>
        <v>560.96669238005484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636.99999999999977</v>
      </c>
      <c r="O159" s="13">
        <f>N159*VLOOKUP('Données projet'!$B$9,Paramètres!$A$1:$I$89,3,0)*VLOOKUP('Données projet'!$B$9,Paramètres!$A$1:$I$89,5,0)</f>
        <v>356.08299999999991</v>
      </c>
      <c r="P159" s="13">
        <f t="shared" si="141"/>
        <v>82.813805255716545</v>
      </c>
      <c r="Q159" s="20">
        <f t="shared" si="162"/>
        <v>764.41193582037283</v>
      </c>
      <c r="R159" s="59">
        <f t="shared" si="109"/>
        <v>1057.7452691537062</v>
      </c>
      <c r="S159" s="59">
        <f ca="1">AVERAGE(OFFSET($R$3,0,0,'Données projet'!$E$9+1,1))-AVERAGE(OFFSET($H$3,0,0,'Données projet'!$E$9+1,1))</f>
        <v>382.58588458673051</v>
      </c>
      <c r="T159" s="59">
        <f t="shared" si="142"/>
        <v>485.5120768430603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14.599849639095716</v>
      </c>
      <c r="AA159" s="21">
        <f>EXP(-LN(2)/25)*AA158+(1-EXP(-LN(2)/25))/(LN(2)/25)*Calculateur!V159*Calculateur!X159*VLOOKUP('Données projet'!$B$9,Paramètres!$A$1:$I$89,3,0)*0.475*44/12</f>
        <v>0.66679460505291999</v>
      </c>
      <c r="AB159" s="21">
        <f>EXP(-LN(2)/2)*AB158+(1-EXP(-LN(2)/2))/(LN(2)/2)*V159*Y159*VLOOKUP('Données projet'!$B$9,Paramètres!$A$1:$I$89,3,0)*0.475*44/12</f>
        <v>6.5505292604510048E-19</v>
      </c>
      <c r="AC159" s="22">
        <f t="shared" si="163"/>
        <v>15.266644244148635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255.00000000000006</v>
      </c>
      <c r="AJ159" s="13">
        <f>AI159*VLOOKUP('Données projet'!$B$10,Paramètres!$A$1:$I$89,3,0)*VLOOKUP('Données projet'!$B$10,Paramètres!$A$1:$I$89,5,0)</f>
        <v>186.96600000000004</v>
      </c>
      <c r="AK159" s="13">
        <f t="shared" si="164"/>
        <v>46.868551400324648</v>
      </c>
      <c r="AL159" s="20">
        <f t="shared" si="165"/>
        <v>407.26184368889881</v>
      </c>
      <c r="AM159" s="59">
        <f t="shared" si="113"/>
        <v>700.59517702223206</v>
      </c>
      <c r="AN159" s="59">
        <f ca="1">AVERAGE(OFFSET($AM$3,0,0,'Données projet'!$E$10+1,1))-AVERAGE(OFFSET($H$3,0,0,'Données projet'!$E$10+1,1))</f>
        <v>188.36883552879721</v>
      </c>
      <c r="AO159" s="59">
        <f t="shared" si="144"/>
        <v>152.51465338737705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0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1">
        <f t="shared" si="140"/>
        <v>36.206364170402217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67">
        <f t="shared" si="110"/>
        <v>562.8704142634507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636.99999999999977</v>
      </c>
      <c r="O160" s="13">
        <f>N160*VLOOKUP('Données projet'!$B$9,Paramètres!$A$1:$I$89,3,0)*VLOOKUP('Données projet'!$B$9,Paramètres!$A$1:$I$89,5,0)</f>
        <v>356.08299999999991</v>
      </c>
      <c r="P160" s="13">
        <f t="shared" si="141"/>
        <v>82.813805255716545</v>
      </c>
      <c r="Q160" s="20">
        <f t="shared" si="162"/>
        <v>764.41193582037283</v>
      </c>
      <c r="R160" s="59">
        <f t="shared" si="109"/>
        <v>1057.7452691537062</v>
      </c>
      <c r="S160" s="59">
        <f ca="1">AVERAGE(OFFSET($R$3,0,0,'Données projet'!$E$9+1,1))-AVERAGE(OFFSET($H$3,0,0,'Données projet'!$E$9+1,1))</f>
        <v>382.58588458673051</v>
      </c>
      <c r="T160" s="59">
        <f t="shared" si="142"/>
        <v>485.5120768430603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14.313555492702029</v>
      </c>
      <c r="AA160" s="21">
        <f>EXP(-LN(2)/25)*AA159+(1-EXP(-LN(2)/25))/(LN(2)/25)*Calculateur!V160*Calculateur!X160*VLOOKUP('Données projet'!$B$9,Paramètres!$A$1:$I$89,3,0)*0.475*44/12</f>
        <v>0.64856107151254361</v>
      </c>
      <c r="AB160" s="21">
        <f>EXP(-LN(2)/2)*AB159+(1-EXP(-LN(2)/2))/(LN(2)/2)*V160*Y160*VLOOKUP('Données projet'!$B$9,Paramètres!$A$1:$I$89,3,0)*0.475*44/12</f>
        <v>4.6319236604258056E-19</v>
      </c>
      <c r="AC160" s="22">
        <f t="shared" si="163"/>
        <v>14.962116564214574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255.00000000000006</v>
      </c>
      <c r="AJ160" s="13">
        <f>AI160*VLOOKUP('Données projet'!$B$10,Paramètres!$A$1:$I$89,3,0)*VLOOKUP('Données projet'!$B$10,Paramètres!$A$1:$I$89,5,0)</f>
        <v>186.96600000000004</v>
      </c>
      <c r="AK160" s="13">
        <f t="shared" si="164"/>
        <v>46.868551400324648</v>
      </c>
      <c r="AL160" s="20">
        <f t="shared" si="165"/>
        <v>407.26184368889881</v>
      </c>
      <c r="AM160" s="59">
        <f t="shared" si="113"/>
        <v>700.59517702223206</v>
      </c>
      <c r="AN160" s="59">
        <f ca="1">AVERAGE(OFFSET($AM$3,0,0,'Données projet'!$E$10+1,1))-AVERAGE(OFFSET($H$3,0,0,'Données projet'!$E$10+1,1))</f>
        <v>188.36883552879721</v>
      </c>
      <c r="AO160" s="59">
        <f t="shared" si="144"/>
        <v>152.51465338737705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0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1">
        <f t="shared" si="140"/>
        <v>36.410059151057943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67">
        <f t="shared" si="110"/>
        <v>564.77387302142597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636.99999999999977</v>
      </c>
      <c r="O161" s="13">
        <f>N161*VLOOKUP('Données projet'!$B$9,Paramètres!$A$1:$I$89,3,0)*VLOOKUP('Données projet'!$B$9,Paramètres!$A$1:$I$89,5,0)</f>
        <v>356.08299999999991</v>
      </c>
      <c r="P161" s="13">
        <f t="shared" si="141"/>
        <v>82.813805255716545</v>
      </c>
      <c r="Q161" s="20">
        <f t="shared" si="162"/>
        <v>764.41193582037283</v>
      </c>
      <c r="R161" s="59">
        <f t="shared" si="109"/>
        <v>1057.7452691537062</v>
      </c>
      <c r="S161" s="59">
        <f ca="1">AVERAGE(OFFSET($R$3,0,0,'Données projet'!$E$9+1,1))-AVERAGE(OFFSET($H$3,0,0,'Données projet'!$E$9+1,1))</f>
        <v>382.58588458673051</v>
      </c>
      <c r="T161" s="59">
        <f t="shared" si="142"/>
        <v>485.5120768430603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14.032875399896938</v>
      </c>
      <c r="AA161" s="21">
        <f>EXP(-LN(2)/25)*AA160+(1-EXP(-LN(2)/25))/(LN(2)/25)*Calculateur!V161*Calculateur!X161*VLOOKUP('Données projet'!$B$9,Paramètres!$A$1:$I$89,3,0)*0.475*44/12</f>
        <v>0.63082613490568862</v>
      </c>
      <c r="AB161" s="21">
        <f>EXP(-LN(2)/2)*AB160+(1-EXP(-LN(2)/2))/(LN(2)/2)*V161*Y161*VLOOKUP('Données projet'!$B$9,Paramètres!$A$1:$I$89,3,0)*0.475*44/12</f>
        <v>3.2752646302255024E-19</v>
      </c>
      <c r="AC161" s="22">
        <f t="shared" si="163"/>
        <v>14.663701534802627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255.00000000000006</v>
      </c>
      <c r="AJ161" s="13">
        <f>AI161*VLOOKUP('Données projet'!$B$10,Paramètres!$A$1:$I$89,3,0)*VLOOKUP('Données projet'!$B$10,Paramètres!$A$1:$I$89,5,0)</f>
        <v>186.96600000000004</v>
      </c>
      <c r="AK161" s="13">
        <f t="shared" si="164"/>
        <v>46.868551400324648</v>
      </c>
      <c r="AL161" s="20">
        <f t="shared" si="165"/>
        <v>407.26184368889881</v>
      </c>
      <c r="AM161" s="59">
        <f t="shared" si="113"/>
        <v>700.59517702223206</v>
      </c>
      <c r="AN161" s="59">
        <f ca="1">AVERAGE(OFFSET($AM$3,0,0,'Données projet'!$E$10+1,1))-AVERAGE(OFFSET($H$3,0,0,'Données projet'!$E$10+1,1))</f>
        <v>188.36883552879721</v>
      </c>
      <c r="AO161" s="59">
        <f t="shared" si="144"/>
        <v>152.51465338737705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0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1">
        <f t="shared" si="140"/>
        <v>36.613604122020263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67">
        <f t="shared" si="110"/>
        <v>566.67707051251875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636.99999999999977</v>
      </c>
      <c r="O162" s="13">
        <f>N162*VLOOKUP('Données projet'!$B$9,Paramètres!$A$1:$I$89,3,0)*VLOOKUP('Données projet'!$B$9,Paramètres!$A$1:$I$89,5,0)</f>
        <v>356.08299999999991</v>
      </c>
      <c r="P162" s="13">
        <f t="shared" si="141"/>
        <v>82.813805255716545</v>
      </c>
      <c r="Q162" s="20">
        <f t="shared" si="162"/>
        <v>764.41193582037283</v>
      </c>
      <c r="R162" s="59">
        <f t="shared" si="109"/>
        <v>1057.7452691537062</v>
      </c>
      <c r="S162" s="59">
        <f ca="1">AVERAGE(OFFSET($R$3,0,0,'Données projet'!$E$9+1,1))-AVERAGE(OFFSET($H$3,0,0,'Données projet'!$E$9+1,1))</f>
        <v>382.58588458673051</v>
      </c>
      <c r="T162" s="59">
        <f t="shared" si="142"/>
        <v>485.5120768430603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13.757699272513801</v>
      </c>
      <c r="AA162" s="21">
        <f>EXP(-LN(2)/25)*AA161+(1-EXP(-LN(2)/25))/(LN(2)/25)*Calculateur!V162*Calculateur!X162*VLOOKUP('Données projet'!$B$9,Paramètres!$A$1:$I$89,3,0)*0.475*44/12</f>
        <v>0.61357616107298785</v>
      </c>
      <c r="AB162" s="21">
        <f>EXP(-LN(2)/2)*AB161+(1-EXP(-LN(2)/2))/(LN(2)/2)*V162*Y162*VLOOKUP('Données projet'!$B$9,Paramètres!$A$1:$I$89,3,0)*0.475*44/12</f>
        <v>2.3159618302129028E-19</v>
      </c>
      <c r="AC162" s="22">
        <f t="shared" si="163"/>
        <v>14.371275433586788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255.00000000000006</v>
      </c>
      <c r="AJ162" s="13">
        <f>AI162*VLOOKUP('Données projet'!$B$10,Paramètres!$A$1:$I$89,3,0)*VLOOKUP('Données projet'!$B$10,Paramètres!$A$1:$I$89,5,0)</f>
        <v>186.96600000000004</v>
      </c>
      <c r="AK162" s="13">
        <f t="shared" si="164"/>
        <v>46.868551400324648</v>
      </c>
      <c r="AL162" s="20">
        <f t="shared" si="165"/>
        <v>407.26184368889881</v>
      </c>
      <c r="AM162" s="59">
        <f t="shared" si="113"/>
        <v>700.59517702223206</v>
      </c>
      <c r="AN162" s="59">
        <f ca="1">AVERAGE(OFFSET($AM$3,0,0,'Données projet'!$E$10+1,1))-AVERAGE(OFFSET($H$3,0,0,'Données projet'!$E$10+1,1))</f>
        <v>188.36883552879721</v>
      </c>
      <c r="AO162" s="59">
        <f t="shared" si="144"/>
        <v>152.51465338737705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0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1">
        <f t="shared" si="140"/>
        <v>36.817000136193258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67">
        <f t="shared" si="110"/>
        <v>568.58000857053662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636.99999999999977</v>
      </c>
      <c r="O163" s="13">
        <f>N163*VLOOKUP('Données projet'!$B$9,Paramètres!$A$1:$I$89,3,0)*VLOOKUP('Données projet'!$B$9,Paramètres!$A$1:$I$89,5,0)</f>
        <v>356.08299999999991</v>
      </c>
      <c r="P163" s="13">
        <f t="shared" si="141"/>
        <v>82.813805255716545</v>
      </c>
      <c r="Q163" s="20">
        <f t="shared" si="162"/>
        <v>764.41193582037283</v>
      </c>
      <c r="R163" s="59">
        <f t="shared" si="109"/>
        <v>1057.7452691537062</v>
      </c>
      <c r="S163" s="59">
        <f ca="1">AVERAGE(OFFSET($R$3,0,0,'Données projet'!$E$9+1,1))-AVERAGE(OFFSET($H$3,0,0,'Données projet'!$E$9+1,1))</f>
        <v>382.58588458673051</v>
      </c>
      <c r="T163" s="59">
        <f t="shared" si="142"/>
        <v>485.5120768430603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13.487919181147783</v>
      </c>
      <c r="AA163" s="21">
        <f>EXP(-LN(2)/25)*AA162+(1-EXP(-LN(2)/25))/(LN(2)/25)*Calculateur!V163*Calculateur!X163*VLOOKUP('Données projet'!$B$9,Paramètres!$A$1:$I$89,3,0)*0.475*44/12</f>
        <v>0.596797888681879</v>
      </c>
      <c r="AB163" s="21">
        <f>EXP(-LN(2)/2)*AB162+(1-EXP(-LN(2)/2))/(LN(2)/2)*V163*Y163*VLOOKUP('Données projet'!$B$9,Paramètres!$A$1:$I$89,3,0)*0.475*44/12</f>
        <v>1.6376323151127512E-19</v>
      </c>
      <c r="AC163" s="22">
        <f t="shared" si="163"/>
        <v>14.084717069829662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255.00000000000006</v>
      </c>
      <c r="AJ163" s="13">
        <f>AI163*VLOOKUP('Données projet'!$B$10,Paramètres!$A$1:$I$89,3,0)*VLOOKUP('Données projet'!$B$10,Paramètres!$A$1:$I$89,5,0)</f>
        <v>186.96600000000004</v>
      </c>
      <c r="AK163" s="13">
        <f t="shared" si="164"/>
        <v>46.868551400324648</v>
      </c>
      <c r="AL163" s="20">
        <f t="shared" si="165"/>
        <v>407.26184368889881</v>
      </c>
      <c r="AM163" s="59">
        <f t="shared" si="113"/>
        <v>700.59517702223206</v>
      </c>
      <c r="AN163" s="59">
        <f ca="1">AVERAGE(OFFSET($AM$3,0,0,'Données projet'!$E$10+1,1))-AVERAGE(OFFSET($H$3,0,0,'Données projet'!$E$10+1,1))</f>
        <v>188.36883552879721</v>
      </c>
      <c r="AO163" s="59">
        <f t="shared" si="144"/>
        <v>152.51465338737705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0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1">
        <f t="shared" si="140"/>
        <v>37.020248232558458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67">
        <f t="shared" si="110"/>
        <v>570.48268900503945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636.99999999999977</v>
      </c>
      <c r="O164" s="13">
        <f>N164*VLOOKUP('Données projet'!$B$9,Paramètres!$A$1:$I$89,3,0)*VLOOKUP('Données projet'!$B$9,Paramètres!$A$1:$I$89,5,0)</f>
        <v>356.08299999999991</v>
      </c>
      <c r="P164" s="13">
        <f t="shared" si="141"/>
        <v>82.813805255716545</v>
      </c>
      <c r="Q164" s="20">
        <f t="shared" si="162"/>
        <v>764.41193582037283</v>
      </c>
      <c r="R164" s="59">
        <f t="shared" si="109"/>
        <v>1057.7452691537062</v>
      </c>
      <c r="S164" s="59">
        <f ca="1">AVERAGE(OFFSET($R$3,0,0,'Données projet'!$E$9+1,1))-AVERAGE(OFFSET($H$3,0,0,'Données projet'!$E$9+1,1))</f>
        <v>382.58588458673051</v>
      </c>
      <c r="T164" s="59">
        <f t="shared" si="142"/>
        <v>485.5120768430603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13.223429312823844</v>
      </c>
      <c r="AA164" s="21">
        <f>EXP(-LN(2)/25)*AA163+(1-EXP(-LN(2)/25))/(LN(2)/25)*Calculateur!V164*Calculateur!X164*VLOOKUP('Données projet'!$B$9,Paramètres!$A$1:$I$89,3,0)*0.475*44/12</f>
        <v>0.58047841903163599</v>
      </c>
      <c r="AB164" s="21">
        <f>EXP(-LN(2)/2)*AB163+(1-EXP(-LN(2)/2))/(LN(2)/2)*V164*Y164*VLOOKUP('Données projet'!$B$9,Paramètres!$A$1:$I$89,3,0)*0.475*44/12</f>
        <v>1.1579809151064514E-19</v>
      </c>
      <c r="AC164" s="22">
        <f t="shared" si="163"/>
        <v>13.80390773185548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255.00000000000006</v>
      </c>
      <c r="AJ164" s="13">
        <f>AI164*VLOOKUP('Données projet'!$B$10,Paramètres!$A$1:$I$89,3,0)*VLOOKUP('Données projet'!$B$10,Paramètres!$A$1:$I$89,5,0)</f>
        <v>186.96600000000004</v>
      </c>
      <c r="AK164" s="13">
        <f t="shared" si="164"/>
        <v>46.868551400324648</v>
      </c>
      <c r="AL164" s="20">
        <f t="shared" si="165"/>
        <v>407.26184368889881</v>
      </c>
      <c r="AM164" s="59">
        <f t="shared" si="113"/>
        <v>700.59517702223206</v>
      </c>
      <c r="AN164" s="59">
        <f ca="1">AVERAGE(OFFSET($AM$3,0,0,'Données projet'!$E$10+1,1))-AVERAGE(OFFSET($H$3,0,0,'Données projet'!$E$10+1,1))</f>
        <v>188.36883552879721</v>
      </c>
      <c r="AO164" s="59">
        <f t="shared" si="144"/>
        <v>152.51465338737705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0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1">
        <f t="shared" si="140"/>
        <v>37.223349436444416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67">
        <f t="shared" si="110"/>
        <v>572.38511360180746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636.99999999999977</v>
      </c>
      <c r="O165" s="13">
        <f>N165*VLOOKUP('Données projet'!$B$9,Paramètres!$A$1:$I$89,3,0)*VLOOKUP('Données projet'!$B$9,Paramètres!$A$1:$I$89,5,0)</f>
        <v>356.08299999999991</v>
      </c>
      <c r="P165" s="13">
        <f t="shared" si="141"/>
        <v>82.813805255716545</v>
      </c>
      <c r="Q165" s="20">
        <f t="shared" si="162"/>
        <v>764.41193582037283</v>
      </c>
      <c r="R165" s="59">
        <f t="shared" si="109"/>
        <v>1057.7452691537062</v>
      </c>
      <c r="S165" s="59">
        <f ca="1">AVERAGE(OFFSET($R$3,0,0,'Données projet'!$E$9+1,1))-AVERAGE(OFFSET($H$3,0,0,'Données projet'!$E$9+1,1))</f>
        <v>382.58588458673051</v>
      </c>
      <c r="T165" s="59">
        <f t="shared" si="142"/>
        <v>485.5120768430603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12.964125929494848</v>
      </c>
      <c r="AA165" s="21">
        <f>EXP(-LN(2)/25)*AA164+(1-EXP(-LN(2)/25))/(LN(2)/25)*Calculateur!V165*Calculateur!X165*VLOOKUP('Données projet'!$B$9,Paramètres!$A$1:$I$89,3,0)*0.475*44/12</f>
        <v>0.56460520613718257</v>
      </c>
      <c r="AB165" s="21">
        <f>EXP(-LN(2)/2)*AB164+(1-EXP(-LN(2)/2))/(LN(2)/2)*V165*Y165*VLOOKUP('Données projet'!$B$9,Paramètres!$A$1:$I$89,3,0)*0.475*44/12</f>
        <v>8.188161575563756E-20</v>
      </c>
      <c r="AC165" s="22">
        <f t="shared" si="163"/>
        <v>13.528731135632031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255.00000000000006</v>
      </c>
      <c r="AJ165" s="13">
        <f>AI165*VLOOKUP('Données projet'!$B$10,Paramètres!$A$1:$I$89,3,0)*VLOOKUP('Données projet'!$B$10,Paramètres!$A$1:$I$89,5,0)</f>
        <v>186.96600000000004</v>
      </c>
      <c r="AK165" s="13">
        <f t="shared" si="164"/>
        <v>46.868551400324648</v>
      </c>
      <c r="AL165" s="20">
        <f t="shared" si="165"/>
        <v>407.26184368889881</v>
      </c>
      <c r="AM165" s="59">
        <f t="shared" si="113"/>
        <v>700.59517702223206</v>
      </c>
      <c r="AN165" s="59">
        <f ca="1">AVERAGE(OFFSET($AM$3,0,0,'Données projet'!$E$10+1,1))-AVERAGE(OFFSET($H$3,0,0,'Données projet'!$E$10+1,1))</f>
        <v>188.36883552879721</v>
      </c>
      <c r="AO165" s="59">
        <f t="shared" si="144"/>
        <v>152.51465338737705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0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1">
        <f t="shared" si="140"/>
        <v>37.426304759789126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67">
        <f t="shared" si="110"/>
        <v>574.28728412329951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636.99999999999977</v>
      </c>
      <c r="O166" s="13">
        <f>N166*VLOOKUP('Données projet'!$B$9,Paramètres!$A$1:$I$89,3,0)*VLOOKUP('Données projet'!$B$9,Paramètres!$A$1:$I$89,5,0)</f>
        <v>356.08299999999991</v>
      </c>
      <c r="P166" s="13">
        <f t="shared" si="141"/>
        <v>82.813805255716545</v>
      </c>
      <c r="Q166" s="20">
        <f t="shared" si="162"/>
        <v>764.41193582037283</v>
      </c>
      <c r="R166" s="59">
        <f t="shared" si="109"/>
        <v>1057.7452691537062</v>
      </c>
      <c r="S166" s="59">
        <f ca="1">AVERAGE(OFFSET($R$3,0,0,'Données projet'!$E$9+1,1))-AVERAGE(OFFSET($H$3,0,0,'Données projet'!$E$9+1,1))</f>
        <v>382.58588458673051</v>
      </c>
      <c r="T166" s="59">
        <f t="shared" si="142"/>
        <v>485.5120768430603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12.709907327353486</v>
      </c>
      <c r="AA166" s="21">
        <f>EXP(-LN(2)/25)*AA165+(1-EXP(-LN(2)/25))/(LN(2)/25)*Calculateur!V166*Calculateur!X166*VLOOKUP('Données projet'!$B$9,Paramètres!$A$1:$I$89,3,0)*0.475*44/12</f>
        <v>0.54916604708406391</v>
      </c>
      <c r="AB166" s="21">
        <f>EXP(-LN(2)/2)*AB165+(1-EXP(-LN(2)/2))/(LN(2)/2)*V166*Y166*VLOOKUP('Données projet'!$B$9,Paramètres!$A$1:$I$89,3,0)*0.475*44/12</f>
        <v>5.789904575532257E-20</v>
      </c>
      <c r="AC166" s="22">
        <f t="shared" si="163"/>
        <v>13.25907337443755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255.00000000000006</v>
      </c>
      <c r="AJ166" s="13">
        <f>AI166*VLOOKUP('Données projet'!$B$10,Paramètres!$A$1:$I$89,3,0)*VLOOKUP('Données projet'!$B$10,Paramètres!$A$1:$I$89,5,0)</f>
        <v>186.96600000000004</v>
      </c>
      <c r="AK166" s="13">
        <f t="shared" si="164"/>
        <v>46.868551400324648</v>
      </c>
      <c r="AL166" s="20">
        <f t="shared" si="165"/>
        <v>407.26184368889881</v>
      </c>
      <c r="AM166" s="59">
        <f t="shared" si="113"/>
        <v>700.59517702223206</v>
      </c>
      <c r="AN166" s="59">
        <f ca="1">AVERAGE(OFFSET($AM$3,0,0,'Données projet'!$E$10+1,1))-AVERAGE(OFFSET($H$3,0,0,'Données projet'!$E$10+1,1))</f>
        <v>188.36883552879721</v>
      </c>
      <c r="AO166" s="59">
        <f t="shared" si="144"/>
        <v>152.51465338737705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0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1">
        <f t="shared" si="140"/>
        <v>37.629115201395898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67">
        <f t="shared" si="110"/>
        <v>576.18920230909794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636.99999999999977</v>
      </c>
      <c r="O167" s="13">
        <f>N167*VLOOKUP('Données projet'!$B$9,Paramètres!$A$1:$I$89,3,0)*VLOOKUP('Données projet'!$B$9,Paramètres!$A$1:$I$89,5,0)</f>
        <v>356.08299999999991</v>
      </c>
      <c r="P167" s="13">
        <f t="shared" si="141"/>
        <v>82.813805255716545</v>
      </c>
      <c r="Q167" s="20">
        <f t="shared" si="162"/>
        <v>764.41193582037283</v>
      </c>
      <c r="R167" s="59">
        <f t="shared" si="109"/>
        <v>1057.7452691537062</v>
      </c>
      <c r="S167" s="59">
        <f ca="1">AVERAGE(OFFSET($R$3,0,0,'Données projet'!$E$9+1,1))-AVERAGE(OFFSET($H$3,0,0,'Données projet'!$E$9+1,1))</f>
        <v>382.58588458673051</v>
      </c>
      <c r="T167" s="59">
        <f t="shared" si="142"/>
        <v>485.5120768430603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12.46067379694208</v>
      </c>
      <c r="AA167" s="21">
        <f>EXP(-LN(2)/25)*AA166+(1-EXP(-LN(2)/25))/(LN(2)/25)*Calculateur!V167*Calculateur!X167*VLOOKUP('Données projet'!$B$9,Paramètres!$A$1:$I$89,3,0)*0.475*44/12</f>
        <v>0.53414907264716294</v>
      </c>
      <c r="AB167" s="21">
        <f>EXP(-LN(2)/2)*AB166+(1-EXP(-LN(2)/2))/(LN(2)/2)*V167*Y167*VLOOKUP('Données projet'!$B$9,Paramètres!$A$1:$I$89,3,0)*0.475*44/12</f>
        <v>4.094080787781878E-20</v>
      </c>
      <c r="AC167" s="22">
        <f t="shared" si="163"/>
        <v>12.994822869589242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255.00000000000006</v>
      </c>
      <c r="AJ167" s="13">
        <f>AI167*VLOOKUP('Données projet'!$B$10,Paramètres!$A$1:$I$89,3,0)*VLOOKUP('Données projet'!$B$10,Paramètres!$A$1:$I$89,5,0)</f>
        <v>186.96600000000004</v>
      </c>
      <c r="AK167" s="13">
        <f t="shared" si="164"/>
        <v>46.868551400324648</v>
      </c>
      <c r="AL167" s="20">
        <f t="shared" si="165"/>
        <v>407.26184368889881</v>
      </c>
      <c r="AM167" s="59">
        <f t="shared" si="113"/>
        <v>700.59517702223206</v>
      </c>
      <c r="AN167" s="59">
        <f ca="1">AVERAGE(OFFSET($AM$3,0,0,'Données projet'!$E$10+1,1))-AVERAGE(OFFSET($H$3,0,0,'Données projet'!$E$10+1,1))</f>
        <v>188.36883552879721</v>
      </c>
      <c r="AO167" s="59">
        <f t="shared" si="144"/>
        <v>152.51465338737705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0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1">
        <f t="shared" si="140"/>
        <v>37.831781747183037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67">
        <f t="shared" si="110"/>
        <v>578.09086987634385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636.99999999999977</v>
      </c>
      <c r="O168" s="13">
        <f>N168*VLOOKUP('Données projet'!$B$9,Paramètres!$A$1:$I$89,3,0)*VLOOKUP('Données projet'!$B$9,Paramètres!$A$1:$I$89,5,0)</f>
        <v>356.08299999999991</v>
      </c>
      <c r="P168" s="13">
        <f t="shared" si="141"/>
        <v>82.813805255716545</v>
      </c>
      <c r="Q168" s="20">
        <f t="shared" si="162"/>
        <v>764.41193582037283</v>
      </c>
      <c r="R168" s="59">
        <f t="shared" si="109"/>
        <v>1057.7452691537062</v>
      </c>
      <c r="S168" s="59">
        <f ca="1">AVERAGE(OFFSET($R$3,0,0,'Données projet'!$E$9+1,1))-AVERAGE(OFFSET($H$3,0,0,'Données projet'!$E$9+1,1))</f>
        <v>382.58588458673051</v>
      </c>
      <c r="T168" s="59">
        <f t="shared" si="142"/>
        <v>485.5120768430603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12.216327584044599</v>
      </c>
      <c r="AA168" s="21">
        <f>EXP(-LN(2)/25)*AA167+(1-EXP(-LN(2)/25))/(LN(2)/25)*Calculateur!V168*Calculateur!X168*VLOOKUP('Données projet'!$B$9,Paramètres!$A$1:$I$89,3,0)*0.475*44/12</f>
        <v>0.51954273816594732</v>
      </c>
      <c r="AB168" s="21">
        <f>EXP(-LN(2)/2)*AB167+(1-EXP(-LN(2)/2))/(LN(2)/2)*V168*Y168*VLOOKUP('Données projet'!$B$9,Paramètres!$A$1:$I$89,3,0)*0.475*44/12</f>
        <v>2.8949522877661285E-20</v>
      </c>
      <c r="AC168" s="22">
        <f t="shared" si="163"/>
        <v>12.735870322210546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255.00000000000006</v>
      </c>
      <c r="AJ168" s="13">
        <f>AI168*VLOOKUP('Données projet'!$B$10,Paramètres!$A$1:$I$89,3,0)*VLOOKUP('Données projet'!$B$10,Paramètres!$A$1:$I$89,5,0)</f>
        <v>186.96600000000004</v>
      </c>
      <c r="AK168" s="13">
        <f t="shared" si="164"/>
        <v>46.868551400324648</v>
      </c>
      <c r="AL168" s="20">
        <f t="shared" si="165"/>
        <v>407.26184368889881</v>
      </c>
      <c r="AM168" s="59">
        <f t="shared" si="113"/>
        <v>700.59517702223206</v>
      </c>
      <c r="AN168" s="59">
        <f ca="1">AVERAGE(OFFSET($AM$3,0,0,'Données projet'!$E$10+1,1))-AVERAGE(OFFSET($H$3,0,0,'Données projet'!$E$10+1,1))</f>
        <v>188.36883552879721</v>
      </c>
      <c r="AO168" s="59">
        <f t="shared" si="144"/>
        <v>152.51465338737705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0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1">
        <f t="shared" si="140"/>
        <v>38.034305370426985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67">
        <f t="shared" si="110"/>
        <v>579.99228852016029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636.99999999999977</v>
      </c>
      <c r="O169" s="13">
        <f>N169*VLOOKUP('Données projet'!$B$9,Paramètres!$A$1:$I$89,3,0)*VLOOKUP('Données projet'!$B$9,Paramètres!$A$1:$I$89,5,0)</f>
        <v>356.08299999999991</v>
      </c>
      <c r="P169" s="13">
        <f t="shared" si="141"/>
        <v>82.813805255716545</v>
      </c>
      <c r="Q169" s="20">
        <f t="shared" si="162"/>
        <v>764.41193582037283</v>
      </c>
      <c r="R169" s="59">
        <f t="shared" si="109"/>
        <v>1057.7452691537062</v>
      </c>
      <c r="S169" s="59">
        <f ca="1">AVERAGE(OFFSET($R$3,0,0,'Données projet'!$E$9+1,1))-AVERAGE(OFFSET($H$3,0,0,'Données projet'!$E$9+1,1))</f>
        <v>382.58588458673051</v>
      </c>
      <c r="T169" s="59">
        <f t="shared" si="142"/>
        <v>485.5120768430603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11.976772851345563</v>
      </c>
      <c r="AA169" s="21">
        <f>EXP(-LN(2)/25)*AA168+(1-EXP(-LN(2)/25))/(LN(2)/25)*Calculateur!V169*Calculateur!X169*VLOOKUP('Données projet'!$B$9,Paramètres!$A$1:$I$89,3,0)*0.475*44/12</f>
        <v>0.50533581466923427</v>
      </c>
      <c r="AB169" s="21">
        <f>EXP(-LN(2)/2)*AB168+(1-EXP(-LN(2)/2))/(LN(2)/2)*V169*Y169*VLOOKUP('Données projet'!$B$9,Paramètres!$A$1:$I$89,3,0)*0.475*44/12</f>
        <v>2.047040393890939E-20</v>
      </c>
      <c r="AC169" s="22">
        <f t="shared" si="163"/>
        <v>12.482108666014797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255.00000000000006</v>
      </c>
      <c r="AJ169" s="13">
        <f>AI169*VLOOKUP('Données projet'!$B$10,Paramètres!$A$1:$I$89,3,0)*VLOOKUP('Données projet'!$B$10,Paramètres!$A$1:$I$89,5,0)</f>
        <v>186.96600000000004</v>
      </c>
      <c r="AK169" s="13">
        <f t="shared" si="164"/>
        <v>46.868551400324648</v>
      </c>
      <c r="AL169" s="20">
        <f t="shared" si="165"/>
        <v>407.26184368889881</v>
      </c>
      <c r="AM169" s="59">
        <f t="shared" si="113"/>
        <v>700.59517702223206</v>
      </c>
      <c r="AN169" s="59">
        <f ca="1">AVERAGE(OFFSET($AM$3,0,0,'Données projet'!$E$10+1,1))-AVERAGE(OFFSET($H$3,0,0,'Données projet'!$E$10+1,1))</f>
        <v>188.36883552879721</v>
      </c>
      <c r="AO169" s="59">
        <f t="shared" si="144"/>
        <v>152.51465338737705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0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1">
        <f t="shared" si="140"/>
        <v>38.23668703199958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67">
        <f t="shared" si="110"/>
        <v>581.89345991406594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636.99999999999977</v>
      </c>
      <c r="O170" s="13">
        <f>N170*VLOOKUP('Données projet'!$B$9,Paramètres!$A$1:$I$89,3,0)*VLOOKUP('Données projet'!$B$9,Paramètres!$A$1:$I$89,5,0)</f>
        <v>356.08299999999991</v>
      </c>
      <c r="P170" s="13">
        <f t="shared" si="141"/>
        <v>82.813805255716545</v>
      </c>
      <c r="Q170" s="20">
        <f t="shared" si="162"/>
        <v>764.41193582037283</v>
      </c>
      <c r="R170" s="59">
        <f t="shared" si="109"/>
        <v>1057.7452691537062</v>
      </c>
      <c r="S170" s="59">
        <f ca="1">AVERAGE(OFFSET($R$3,0,0,'Données projet'!$E$9+1,1))-AVERAGE(OFFSET($H$3,0,0,'Données projet'!$E$9+1,1))</f>
        <v>382.58588458673051</v>
      </c>
      <c r="T170" s="59">
        <f t="shared" si="142"/>
        <v>485.5120768430603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11.741915640840796</v>
      </c>
      <c r="AA170" s="21">
        <f>EXP(-LN(2)/25)*AA169+(1-EXP(-LN(2)/25))/(LN(2)/25)*Calculateur!V170*Calculateur!X170*VLOOKUP('Données projet'!$B$9,Paramètres!$A$1:$I$89,3,0)*0.475*44/12</f>
        <v>0.49151738024264852</v>
      </c>
      <c r="AB170" s="21">
        <f>EXP(-LN(2)/2)*AB169+(1-EXP(-LN(2)/2))/(LN(2)/2)*V170*Y170*VLOOKUP('Données projet'!$B$9,Paramètres!$A$1:$I$89,3,0)*0.475*44/12</f>
        <v>1.4474761438830642E-20</v>
      </c>
      <c r="AC170" s="22">
        <f t="shared" si="163"/>
        <v>12.233433021083444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255.00000000000006</v>
      </c>
      <c r="AJ170" s="13">
        <f>AI170*VLOOKUP('Données projet'!$B$10,Paramètres!$A$1:$I$89,3,0)*VLOOKUP('Données projet'!$B$10,Paramètres!$A$1:$I$89,5,0)</f>
        <v>186.96600000000004</v>
      </c>
      <c r="AK170" s="13">
        <f t="shared" si="164"/>
        <v>46.868551400324648</v>
      </c>
      <c r="AL170" s="20">
        <f t="shared" si="165"/>
        <v>407.26184368889881</v>
      </c>
      <c r="AM170" s="59">
        <f t="shared" si="113"/>
        <v>700.59517702223206</v>
      </c>
      <c r="AN170" s="59">
        <f ca="1">AVERAGE(OFFSET($AM$3,0,0,'Données projet'!$E$10+1,1))-AVERAGE(OFFSET($H$3,0,0,'Données projet'!$E$10+1,1))</f>
        <v>188.36883552879721</v>
      </c>
      <c r="AO170" s="59">
        <f t="shared" si="144"/>
        <v>152.51465338737705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0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1">
        <f t="shared" si="140"/>
        <v>38.438927680599591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67">
        <f t="shared" si="110"/>
        <v>583.79438571037758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636.99999999999977</v>
      </c>
      <c r="O171" s="13">
        <f>N171*VLOOKUP('Données projet'!$B$9,Paramètres!$A$1:$I$89,3,0)*VLOOKUP('Données projet'!$B$9,Paramètres!$A$1:$I$89,5,0)</f>
        <v>356.08299999999991</v>
      </c>
      <c r="P171" s="13">
        <f t="shared" si="141"/>
        <v>82.813805255716545</v>
      </c>
      <c r="Q171" s="20">
        <f t="shared" si="162"/>
        <v>764.41193582037283</v>
      </c>
      <c r="R171" s="59">
        <f t="shared" si="109"/>
        <v>1057.7452691537062</v>
      </c>
      <c r="S171" s="59">
        <f ca="1">AVERAGE(OFFSET($R$3,0,0,'Données projet'!$E$9+1,1))-AVERAGE(OFFSET($H$3,0,0,'Données projet'!$E$9+1,1))</f>
        <v>382.58588458673051</v>
      </c>
      <c r="T171" s="59">
        <f t="shared" si="142"/>
        <v>485.5120768430603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11.511663836985274</v>
      </c>
      <c r="AA171" s="21">
        <f>EXP(-LN(2)/25)*AA170+(1-EXP(-LN(2)/25))/(LN(2)/25)*Calculateur!V171*Calculateur!X171*VLOOKUP('Données projet'!$B$9,Paramètres!$A$1:$I$89,3,0)*0.475*44/12</f>
        <v>0.47807681163213767</v>
      </c>
      <c r="AB171" s="21">
        <f>EXP(-LN(2)/2)*AB170+(1-EXP(-LN(2)/2))/(LN(2)/2)*V171*Y171*VLOOKUP('Données projet'!$B$9,Paramètres!$A$1:$I$89,3,0)*0.475*44/12</f>
        <v>1.0235201969454695E-20</v>
      </c>
      <c r="AC171" s="22">
        <f t="shared" si="163"/>
        <v>11.989740648617412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255.00000000000006</v>
      </c>
      <c r="AJ171" s="13">
        <f>AI171*VLOOKUP('Données projet'!$B$10,Paramètres!$A$1:$I$89,3,0)*VLOOKUP('Données projet'!$B$10,Paramètres!$A$1:$I$89,5,0)</f>
        <v>186.96600000000004</v>
      </c>
      <c r="AK171" s="13">
        <f t="shared" si="164"/>
        <v>46.868551400324648</v>
      </c>
      <c r="AL171" s="20">
        <f t="shared" si="165"/>
        <v>407.26184368889881</v>
      </c>
      <c r="AM171" s="59">
        <f t="shared" si="113"/>
        <v>700.59517702223206</v>
      </c>
      <c r="AN171" s="59">
        <f ca="1">AVERAGE(OFFSET($AM$3,0,0,'Données projet'!$E$10+1,1))-AVERAGE(OFFSET($H$3,0,0,'Données projet'!$E$10+1,1))</f>
        <v>188.36883552879721</v>
      </c>
      <c r="AO171" s="59">
        <f t="shared" si="144"/>
        <v>152.51465338737705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0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1">
        <f t="shared" si="140"/>
        <v>38.641028252978323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67">
        <f t="shared" si="110"/>
        <v>585.69506754060376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636.99999999999977</v>
      </c>
      <c r="O172" s="13">
        <f>N172*VLOOKUP('Données projet'!$B$9,Paramètres!$A$1:$I$89,3,0)*VLOOKUP('Données projet'!$B$9,Paramètres!$A$1:$I$89,5,0)</f>
        <v>356.08299999999991</v>
      </c>
      <c r="P172" s="13">
        <f t="shared" si="141"/>
        <v>82.813805255716545</v>
      </c>
      <c r="Q172" s="20">
        <f t="shared" si="162"/>
        <v>764.41193582037283</v>
      </c>
      <c r="R172" s="59">
        <f t="shared" si="109"/>
        <v>1057.7452691537062</v>
      </c>
      <c r="S172" s="59">
        <f ca="1">AVERAGE(OFFSET($R$3,0,0,'Données projet'!$E$9+1,1))-AVERAGE(OFFSET($H$3,0,0,'Données projet'!$E$9+1,1))</f>
        <v>382.58588458673051</v>
      </c>
      <c r="T172" s="59">
        <f t="shared" si="142"/>
        <v>485.5120768430603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11.285927130563627</v>
      </c>
      <c r="AA172" s="21">
        <f>EXP(-LN(2)/25)*AA171+(1-EXP(-LN(2)/25))/(LN(2)/25)*Calculateur!V172*Calculateur!X172*VLOOKUP('Données projet'!$B$9,Paramètres!$A$1:$I$89,3,0)*0.475*44/12</f>
        <v>0.46500377607708998</v>
      </c>
      <c r="AB172" s="21">
        <f>EXP(-LN(2)/2)*AB171+(1-EXP(-LN(2)/2))/(LN(2)/2)*V172*Y172*VLOOKUP('Données projet'!$B$9,Paramètres!$A$1:$I$89,3,0)*0.475*44/12</f>
        <v>7.2373807194153212E-21</v>
      </c>
      <c r="AC172" s="22">
        <f t="shared" si="163"/>
        <v>11.750930906640717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255.00000000000006</v>
      </c>
      <c r="AJ172" s="13">
        <f>AI172*VLOOKUP('Données projet'!$B$10,Paramètres!$A$1:$I$89,3,0)*VLOOKUP('Données projet'!$B$10,Paramètres!$A$1:$I$89,5,0)</f>
        <v>186.96600000000004</v>
      </c>
      <c r="AK172" s="13">
        <f t="shared" si="164"/>
        <v>46.868551400324648</v>
      </c>
      <c r="AL172" s="20">
        <f t="shared" si="165"/>
        <v>407.26184368889881</v>
      </c>
      <c r="AM172" s="59">
        <f t="shared" si="113"/>
        <v>700.59517702223206</v>
      </c>
      <c r="AN172" s="59">
        <f ca="1">AVERAGE(OFFSET($AM$3,0,0,'Données projet'!$E$10+1,1))-AVERAGE(OFFSET($H$3,0,0,'Données projet'!$E$10+1,1))</f>
        <v>188.36883552879721</v>
      </c>
      <c r="AO172" s="59">
        <f t="shared" si="144"/>
        <v>152.51465338737705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0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1">
        <f t="shared" si="140"/>
        <v>38.842989674159945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67">
        <f t="shared" si="110"/>
        <v>587.5955070158285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636.99999999999977</v>
      </c>
      <c r="O173" s="13">
        <f>N173*VLOOKUP('Données projet'!$B$9,Paramètres!$A$1:$I$89,3,0)*VLOOKUP('Données projet'!$B$9,Paramètres!$A$1:$I$89,5,0)</f>
        <v>356.08299999999991</v>
      </c>
      <c r="P173" s="13">
        <f t="shared" si="141"/>
        <v>82.813805255716545</v>
      </c>
      <c r="Q173" s="20">
        <f t="shared" si="162"/>
        <v>764.41193582037283</v>
      </c>
      <c r="R173" s="59">
        <f t="shared" si="109"/>
        <v>1057.7452691537062</v>
      </c>
      <c r="S173" s="59">
        <f ca="1">AVERAGE(OFFSET($R$3,0,0,'Données projet'!$E$9+1,1))-AVERAGE(OFFSET($H$3,0,0,'Données projet'!$E$9+1,1))</f>
        <v>382.58588458673051</v>
      </c>
      <c r="T173" s="59">
        <f t="shared" si="142"/>
        <v>485.5120768430603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11.064616983269111</v>
      </c>
      <c r="AA173" s="21">
        <f>EXP(-LN(2)/25)*AA172+(1-EXP(-LN(2)/25))/(LN(2)/25)*Calculateur!V173*Calculateur!X173*VLOOKUP('Données projet'!$B$9,Paramètres!$A$1:$I$89,3,0)*0.475*44/12</f>
        <v>0.45228822336677615</v>
      </c>
      <c r="AB173" s="21">
        <f>EXP(-LN(2)/2)*AB172+(1-EXP(-LN(2)/2))/(LN(2)/2)*V173*Y173*VLOOKUP('Données projet'!$B$9,Paramètres!$A$1:$I$89,3,0)*0.475*44/12</f>
        <v>5.1176009847273475E-21</v>
      </c>
      <c r="AC173" s="22">
        <f t="shared" si="163"/>
        <v>11.516905206635888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255.00000000000006</v>
      </c>
      <c r="AJ173" s="13">
        <f>AI173*VLOOKUP('Données projet'!$B$10,Paramètres!$A$1:$I$89,3,0)*VLOOKUP('Données projet'!$B$10,Paramètres!$A$1:$I$89,5,0)</f>
        <v>186.96600000000004</v>
      </c>
      <c r="AK173" s="13">
        <f t="shared" si="164"/>
        <v>46.868551400324648</v>
      </c>
      <c r="AL173" s="20">
        <f t="shared" si="165"/>
        <v>407.26184368889881</v>
      </c>
      <c r="AM173" s="59">
        <f t="shared" si="113"/>
        <v>700.59517702223206</v>
      </c>
      <c r="AN173" s="59">
        <f ca="1">AVERAGE(OFFSET($AM$3,0,0,'Données projet'!$E$10+1,1))-AVERAGE(OFFSET($H$3,0,0,'Données projet'!$E$10+1,1))</f>
        <v>188.36883552879721</v>
      </c>
      <c r="AO173" s="59">
        <f t="shared" si="144"/>
        <v>152.51465338737705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0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1">
        <f t="shared" si="140"/>
        <v>39.044812857656339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67">
        <f t="shared" si="110"/>
        <v>589.49570572708467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636.99999999999977</v>
      </c>
      <c r="O174" s="13">
        <f>N174*VLOOKUP('Données projet'!$B$9,Paramètres!$A$1:$I$89,3,0)*VLOOKUP('Données projet'!$B$9,Paramètres!$A$1:$I$89,5,0)</f>
        <v>356.08299999999991</v>
      </c>
      <c r="P174" s="13">
        <f t="shared" si="141"/>
        <v>82.813805255716545</v>
      </c>
      <c r="Q174" s="20">
        <f t="shared" si="162"/>
        <v>764.41193582037283</v>
      </c>
      <c r="R174" s="59">
        <f t="shared" si="109"/>
        <v>1057.7452691537062</v>
      </c>
      <c r="S174" s="59">
        <f ca="1">AVERAGE(OFFSET($R$3,0,0,'Données projet'!$E$9+1,1))-AVERAGE(OFFSET($H$3,0,0,'Données projet'!$E$9+1,1))</f>
        <v>382.58588458673051</v>
      </c>
      <c r="T174" s="59">
        <f t="shared" si="142"/>
        <v>485.5120768430603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10.847646592977179</v>
      </c>
      <c r="AA174" s="21">
        <f>EXP(-LN(2)/25)*AA173+(1-EXP(-LN(2)/25))/(LN(2)/25)*Calculateur!V174*Calculateur!X174*VLOOKUP('Données projet'!$B$9,Paramètres!$A$1:$I$89,3,0)*0.475*44/12</f>
        <v>0.43992037811400769</v>
      </c>
      <c r="AB174" s="21">
        <f>EXP(-LN(2)/2)*AB173+(1-EXP(-LN(2)/2))/(LN(2)/2)*V174*Y174*VLOOKUP('Données projet'!$B$9,Paramètres!$A$1:$I$89,3,0)*0.475*44/12</f>
        <v>3.6186903597076606E-21</v>
      </c>
      <c r="AC174" s="22">
        <f t="shared" si="163"/>
        <v>11.287566971091188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255.00000000000006</v>
      </c>
      <c r="AJ174" s="13">
        <f>AI174*VLOOKUP('Données projet'!$B$10,Paramètres!$A$1:$I$89,3,0)*VLOOKUP('Données projet'!$B$10,Paramètres!$A$1:$I$89,5,0)</f>
        <v>186.96600000000004</v>
      </c>
      <c r="AK174" s="13">
        <f t="shared" si="164"/>
        <v>46.868551400324648</v>
      </c>
      <c r="AL174" s="20">
        <f t="shared" si="165"/>
        <v>407.26184368889881</v>
      </c>
      <c r="AM174" s="59">
        <f t="shared" si="113"/>
        <v>700.59517702223206</v>
      </c>
      <c r="AN174" s="59">
        <f ca="1">AVERAGE(OFFSET($AM$3,0,0,'Données projet'!$E$10+1,1))-AVERAGE(OFFSET($H$3,0,0,'Données projet'!$E$10+1,1))</f>
        <v>188.36883552879721</v>
      </c>
      <c r="AO174" s="59">
        <f t="shared" si="144"/>
        <v>152.51465338737705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0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1">
        <f t="shared" si="140"/>
        <v>39.246498705676842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67">
        <f t="shared" si="110"/>
        <v>591.39566524572035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636.99999999999977</v>
      </c>
      <c r="O175" s="13">
        <f>N175*VLOOKUP('Données projet'!$B$9,Paramètres!$A$1:$I$89,3,0)*VLOOKUP('Données projet'!$B$9,Paramètres!$A$1:$I$89,5,0)</f>
        <v>356.08299999999991</v>
      </c>
      <c r="P175" s="13">
        <f t="shared" si="141"/>
        <v>82.813805255716545</v>
      </c>
      <c r="Q175" s="20">
        <f t="shared" si="162"/>
        <v>764.41193582037283</v>
      </c>
      <c r="R175" s="59">
        <f t="shared" si="109"/>
        <v>1057.7452691537062</v>
      </c>
      <c r="S175" s="59">
        <f ca="1">AVERAGE(OFFSET($R$3,0,0,'Données projet'!$E$9+1,1))-AVERAGE(OFFSET($H$3,0,0,'Données projet'!$E$9+1,1))</f>
        <v>382.58588458673051</v>
      </c>
      <c r="T175" s="59">
        <f t="shared" si="142"/>
        <v>485.5120768430603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10.634930859700003</v>
      </c>
      <c r="AA175" s="21">
        <f>EXP(-LN(2)/25)*AA174+(1-EXP(-LN(2)/25))/(LN(2)/25)*Calculateur!V175*Calculateur!X175*VLOOKUP('Données projet'!$B$9,Paramètres!$A$1:$I$89,3,0)*0.475*44/12</f>
        <v>0.4278907322400729</v>
      </c>
      <c r="AB175" s="21">
        <f>EXP(-LN(2)/2)*AB174+(1-EXP(-LN(2)/2))/(LN(2)/2)*V175*Y175*VLOOKUP('Données projet'!$B$9,Paramètres!$A$1:$I$89,3,0)*0.475*44/12</f>
        <v>2.5588004923636738E-21</v>
      </c>
      <c r="AC175" s="22">
        <f t="shared" si="163"/>
        <v>11.062821591940075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255.00000000000006</v>
      </c>
      <c r="AJ175" s="13">
        <f>AI175*VLOOKUP('Données projet'!$B$10,Paramètres!$A$1:$I$89,3,0)*VLOOKUP('Données projet'!$B$10,Paramètres!$A$1:$I$89,5,0)</f>
        <v>186.96600000000004</v>
      </c>
      <c r="AK175" s="13">
        <f t="shared" si="164"/>
        <v>46.868551400324648</v>
      </c>
      <c r="AL175" s="20">
        <f t="shared" si="165"/>
        <v>407.26184368889881</v>
      </c>
      <c r="AM175" s="59">
        <f t="shared" si="113"/>
        <v>700.59517702223206</v>
      </c>
      <c r="AN175" s="59">
        <f ca="1">AVERAGE(OFFSET($AM$3,0,0,'Données projet'!$E$10+1,1))-AVERAGE(OFFSET($H$3,0,0,'Données projet'!$E$10+1,1))</f>
        <v>188.36883552879721</v>
      </c>
      <c r="AO175" s="59">
        <f t="shared" si="144"/>
        <v>152.51465338737705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0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1">
        <f t="shared" si="140"/>
        <v>39.448048109333072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67">
        <f t="shared" si="110"/>
        <v>593.29538712375495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636.99999999999977</v>
      </c>
      <c r="O176" s="13">
        <f>N176*VLOOKUP('Données projet'!$B$9,Paramètres!$A$1:$I$89,3,0)*VLOOKUP('Données projet'!$B$9,Paramètres!$A$1:$I$89,5,0)</f>
        <v>356.08299999999991</v>
      </c>
      <c r="P176" s="13">
        <f t="shared" si="141"/>
        <v>82.813805255716545</v>
      </c>
      <c r="Q176" s="20">
        <f t="shared" si="162"/>
        <v>764.41193582037283</v>
      </c>
      <c r="R176" s="59">
        <f t="shared" si="109"/>
        <v>1057.7452691537062</v>
      </c>
      <c r="S176" s="59">
        <f ca="1">AVERAGE(OFFSET($R$3,0,0,'Données projet'!$E$9+1,1))-AVERAGE(OFFSET($H$3,0,0,'Données projet'!$E$9+1,1))</f>
        <v>382.58588458673051</v>
      </c>
      <c r="T176" s="59">
        <f t="shared" si="142"/>
        <v>485.5120768430603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10.426386352208604</v>
      </c>
      <c r="AA176" s="21">
        <f>EXP(-LN(2)/25)*AA175+(1-EXP(-LN(2)/25))/(LN(2)/25)*Calculateur!V176*Calculateur!X176*VLOOKUP('Données projet'!$B$9,Paramètres!$A$1:$I$89,3,0)*0.475*44/12</f>
        <v>0.41619003766517243</v>
      </c>
      <c r="AB176" s="21">
        <f>EXP(-LN(2)/2)*AB175+(1-EXP(-LN(2)/2))/(LN(2)/2)*V176*Y176*VLOOKUP('Données projet'!$B$9,Paramètres!$A$1:$I$89,3,0)*0.475*44/12</f>
        <v>1.8093451798538303E-21</v>
      </c>
      <c r="AC176" s="22">
        <f t="shared" si="163"/>
        <v>10.842576389873777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255.00000000000006</v>
      </c>
      <c r="AJ176" s="13">
        <f>AI176*VLOOKUP('Données projet'!$B$10,Paramètres!$A$1:$I$89,3,0)*VLOOKUP('Données projet'!$B$10,Paramètres!$A$1:$I$89,5,0)</f>
        <v>186.96600000000004</v>
      </c>
      <c r="AK176" s="13">
        <f t="shared" si="164"/>
        <v>46.868551400324648</v>
      </c>
      <c r="AL176" s="20">
        <f t="shared" si="165"/>
        <v>407.26184368889881</v>
      </c>
      <c r="AM176" s="59">
        <f t="shared" si="113"/>
        <v>700.59517702223206</v>
      </c>
      <c r="AN176" s="59">
        <f ca="1">AVERAGE(OFFSET($AM$3,0,0,'Données projet'!$E$10+1,1))-AVERAGE(OFFSET($H$3,0,0,'Données projet'!$E$10+1,1))</f>
        <v>188.36883552879721</v>
      </c>
      <c r="AO176" s="59">
        <f t="shared" si="144"/>
        <v>152.51465338737705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0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1">
        <f t="shared" si="140"/>
        <v>39.649461948838557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67">
        <f t="shared" si="110"/>
        <v>595.19487289422705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636.99999999999977</v>
      </c>
      <c r="O177" s="13">
        <f>N177*VLOOKUP('Données projet'!$B$9,Paramètres!$A$1:$I$89,3,0)*VLOOKUP('Données projet'!$B$9,Paramètres!$A$1:$I$89,5,0)</f>
        <v>356.08299999999991</v>
      </c>
      <c r="P177" s="13">
        <f t="shared" si="141"/>
        <v>82.813805255716545</v>
      </c>
      <c r="Q177" s="20">
        <f t="shared" si="162"/>
        <v>764.41193582037283</v>
      </c>
      <c r="R177" s="59">
        <f t="shared" si="109"/>
        <v>1057.7452691537062</v>
      </c>
      <c r="S177" s="59">
        <f ca="1">AVERAGE(OFFSET($R$3,0,0,'Données projet'!$E$9+1,1))-AVERAGE(OFFSET($H$3,0,0,'Données projet'!$E$9+1,1))</f>
        <v>382.58588458673051</v>
      </c>
      <c r="T177" s="59">
        <f t="shared" si="142"/>
        <v>485.5120768430603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10.221931275309522</v>
      </c>
      <c r="AA177" s="21">
        <f>EXP(-LN(2)/25)*AA176+(1-EXP(-LN(2)/25))/(LN(2)/25)*Calculateur!V177*Calculateur!X177*VLOOKUP('Données projet'!$B$9,Paramètres!$A$1:$I$89,3,0)*0.475*44/12</f>
        <v>0.40480929919873543</v>
      </c>
      <c r="AB177" s="21">
        <f>EXP(-LN(2)/2)*AB176+(1-EXP(-LN(2)/2))/(LN(2)/2)*V177*Y177*VLOOKUP('Données projet'!$B$9,Paramètres!$A$1:$I$89,3,0)*0.475*44/12</f>
        <v>1.2794002461818369E-21</v>
      </c>
      <c r="AC177" s="22">
        <f t="shared" si="163"/>
        <v>10.626740574508258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255.00000000000006</v>
      </c>
      <c r="AJ177" s="13">
        <f>AI177*VLOOKUP('Données projet'!$B$10,Paramètres!$A$1:$I$89,3,0)*VLOOKUP('Données projet'!$B$10,Paramètres!$A$1:$I$89,5,0)</f>
        <v>186.96600000000004</v>
      </c>
      <c r="AK177" s="13">
        <f t="shared" si="164"/>
        <v>46.868551400324648</v>
      </c>
      <c r="AL177" s="20">
        <f t="shared" si="165"/>
        <v>407.26184368889881</v>
      </c>
      <c r="AM177" s="59">
        <f t="shared" si="113"/>
        <v>700.59517702223206</v>
      </c>
      <c r="AN177" s="59">
        <f ca="1">AVERAGE(OFFSET($AM$3,0,0,'Données projet'!$E$10+1,1))-AVERAGE(OFFSET($H$3,0,0,'Données projet'!$E$10+1,1))</f>
        <v>188.36883552879721</v>
      </c>
      <c r="AO177" s="59">
        <f t="shared" si="144"/>
        <v>152.51465338737705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0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1">
        <f t="shared" si="140"/>
        <v>39.850741093704151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67">
        <f t="shared" si="110"/>
        <v>597.09412407153457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636.99999999999977</v>
      </c>
      <c r="O178" s="13">
        <f>N178*VLOOKUP('Données projet'!$B$9,Paramètres!$A$1:$I$89,3,0)*VLOOKUP('Données projet'!$B$9,Paramètres!$A$1:$I$89,5,0)</f>
        <v>356.08299999999991</v>
      </c>
      <c r="P178" s="13">
        <f t="shared" si="141"/>
        <v>82.813805255716545</v>
      </c>
      <c r="Q178" s="20">
        <f t="shared" si="162"/>
        <v>764.41193582037283</v>
      </c>
      <c r="R178" s="59">
        <f t="shared" si="109"/>
        <v>1057.7452691537062</v>
      </c>
      <c r="S178" s="59">
        <f ca="1">AVERAGE(OFFSET($R$3,0,0,'Données projet'!$E$9+1,1))-AVERAGE(OFFSET($H$3,0,0,'Données projet'!$E$9+1,1))</f>
        <v>382.58588458673051</v>
      </c>
      <c r="T178" s="59">
        <f t="shared" si="142"/>
        <v>485.5120768430603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10.021485437763149</v>
      </c>
      <c r="AA178" s="21">
        <f>EXP(-LN(2)/25)*AA177+(1-EXP(-LN(2)/25))/(LN(2)/25)*Calculateur!V178*Calculateur!X178*VLOOKUP('Données projet'!$B$9,Paramètres!$A$1:$I$89,3,0)*0.475*44/12</f>
        <v>0.39373976762415019</v>
      </c>
      <c r="AB178" s="21">
        <f>EXP(-LN(2)/2)*AB177+(1-EXP(-LN(2)/2))/(LN(2)/2)*V178*Y178*VLOOKUP('Données projet'!$B$9,Paramètres!$A$1:$I$89,3,0)*0.475*44/12</f>
        <v>9.0467258992691515E-22</v>
      </c>
      <c r="AC178" s="22">
        <f t="shared" si="163"/>
        <v>10.4152252053873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255.00000000000006</v>
      </c>
      <c r="AJ178" s="13">
        <f>AI178*VLOOKUP('Données projet'!$B$10,Paramètres!$A$1:$I$89,3,0)*VLOOKUP('Données projet'!$B$10,Paramètres!$A$1:$I$89,5,0)</f>
        <v>186.96600000000004</v>
      </c>
      <c r="AK178" s="13">
        <f t="shared" si="164"/>
        <v>46.868551400324648</v>
      </c>
      <c r="AL178" s="20">
        <f t="shared" si="165"/>
        <v>407.26184368889881</v>
      </c>
      <c r="AM178" s="59">
        <f t="shared" si="113"/>
        <v>700.59517702223206</v>
      </c>
      <c r="AN178" s="59">
        <f ca="1">AVERAGE(OFFSET($AM$3,0,0,'Données projet'!$E$10+1,1))-AVERAGE(OFFSET($H$3,0,0,'Données projet'!$E$10+1,1))</f>
        <v>188.36883552879721</v>
      </c>
      <c r="AO178" s="59">
        <f t="shared" si="144"/>
        <v>152.51465338737705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0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1">
        <f t="shared" si="140"/>
        <v>40.051886402928353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67">
        <f t="shared" si="110"/>
        <v>598.99314215176662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636.99999999999977</v>
      </c>
      <c r="O179" s="13">
        <f>N179*VLOOKUP('Données projet'!$B$9,Paramètres!$A$1:$I$89,3,0)*VLOOKUP('Données projet'!$B$9,Paramètres!$A$1:$I$89,5,0)</f>
        <v>356.08299999999991</v>
      </c>
      <c r="P179" s="13">
        <f t="shared" si="141"/>
        <v>82.813805255716545</v>
      </c>
      <c r="Q179" s="20">
        <f t="shared" si="162"/>
        <v>764.41193582037283</v>
      </c>
      <c r="R179" s="59">
        <f t="shared" si="109"/>
        <v>1057.7452691537062</v>
      </c>
      <c r="S179" s="59">
        <f ca="1">AVERAGE(OFFSET($R$3,0,0,'Données projet'!$E$9+1,1))-AVERAGE(OFFSET($H$3,0,0,'Données projet'!$E$9+1,1))</f>
        <v>382.58588458673051</v>
      </c>
      <c r="T179" s="59">
        <f t="shared" si="142"/>
        <v>485.5120768430603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9.8249702208311707</v>
      </c>
      <c r="AA179" s="21">
        <f>EXP(-LN(2)/25)*AA178+(1-EXP(-LN(2)/25))/(LN(2)/25)*Calculateur!V179*Calculateur!X179*VLOOKUP('Données projet'!$B$9,Paramètres!$A$1:$I$89,3,0)*0.475*44/12</f>
        <v>0.38297293297259333</v>
      </c>
      <c r="AB179" s="21">
        <f>EXP(-LN(2)/2)*AB178+(1-EXP(-LN(2)/2))/(LN(2)/2)*V179*Y179*VLOOKUP('Données projet'!$B$9,Paramètres!$A$1:$I$89,3,0)*0.475*44/12</f>
        <v>6.3970012309091844E-22</v>
      </c>
      <c r="AC179" s="22">
        <f t="shared" si="163"/>
        <v>10.207943153803765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255.00000000000006</v>
      </c>
      <c r="AJ179" s="13">
        <f>AI179*VLOOKUP('Données projet'!$B$10,Paramètres!$A$1:$I$89,3,0)*VLOOKUP('Données projet'!$B$10,Paramètres!$A$1:$I$89,5,0)</f>
        <v>186.96600000000004</v>
      </c>
      <c r="AK179" s="13">
        <f t="shared" si="164"/>
        <v>46.868551400324648</v>
      </c>
      <c r="AL179" s="20">
        <f t="shared" si="165"/>
        <v>407.26184368889881</v>
      </c>
      <c r="AM179" s="59">
        <f t="shared" si="113"/>
        <v>700.59517702223206</v>
      </c>
      <c r="AN179" s="59">
        <f ca="1">AVERAGE(OFFSET($AM$3,0,0,'Données projet'!$E$10+1,1))-AVERAGE(OFFSET($H$3,0,0,'Données projet'!$E$10+1,1))</f>
        <v>188.36883552879721</v>
      </c>
      <c r="AO179" s="59">
        <f t="shared" si="144"/>
        <v>152.51465338737705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0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1">
        <f t="shared" si="140"/>
        <v>40.252898725183421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67">
        <f t="shared" si="110"/>
        <v>600.89192861302752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636.99999999999977</v>
      </c>
      <c r="O180" s="13">
        <f>N180*VLOOKUP('Données projet'!$B$9,Paramètres!$A$1:$I$89,3,0)*VLOOKUP('Données projet'!$B$9,Paramètres!$A$1:$I$89,5,0)</f>
        <v>356.08299999999991</v>
      </c>
      <c r="P180" s="13">
        <f t="shared" si="141"/>
        <v>82.813805255716545</v>
      </c>
      <c r="Q180" s="20">
        <f t="shared" si="162"/>
        <v>764.41193582037283</v>
      </c>
      <c r="R180" s="59">
        <f t="shared" si="109"/>
        <v>1057.7452691537062</v>
      </c>
      <c r="S180" s="59">
        <f ca="1">AVERAGE(OFFSET($R$3,0,0,'Données projet'!$E$9+1,1))-AVERAGE(OFFSET($H$3,0,0,'Données projet'!$E$9+1,1))</f>
        <v>382.58588458673051</v>
      </c>
      <c r="T180" s="59">
        <f t="shared" si="142"/>
        <v>485.5120768430603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9.6323085474407826</v>
      </c>
      <c r="AA180" s="21">
        <f>EXP(-LN(2)/25)*AA179+(1-EXP(-LN(2)/25))/(LN(2)/25)*Calculateur!V180*Calculateur!X180*VLOOKUP('Données projet'!$B$9,Paramètres!$A$1:$I$89,3,0)*0.475*44/12</f>
        <v>0.37250051798078654</v>
      </c>
      <c r="AB180" s="21">
        <f>EXP(-LN(2)/2)*AB179+(1-EXP(-LN(2)/2))/(LN(2)/2)*V180*Y180*VLOOKUP('Données projet'!$B$9,Paramètres!$A$1:$I$89,3,0)*0.475*44/12</f>
        <v>4.5233629496345758E-22</v>
      </c>
      <c r="AC180" s="22">
        <f t="shared" si="163"/>
        <v>10.004809065421568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255.00000000000006</v>
      </c>
      <c r="AJ180" s="13">
        <f>AI180*VLOOKUP('Données projet'!$B$10,Paramètres!$A$1:$I$89,3,0)*VLOOKUP('Données projet'!$B$10,Paramètres!$A$1:$I$89,5,0)</f>
        <v>186.96600000000004</v>
      </c>
      <c r="AK180" s="13">
        <f t="shared" si="164"/>
        <v>46.868551400324648</v>
      </c>
      <c r="AL180" s="20">
        <f t="shared" si="165"/>
        <v>407.26184368889881</v>
      </c>
      <c r="AM180" s="59">
        <f t="shared" si="113"/>
        <v>700.59517702223206</v>
      </c>
      <c r="AN180" s="59">
        <f ca="1">AVERAGE(OFFSET($AM$3,0,0,'Données projet'!$E$10+1,1))-AVERAGE(OFFSET($H$3,0,0,'Données projet'!$E$10+1,1))</f>
        <v>188.36883552879721</v>
      </c>
      <c r="AO180" s="59">
        <f t="shared" si="144"/>
        <v>152.51465338737705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0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1">
        <f t="shared" si="140"/>
        <v>40.45377889899725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67">
        <f t="shared" si="110"/>
        <v>602.79048491575327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636.99999999999977</v>
      </c>
      <c r="O181" s="13">
        <f>N181*VLOOKUP('Données projet'!$B$9,Paramètres!$A$1:$I$89,3,0)*VLOOKUP('Données projet'!$B$9,Paramètres!$A$1:$I$89,5,0)</f>
        <v>356.08299999999991</v>
      </c>
      <c r="P181" s="13">
        <f t="shared" si="141"/>
        <v>82.813805255716545</v>
      </c>
      <c r="Q181" s="20">
        <f t="shared" si="162"/>
        <v>764.41193582037283</v>
      </c>
      <c r="R181" s="59">
        <f t="shared" si="109"/>
        <v>1057.7452691537062</v>
      </c>
      <c r="S181" s="59">
        <f ca="1">AVERAGE(OFFSET($R$3,0,0,'Données projet'!$E$9+1,1))-AVERAGE(OFFSET($H$3,0,0,'Données projet'!$E$9+1,1))</f>
        <v>382.58588458673051</v>
      </c>
      <c r="T181" s="59">
        <f t="shared" si="142"/>
        <v>485.5120768430603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9.4434248519535622</v>
      </c>
      <c r="AA181" s="21">
        <f>EXP(-LN(2)/25)*AA180+(1-EXP(-LN(2)/25))/(LN(2)/25)*Calculateur!V181*Calculateur!X181*VLOOKUP('Données projet'!$B$9,Paramètres!$A$1:$I$89,3,0)*0.475*44/12</f>
        <v>0.36231447172765108</v>
      </c>
      <c r="AB181" s="21">
        <f>EXP(-LN(2)/2)*AB180+(1-EXP(-LN(2)/2))/(LN(2)/2)*V181*Y181*VLOOKUP('Données projet'!$B$9,Paramètres!$A$1:$I$89,3,0)*0.475*44/12</f>
        <v>3.1985006154545922E-22</v>
      </c>
      <c r="AC181" s="22">
        <f t="shared" si="163"/>
        <v>9.8057393236812125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255.00000000000006</v>
      </c>
      <c r="AJ181" s="13">
        <f>AI181*VLOOKUP('Données projet'!$B$10,Paramètres!$A$1:$I$89,3,0)*VLOOKUP('Données projet'!$B$10,Paramètres!$A$1:$I$89,5,0)</f>
        <v>186.96600000000004</v>
      </c>
      <c r="AK181" s="13">
        <f t="shared" si="164"/>
        <v>46.868551400324648</v>
      </c>
      <c r="AL181" s="20">
        <f t="shared" si="165"/>
        <v>407.26184368889881</v>
      </c>
      <c r="AM181" s="59">
        <f t="shared" si="113"/>
        <v>700.59517702223206</v>
      </c>
      <c r="AN181" s="59">
        <f ca="1">AVERAGE(OFFSET($AM$3,0,0,'Données projet'!$E$10+1,1))-AVERAGE(OFFSET($H$3,0,0,'Données projet'!$E$10+1,1))</f>
        <v>188.36883552879721</v>
      </c>
      <c r="AO181" s="59">
        <f t="shared" si="144"/>
        <v>152.51465338737705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0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1">
        <f t="shared" si="140"/>
        <v>40.654527752930711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67">
        <f t="shared" si="110"/>
        <v>604.6888125030207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636.99999999999977</v>
      </c>
      <c r="O182" s="13">
        <f>N182*VLOOKUP('Données projet'!$B$9,Paramètres!$A$1:$I$89,3,0)*VLOOKUP('Données projet'!$B$9,Paramètres!$A$1:$I$89,5,0)</f>
        <v>356.08299999999991</v>
      </c>
      <c r="P182" s="13">
        <f t="shared" si="141"/>
        <v>82.813805255716545</v>
      </c>
      <c r="Q182" s="20">
        <f t="shared" si="162"/>
        <v>764.41193582037283</v>
      </c>
      <c r="R182" s="59">
        <f t="shared" si="109"/>
        <v>1057.7452691537062</v>
      </c>
      <c r="S182" s="59">
        <f ca="1">AVERAGE(OFFSET($R$3,0,0,'Données projet'!$E$9+1,1))-AVERAGE(OFFSET($H$3,0,0,'Données projet'!$E$9+1,1))</f>
        <v>382.58588458673051</v>
      </c>
      <c r="T182" s="59">
        <f t="shared" si="142"/>
        <v>485.5120768430603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9.258245050527167</v>
      </c>
      <c r="AA182" s="21">
        <f>EXP(-LN(2)/25)*AA181+(1-EXP(-LN(2)/25))/(LN(2)/25)*Calculateur!V182*Calculateur!X182*VLOOKUP('Données projet'!$B$9,Paramètres!$A$1:$I$89,3,0)*0.475*44/12</f>
        <v>0.35240696344496847</v>
      </c>
      <c r="AB182" s="21">
        <f>EXP(-LN(2)/2)*AB181+(1-EXP(-LN(2)/2))/(LN(2)/2)*V182*Y182*VLOOKUP('Données projet'!$B$9,Paramètres!$A$1:$I$89,3,0)*0.475*44/12</f>
        <v>2.2616814748172879E-22</v>
      </c>
      <c r="AC182" s="22">
        <f t="shared" si="163"/>
        <v>9.6106520139721354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255.00000000000006</v>
      </c>
      <c r="AJ182" s="13">
        <f>AI182*VLOOKUP('Données projet'!$B$10,Paramètres!$A$1:$I$89,3,0)*VLOOKUP('Données projet'!$B$10,Paramètres!$A$1:$I$89,5,0)</f>
        <v>186.96600000000004</v>
      </c>
      <c r="AK182" s="13">
        <f t="shared" si="164"/>
        <v>46.868551400324648</v>
      </c>
      <c r="AL182" s="20">
        <f t="shared" si="165"/>
        <v>407.26184368889881</v>
      </c>
      <c r="AM182" s="59">
        <f t="shared" si="113"/>
        <v>700.59517702223206</v>
      </c>
      <c r="AN182" s="59">
        <f ca="1">AVERAGE(OFFSET($AM$3,0,0,'Données projet'!$E$10+1,1))-AVERAGE(OFFSET($H$3,0,0,'Données projet'!$E$10+1,1))</f>
        <v>188.36883552879721</v>
      </c>
      <c r="AO182" s="59">
        <f t="shared" si="144"/>
        <v>152.51465338737705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0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1">
        <f t="shared" si="140"/>
        <v>40.855146105751388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67">
        <f t="shared" si="110"/>
        <v>606.58691280085009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636.99999999999977</v>
      </c>
      <c r="O183" s="13">
        <f>N183*VLOOKUP('Données projet'!$B$9,Paramètres!$A$1:$I$89,3,0)*VLOOKUP('Données projet'!$B$9,Paramètres!$A$1:$I$89,5,0)</f>
        <v>356.08299999999991</v>
      </c>
      <c r="P183" s="13">
        <f t="shared" si="141"/>
        <v>82.813805255716545</v>
      </c>
      <c r="Q183" s="20">
        <f t="shared" si="162"/>
        <v>764.41193582037283</v>
      </c>
      <c r="R183" s="59">
        <f t="shared" si="109"/>
        <v>1057.7452691537062</v>
      </c>
      <c r="S183" s="59">
        <f ca="1">AVERAGE(OFFSET($R$3,0,0,'Données projet'!$E$9+1,1))-AVERAGE(OFFSET($H$3,0,0,'Données projet'!$E$9+1,1))</f>
        <v>382.58588458673051</v>
      </c>
      <c r="T183" s="59">
        <f t="shared" si="142"/>
        <v>485.5120768430603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9.0766965120582181</v>
      </c>
      <c r="AA183" s="21">
        <f>EXP(-LN(2)/25)*AA182+(1-EXP(-LN(2)/25))/(LN(2)/25)*Calculateur!V183*Calculateur!X183*VLOOKUP('Données projet'!$B$9,Paramètres!$A$1:$I$89,3,0)*0.475*44/12</f>
        <v>0.34277037649728903</v>
      </c>
      <c r="AB183" s="21">
        <f>EXP(-LN(2)/2)*AB182+(1-EXP(-LN(2)/2))/(LN(2)/2)*V183*Y183*VLOOKUP('Données projet'!$B$9,Paramètres!$A$1:$I$89,3,0)*0.475*44/12</f>
        <v>1.5992503077272961E-22</v>
      </c>
      <c r="AC183" s="22">
        <f t="shared" si="163"/>
        <v>9.4194668885555064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255.00000000000006</v>
      </c>
      <c r="AJ183" s="13">
        <f>AI183*VLOOKUP('Données projet'!$B$10,Paramètres!$A$1:$I$89,3,0)*VLOOKUP('Données projet'!$B$10,Paramètres!$A$1:$I$89,5,0)</f>
        <v>186.96600000000004</v>
      </c>
      <c r="AK183" s="13">
        <f t="shared" si="164"/>
        <v>46.868551400324648</v>
      </c>
      <c r="AL183" s="20">
        <f t="shared" si="165"/>
        <v>407.26184368889881</v>
      </c>
      <c r="AM183" s="59">
        <f t="shared" si="113"/>
        <v>700.59517702223206</v>
      </c>
      <c r="AN183" s="59">
        <f ca="1">AVERAGE(OFFSET($AM$3,0,0,'Données projet'!$E$10+1,1))-AVERAGE(OFFSET($H$3,0,0,'Données projet'!$E$10+1,1))</f>
        <v>188.36883552879721</v>
      </c>
      <c r="AO183" s="59">
        <f t="shared" si="144"/>
        <v>152.51465338737705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0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1">
        <f t="shared" si="140"/>
        <v>41.055634766602871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67">
        <f t="shared" si="110"/>
        <v>608.48478721849972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636.99999999999977</v>
      </c>
      <c r="O184" s="13">
        <f>N184*VLOOKUP('Données projet'!$B$9,Paramètres!$A$1:$I$89,3,0)*VLOOKUP('Données projet'!$B$9,Paramètres!$A$1:$I$89,5,0)</f>
        <v>356.08299999999991</v>
      </c>
      <c r="P184" s="13">
        <f t="shared" si="141"/>
        <v>82.813805255716545</v>
      </c>
      <c r="Q184" s="20">
        <f t="shared" si="162"/>
        <v>764.41193582037283</v>
      </c>
      <c r="R184" s="59">
        <f t="shared" si="109"/>
        <v>1057.7452691537062</v>
      </c>
      <c r="S184" s="59">
        <f ca="1">AVERAGE(OFFSET($R$3,0,0,'Données projet'!$E$9+1,1))-AVERAGE(OFFSET($H$3,0,0,'Données projet'!$E$9+1,1))</f>
        <v>382.58588458673051</v>
      </c>
      <c r="T184" s="59">
        <f t="shared" si="142"/>
        <v>485.5120768430603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8.898708029694971</v>
      </c>
      <c r="AA184" s="21">
        <f>EXP(-LN(2)/25)*AA183+(1-EXP(-LN(2)/25))/(LN(2)/25)*Calculateur!V184*Calculateur!X184*VLOOKUP('Données projet'!$B$9,Paramètres!$A$1:$I$89,3,0)*0.475*44/12</f>
        <v>0.33339730252645999</v>
      </c>
      <c r="AB184" s="21">
        <f>EXP(-LN(2)/2)*AB183+(1-EXP(-LN(2)/2))/(LN(2)/2)*V184*Y184*VLOOKUP('Données projet'!$B$9,Paramètres!$A$1:$I$89,3,0)*0.475*44/12</f>
        <v>1.1308407374086439E-22</v>
      </c>
      <c r="AC184" s="22">
        <f t="shared" si="163"/>
        <v>9.2321053322214315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255.00000000000006</v>
      </c>
      <c r="AJ184" s="13">
        <f>AI184*VLOOKUP('Données projet'!$B$10,Paramètres!$A$1:$I$89,3,0)*VLOOKUP('Données projet'!$B$10,Paramètres!$A$1:$I$89,5,0)</f>
        <v>186.96600000000004</v>
      </c>
      <c r="AK184" s="13">
        <f t="shared" si="164"/>
        <v>46.868551400324648</v>
      </c>
      <c r="AL184" s="20">
        <f t="shared" si="165"/>
        <v>407.26184368889881</v>
      </c>
      <c r="AM184" s="59">
        <f t="shared" si="113"/>
        <v>700.59517702223206</v>
      </c>
      <c r="AN184" s="59">
        <f ca="1">AVERAGE(OFFSET($AM$3,0,0,'Données projet'!$E$10+1,1))-AVERAGE(OFFSET($H$3,0,0,'Données projet'!$E$10+1,1))</f>
        <v>188.36883552879721</v>
      </c>
      <c r="AO184" s="59">
        <f t="shared" si="144"/>
        <v>152.51465338737705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0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1">
        <f t="shared" si="140"/>
        <v>41.255994535170444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67">
        <f t="shared" si="110"/>
        <v>610.38243714875489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636.99999999999977</v>
      </c>
      <c r="O185" s="13">
        <f>N185*VLOOKUP('Données projet'!$B$9,Paramètres!$A$1:$I$89,3,0)*VLOOKUP('Données projet'!$B$9,Paramètres!$A$1:$I$89,5,0)</f>
        <v>356.08299999999991</v>
      </c>
      <c r="P185" s="13">
        <f t="shared" si="141"/>
        <v>82.813805255716545</v>
      </c>
      <c r="Q185" s="20">
        <f t="shared" si="162"/>
        <v>764.41193582037283</v>
      </c>
      <c r="R185" s="59">
        <f t="shared" si="109"/>
        <v>1057.7452691537062</v>
      </c>
      <c r="S185" s="59">
        <f ca="1">AVERAGE(OFFSET($R$3,0,0,'Données projet'!$E$9+1,1))-AVERAGE(OFFSET($H$3,0,0,'Données projet'!$E$9+1,1))</f>
        <v>382.58588458673051</v>
      </c>
      <c r="T185" s="59">
        <f t="shared" si="142"/>
        <v>485.5120768430603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8.7242097929086118</v>
      </c>
      <c r="AA185" s="21">
        <f>EXP(-LN(2)/25)*AA184+(1-EXP(-LN(2)/25))/(LN(2)/25)*Calculateur!V185*Calculateur!X185*VLOOKUP('Données projet'!$B$9,Paramètres!$A$1:$I$89,3,0)*0.475*44/12</f>
        <v>0.3242805357562718</v>
      </c>
      <c r="AB185" s="21">
        <f>EXP(-LN(2)/2)*AB184+(1-EXP(-LN(2)/2))/(LN(2)/2)*V185*Y185*VLOOKUP('Données projet'!$B$9,Paramètres!$A$1:$I$89,3,0)*0.475*44/12</f>
        <v>7.9962515386364805E-23</v>
      </c>
      <c r="AC185" s="22">
        <f t="shared" si="163"/>
        <v>9.048490328664883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255.00000000000006</v>
      </c>
      <c r="AJ185" s="13">
        <f>AI185*VLOOKUP('Données projet'!$B$10,Paramètres!$A$1:$I$89,3,0)*VLOOKUP('Données projet'!$B$10,Paramètres!$A$1:$I$89,5,0)</f>
        <v>186.96600000000004</v>
      </c>
      <c r="AK185" s="13">
        <f t="shared" si="164"/>
        <v>46.868551400324648</v>
      </c>
      <c r="AL185" s="20">
        <f t="shared" si="165"/>
        <v>407.26184368889881</v>
      </c>
      <c r="AM185" s="59">
        <f t="shared" si="113"/>
        <v>700.59517702223206</v>
      </c>
      <c r="AN185" s="59">
        <f ca="1">AVERAGE(OFFSET($AM$3,0,0,'Données projet'!$E$10+1,1))-AVERAGE(OFFSET($H$3,0,0,'Données projet'!$E$10+1,1))</f>
        <v>188.36883552879721</v>
      </c>
      <c r="AO185" s="59">
        <f t="shared" si="144"/>
        <v>152.51465338737705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0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1">
        <f t="shared" si="140"/>
        <v>41.456226201843137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67">
        <f t="shared" si="110"/>
        <v>612.27986396820972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636.99999999999977</v>
      </c>
      <c r="O186" s="13">
        <f>N186*VLOOKUP('Données projet'!$B$9,Paramètres!$A$1:$I$89,3,0)*VLOOKUP('Données projet'!$B$9,Paramètres!$A$1:$I$89,5,0)</f>
        <v>356.08299999999991</v>
      </c>
      <c r="P186" s="13">
        <f t="shared" si="141"/>
        <v>82.813805255716545</v>
      </c>
      <c r="Q186" s="20">
        <f t="shared" si="162"/>
        <v>764.41193582037283</v>
      </c>
      <c r="R186" s="59">
        <f t="shared" si="109"/>
        <v>1057.7452691537062</v>
      </c>
      <c r="S186" s="59">
        <f ca="1">AVERAGE(OFFSET($R$3,0,0,'Données projet'!$E$9+1,1))-AVERAGE(OFFSET($H$3,0,0,'Données projet'!$E$9+1,1))</f>
        <v>382.58588458673051</v>
      </c>
      <c r="T186" s="59">
        <f t="shared" si="142"/>
        <v>485.5120768430603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8.5531333601122181</v>
      </c>
      <c r="AA186" s="21">
        <f>EXP(-LN(2)/25)*AA185+(1-EXP(-LN(2)/25))/(LN(2)/25)*Calculateur!V186*Calculateur!X186*VLOOKUP('Données projet'!$B$9,Paramètres!$A$1:$I$89,3,0)*0.475*44/12</f>
        <v>0.31541306745284431</v>
      </c>
      <c r="AB186" s="21">
        <f>EXP(-LN(2)/2)*AB185+(1-EXP(-LN(2)/2))/(LN(2)/2)*V186*Y186*VLOOKUP('Données projet'!$B$9,Paramètres!$A$1:$I$89,3,0)*0.475*44/12</f>
        <v>5.6542036870432197E-23</v>
      </c>
      <c r="AC186" s="22">
        <f t="shared" si="163"/>
        <v>8.8685464275650627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255.00000000000006</v>
      </c>
      <c r="AJ186" s="13">
        <f>AI186*VLOOKUP('Données projet'!$B$10,Paramètres!$A$1:$I$89,3,0)*VLOOKUP('Données projet'!$B$10,Paramètres!$A$1:$I$89,5,0)</f>
        <v>186.96600000000004</v>
      </c>
      <c r="AK186" s="13">
        <f t="shared" si="164"/>
        <v>46.868551400324648</v>
      </c>
      <c r="AL186" s="20">
        <f t="shared" si="165"/>
        <v>407.26184368889881</v>
      </c>
      <c r="AM186" s="59">
        <f t="shared" si="113"/>
        <v>700.59517702223206</v>
      </c>
      <c r="AN186" s="59">
        <f ca="1">AVERAGE(OFFSET($AM$3,0,0,'Données projet'!$E$10+1,1))-AVERAGE(OFFSET($H$3,0,0,'Données projet'!$E$10+1,1))</f>
        <v>188.36883552879721</v>
      </c>
      <c r="AO186" s="59">
        <f t="shared" si="144"/>
        <v>152.51465338737705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0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1">
        <f t="shared" si="140"/>
        <v>41.656330547871768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67">
        <f t="shared" si="110"/>
        <v>614.17706903754288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636.99999999999977</v>
      </c>
      <c r="O187" s="13">
        <f>N187*VLOOKUP('Données projet'!$B$9,Paramètres!$A$1:$I$89,3,0)*VLOOKUP('Données projet'!$B$9,Paramètres!$A$1:$I$89,5,0)</f>
        <v>356.08299999999991</v>
      </c>
      <c r="P187" s="13">
        <f t="shared" si="141"/>
        <v>82.813805255716545</v>
      </c>
      <c r="Q187" s="20">
        <f t="shared" si="162"/>
        <v>764.41193582037283</v>
      </c>
      <c r="R187" s="59">
        <f t="shared" si="109"/>
        <v>1057.7452691537062</v>
      </c>
      <c r="S187" s="59">
        <f ca="1">AVERAGE(OFFSET($R$3,0,0,'Données projet'!$E$9+1,1))-AVERAGE(OFFSET($H$3,0,0,'Données projet'!$E$9+1,1))</f>
        <v>382.58588458673051</v>
      </c>
      <c r="T187" s="59">
        <f t="shared" si="142"/>
        <v>485.5120768430603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8.3854116318166412</v>
      </c>
      <c r="AA187" s="21">
        <f>EXP(-LN(2)/25)*AA186+(1-EXP(-LN(2)/25))/(LN(2)/25)*Calculateur!V187*Calculateur!X187*VLOOKUP('Données projet'!$B$9,Paramètres!$A$1:$I$89,3,0)*0.475*44/12</f>
        <v>0.30678808053649392</v>
      </c>
      <c r="AB187" s="21">
        <f>EXP(-LN(2)/2)*AB186+(1-EXP(-LN(2)/2))/(LN(2)/2)*V187*Y187*VLOOKUP('Données projet'!$B$9,Paramètres!$A$1:$I$89,3,0)*0.475*44/12</f>
        <v>3.9981257693182402E-23</v>
      </c>
      <c r="AC187" s="22">
        <f t="shared" si="163"/>
        <v>8.6921997123531352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255.00000000000006</v>
      </c>
      <c r="AJ187" s="13">
        <f>AI187*VLOOKUP('Données projet'!$B$10,Paramètres!$A$1:$I$89,3,0)*VLOOKUP('Données projet'!$B$10,Paramètres!$A$1:$I$89,5,0)</f>
        <v>186.96600000000004</v>
      </c>
      <c r="AK187" s="13">
        <f t="shared" si="164"/>
        <v>46.868551400324648</v>
      </c>
      <c r="AL187" s="20">
        <f t="shared" si="165"/>
        <v>407.26184368889881</v>
      </c>
      <c r="AM187" s="59">
        <f t="shared" si="113"/>
        <v>700.59517702223206</v>
      </c>
      <c r="AN187" s="59">
        <f ca="1">AVERAGE(OFFSET($AM$3,0,0,'Données projet'!$E$10+1,1))-AVERAGE(OFFSET($H$3,0,0,'Données projet'!$E$10+1,1))</f>
        <v>188.36883552879721</v>
      </c>
      <c r="AO187" s="59">
        <f t="shared" si="144"/>
        <v>152.51465338737705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0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1">
        <f t="shared" si="140"/>
        <v>41.856308345523843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67">
        <f t="shared" si="110"/>
        <v>616.07405370178697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636.99999999999977</v>
      </c>
      <c r="O188" s="13">
        <f>N188*VLOOKUP('Données projet'!$B$9,Paramètres!$A$1:$I$89,3,0)*VLOOKUP('Données projet'!$B$9,Paramètres!$A$1:$I$89,5,0)</f>
        <v>356.08299999999991</v>
      </c>
      <c r="P188" s="13">
        <f t="shared" si="141"/>
        <v>82.813805255716545</v>
      </c>
      <c r="Q188" s="20">
        <f t="shared" si="162"/>
        <v>764.41193582037283</v>
      </c>
      <c r="R188" s="59">
        <f t="shared" si="109"/>
        <v>1057.7452691537062</v>
      </c>
      <c r="S188" s="59">
        <f ca="1">AVERAGE(OFFSET($R$3,0,0,'Données projet'!$E$9+1,1))-AVERAGE(OFFSET($H$3,0,0,'Données projet'!$E$9+1,1))</f>
        <v>382.58588458673051</v>
      </c>
      <c r="T188" s="59">
        <f t="shared" si="142"/>
        <v>485.5120768430603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8.2209788243127875</v>
      </c>
      <c r="AA188" s="21">
        <f>EXP(-LN(2)/25)*AA187+(1-EXP(-LN(2)/25))/(LN(2)/25)*Calculateur!V188*Calculateur!X188*VLOOKUP('Données projet'!$B$9,Paramètres!$A$1:$I$89,3,0)*0.475*44/12</f>
        <v>0.2983989443409395</v>
      </c>
      <c r="AB188" s="21">
        <f>EXP(-LN(2)/2)*AB187+(1-EXP(-LN(2)/2))/(LN(2)/2)*V188*Y188*VLOOKUP('Données projet'!$B$9,Paramètres!$A$1:$I$89,3,0)*0.475*44/12</f>
        <v>2.8271018435216099E-23</v>
      </c>
      <c r="AC188" s="22">
        <f t="shared" si="163"/>
        <v>8.5193777686537278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255.00000000000006</v>
      </c>
      <c r="AJ188" s="13">
        <f>AI188*VLOOKUP('Données projet'!$B$10,Paramètres!$A$1:$I$89,3,0)*VLOOKUP('Données projet'!$B$10,Paramètres!$A$1:$I$89,5,0)</f>
        <v>186.96600000000004</v>
      </c>
      <c r="AK188" s="13">
        <f t="shared" si="164"/>
        <v>46.868551400324648</v>
      </c>
      <c r="AL188" s="20">
        <f t="shared" si="165"/>
        <v>407.26184368889881</v>
      </c>
      <c r="AM188" s="59">
        <f t="shared" si="113"/>
        <v>700.59517702223206</v>
      </c>
      <c r="AN188" s="59">
        <f ca="1">AVERAGE(OFFSET($AM$3,0,0,'Données projet'!$E$10+1,1))-AVERAGE(OFFSET($H$3,0,0,'Données projet'!$E$10+1,1))</f>
        <v>188.36883552879721</v>
      </c>
      <c r="AO188" s="59">
        <f t="shared" si="144"/>
        <v>152.51465338737705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0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1">
        <f t="shared" si="140"/>
        <v>42.056160358234798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67">
        <f t="shared" si="110"/>
        <v>617.97081929059186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636.99999999999977</v>
      </c>
      <c r="O189" s="13">
        <f>N189*VLOOKUP('Données projet'!$B$9,Paramètres!$A$1:$I$89,3,0)*VLOOKUP('Données projet'!$B$9,Paramètres!$A$1:$I$89,5,0)</f>
        <v>356.08299999999991</v>
      </c>
      <c r="P189" s="13">
        <f t="shared" si="141"/>
        <v>82.813805255716545</v>
      </c>
      <c r="Q189" s="20">
        <f t="shared" si="162"/>
        <v>764.41193582037283</v>
      </c>
      <c r="R189" s="59">
        <f t="shared" si="109"/>
        <v>1057.7452691537062</v>
      </c>
      <c r="S189" s="59">
        <f ca="1">AVERAGE(OFFSET($R$3,0,0,'Données projet'!$E$9+1,1))-AVERAGE(OFFSET($H$3,0,0,'Données projet'!$E$9+1,1))</f>
        <v>382.58588458673051</v>
      </c>
      <c r="T189" s="59">
        <f t="shared" si="142"/>
        <v>485.5120768430603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8.0597704438699758</v>
      </c>
      <c r="AA189" s="21">
        <f>EXP(-LN(2)/25)*AA188+(1-EXP(-LN(2)/25))/(LN(2)/25)*Calculateur!V189*Calculateur!X189*VLOOKUP('Données projet'!$B$9,Paramètres!$A$1:$I$89,3,0)*0.475*44/12</f>
        <v>0.290239209515818</v>
      </c>
      <c r="AB189" s="21">
        <f>EXP(-LN(2)/2)*AB188+(1-EXP(-LN(2)/2))/(LN(2)/2)*V189*Y189*VLOOKUP('Données projet'!$B$9,Paramètres!$A$1:$I$89,3,0)*0.475*44/12</f>
        <v>1.9990628846591201E-23</v>
      </c>
      <c r="AC189" s="22">
        <f t="shared" si="163"/>
        <v>8.3500096533857935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255.00000000000006</v>
      </c>
      <c r="AJ189" s="13">
        <f>AI189*VLOOKUP('Données projet'!$B$10,Paramètres!$A$1:$I$89,3,0)*VLOOKUP('Données projet'!$B$10,Paramètres!$A$1:$I$89,5,0)</f>
        <v>186.96600000000004</v>
      </c>
      <c r="AK189" s="13">
        <f t="shared" si="164"/>
        <v>46.868551400324648</v>
      </c>
      <c r="AL189" s="20">
        <f t="shared" si="165"/>
        <v>407.26184368889881</v>
      </c>
      <c r="AM189" s="59">
        <f t="shared" si="113"/>
        <v>700.59517702223206</v>
      </c>
      <c r="AN189" s="59">
        <f ca="1">AVERAGE(OFFSET($AM$3,0,0,'Données projet'!$E$10+1,1))-AVERAGE(OFFSET($H$3,0,0,'Données projet'!$E$10+1,1))</f>
        <v>188.36883552879721</v>
      </c>
      <c r="AO189" s="59">
        <f t="shared" si="144"/>
        <v>152.51465338737705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0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1">
        <f t="shared" si="140"/>
        <v>42.255887340755834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67">
        <f t="shared" si="110"/>
        <v>619.86736711848266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636.99999999999977</v>
      </c>
      <c r="O190" s="13">
        <f>N190*VLOOKUP('Données projet'!$B$9,Paramètres!$A$1:$I$89,3,0)*VLOOKUP('Données projet'!$B$9,Paramètres!$A$1:$I$89,5,0)</f>
        <v>356.08299999999991</v>
      </c>
      <c r="P190" s="13">
        <f t="shared" si="141"/>
        <v>82.813805255716545</v>
      </c>
      <c r="Q190" s="20">
        <f t="shared" si="162"/>
        <v>764.41193582037283</v>
      </c>
      <c r="R190" s="59">
        <f t="shared" si="109"/>
        <v>1057.7452691537062</v>
      </c>
      <c r="S190" s="59">
        <f ca="1">AVERAGE(OFFSET($R$3,0,0,'Données projet'!$E$9+1,1))-AVERAGE(OFFSET($H$3,0,0,'Données projet'!$E$9+1,1))</f>
        <v>382.58588458673051</v>
      </c>
      <c r="T190" s="59">
        <f t="shared" si="142"/>
        <v>485.5120768430603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7.9017232614402442</v>
      </c>
      <c r="AA190" s="21">
        <f>EXP(-LN(2)/25)*AA189+(1-EXP(-LN(2)/25))/(LN(2)/25)*Calculateur!V190*Calculateur!X190*VLOOKUP('Données projet'!$B$9,Paramètres!$A$1:$I$89,3,0)*0.475*44/12</f>
        <v>0.28230260306859128</v>
      </c>
      <c r="AB190" s="21">
        <f>EXP(-LN(2)/2)*AB189+(1-EXP(-LN(2)/2))/(LN(2)/2)*V190*Y190*VLOOKUP('Données projet'!$B$9,Paramètres!$A$1:$I$89,3,0)*0.475*44/12</f>
        <v>1.4135509217608049E-23</v>
      </c>
      <c r="AC190" s="22">
        <f t="shared" si="163"/>
        <v>8.1840258645088362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255.00000000000006</v>
      </c>
      <c r="AJ190" s="13">
        <f>AI190*VLOOKUP('Données projet'!$B$10,Paramètres!$A$1:$I$89,3,0)*VLOOKUP('Données projet'!$B$10,Paramètres!$A$1:$I$89,5,0)</f>
        <v>186.96600000000004</v>
      </c>
      <c r="AK190" s="13">
        <f t="shared" si="164"/>
        <v>46.868551400324648</v>
      </c>
      <c r="AL190" s="20">
        <f t="shared" si="165"/>
        <v>407.26184368889881</v>
      </c>
      <c r="AM190" s="59">
        <f t="shared" si="113"/>
        <v>700.59517702223206</v>
      </c>
      <c r="AN190" s="59">
        <f ca="1">AVERAGE(OFFSET($AM$3,0,0,'Données projet'!$E$10+1,1))-AVERAGE(OFFSET($H$3,0,0,'Données projet'!$E$10+1,1))</f>
        <v>188.36883552879721</v>
      </c>
      <c r="AO190" s="59">
        <f t="shared" si="144"/>
        <v>152.51465338737705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0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1">
        <f t="shared" si="140"/>
        <v>42.455490039298816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67">
        <f t="shared" si="110"/>
        <v>621.7636984851116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636.99999999999977</v>
      </c>
      <c r="O191" s="13">
        <f>N191*VLOOKUP('Données projet'!$B$9,Paramètres!$A$1:$I$89,3,0)*VLOOKUP('Données projet'!$B$9,Paramètres!$A$1:$I$89,5,0)</f>
        <v>356.08299999999991</v>
      </c>
      <c r="P191" s="13">
        <f t="shared" si="141"/>
        <v>82.813805255716545</v>
      </c>
      <c r="Q191" s="20">
        <f t="shared" si="162"/>
        <v>764.41193582037283</v>
      </c>
      <c r="R191" s="59">
        <f t="shared" si="109"/>
        <v>1057.7452691537062</v>
      </c>
      <c r="S191" s="59">
        <f ca="1">AVERAGE(OFFSET($R$3,0,0,'Données projet'!$E$9+1,1))-AVERAGE(OFFSET($H$3,0,0,'Données projet'!$E$9+1,1))</f>
        <v>382.58588458673051</v>
      </c>
      <c r="T191" s="59">
        <f t="shared" si="142"/>
        <v>485.5120768430603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7.7467752878586973</v>
      </c>
      <c r="AA191" s="21">
        <f>EXP(-LN(2)/25)*AA190+(1-EXP(-LN(2)/25))/(LN(2)/25)*Calculateur!V191*Calculateur!X191*VLOOKUP('Données projet'!$B$9,Paramètres!$A$1:$I$89,3,0)*0.475*44/12</f>
        <v>0.27458302354203196</v>
      </c>
      <c r="AB191" s="21">
        <f>EXP(-LN(2)/2)*AB190+(1-EXP(-LN(2)/2))/(LN(2)/2)*V191*Y191*VLOOKUP('Données projet'!$B$9,Paramètres!$A$1:$I$89,3,0)*0.475*44/12</f>
        <v>9.9953144232956006E-24</v>
      </c>
      <c r="AC191" s="22">
        <f t="shared" si="163"/>
        <v>8.0213583114007285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255.00000000000006</v>
      </c>
      <c r="AJ191" s="13">
        <f>AI191*VLOOKUP('Données projet'!$B$10,Paramètres!$A$1:$I$89,3,0)*VLOOKUP('Données projet'!$B$10,Paramètres!$A$1:$I$89,5,0)</f>
        <v>186.96600000000004</v>
      </c>
      <c r="AK191" s="13">
        <f t="shared" si="164"/>
        <v>46.868551400324648</v>
      </c>
      <c r="AL191" s="20">
        <f t="shared" si="165"/>
        <v>407.26184368889881</v>
      </c>
      <c r="AM191" s="59">
        <f t="shared" si="113"/>
        <v>700.59517702223206</v>
      </c>
      <c r="AN191" s="59">
        <f ca="1">AVERAGE(OFFSET($AM$3,0,0,'Données projet'!$E$10+1,1))-AVERAGE(OFFSET($H$3,0,0,'Données projet'!$E$10+1,1))</f>
        <v>188.36883552879721</v>
      </c>
      <c r="AO191" s="59">
        <f t="shared" si="144"/>
        <v>152.51465338737705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0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1">
        <f t="shared" si="140"/>
        <v>42.65496919167748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67">
        <f t="shared" si="110"/>
        <v>623.65981467550444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636.99999999999977</v>
      </c>
      <c r="O192" s="13">
        <f>N192*VLOOKUP('Données projet'!$B$9,Paramètres!$A$1:$I$89,3,0)*VLOOKUP('Données projet'!$B$9,Paramètres!$A$1:$I$89,5,0)</f>
        <v>356.08299999999991</v>
      </c>
      <c r="P192" s="13">
        <f t="shared" si="141"/>
        <v>82.813805255716545</v>
      </c>
      <c r="Q192" s="20">
        <f t="shared" si="162"/>
        <v>764.41193582037283</v>
      </c>
      <c r="R192" s="59">
        <f t="shared" si="109"/>
        <v>1057.7452691537062</v>
      </c>
      <c r="S192" s="59">
        <f ca="1">AVERAGE(OFFSET($R$3,0,0,'Données projet'!$E$9+1,1))-AVERAGE(OFFSET($H$3,0,0,'Données projet'!$E$9+1,1))</f>
        <v>382.58588458673051</v>
      </c>
      <c r="T192" s="59">
        <f t="shared" si="142"/>
        <v>485.5120768430603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7.5948657495301521</v>
      </c>
      <c r="AA192" s="21">
        <f>EXP(-LN(2)/25)*AA191+(1-EXP(-LN(2)/25))/(LN(2)/25)*Calculateur!V192*Calculateur!X192*VLOOKUP('Données projet'!$B$9,Paramètres!$A$1:$I$89,3,0)*0.475*44/12</f>
        <v>0.26707453632358147</v>
      </c>
      <c r="AB192" s="21">
        <f>EXP(-LN(2)/2)*AB191+(1-EXP(-LN(2)/2))/(LN(2)/2)*V192*Y192*VLOOKUP('Données projet'!$B$9,Paramètres!$A$1:$I$89,3,0)*0.475*44/12</f>
        <v>7.0677546088040246E-24</v>
      </c>
      <c r="AC192" s="22">
        <f t="shared" si="163"/>
        <v>7.8619402858537333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255.00000000000006</v>
      </c>
      <c r="AJ192" s="13">
        <f>AI192*VLOOKUP('Données projet'!$B$10,Paramètres!$A$1:$I$89,3,0)*VLOOKUP('Données projet'!$B$10,Paramètres!$A$1:$I$89,5,0)</f>
        <v>186.96600000000004</v>
      </c>
      <c r="AK192" s="13">
        <f t="shared" si="164"/>
        <v>46.868551400324648</v>
      </c>
      <c r="AL192" s="20">
        <f t="shared" si="165"/>
        <v>407.26184368889881</v>
      </c>
      <c r="AM192" s="59">
        <f t="shared" si="113"/>
        <v>700.59517702223206</v>
      </c>
      <c r="AN192" s="59">
        <f ca="1">AVERAGE(OFFSET($AM$3,0,0,'Données projet'!$E$10+1,1))-AVERAGE(OFFSET($H$3,0,0,'Données projet'!$E$10+1,1))</f>
        <v>188.36883552879721</v>
      </c>
      <c r="AO192" s="59">
        <f t="shared" si="144"/>
        <v>152.51465338737705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0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1">
        <f t="shared" si="140"/>
        <v>42.8543255274462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67">
        <f t="shared" si="110"/>
        <v>625.55571696030165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636.99999999999977</v>
      </c>
      <c r="O193" s="13">
        <f>N193*VLOOKUP('Données projet'!$B$9,Paramètres!$A$1:$I$89,3,0)*VLOOKUP('Données projet'!$B$9,Paramètres!$A$1:$I$89,5,0)</f>
        <v>356.08299999999991</v>
      </c>
      <c r="P193" s="13">
        <f t="shared" si="141"/>
        <v>82.813805255716545</v>
      </c>
      <c r="Q193" s="20">
        <f t="shared" si="162"/>
        <v>764.41193582037283</v>
      </c>
      <c r="R193" s="59">
        <f t="shared" si="109"/>
        <v>1057.7452691537062</v>
      </c>
      <c r="S193" s="59">
        <f ca="1">AVERAGE(OFFSET($R$3,0,0,'Données projet'!$E$9+1,1))-AVERAGE(OFFSET($H$3,0,0,'Données projet'!$E$9+1,1))</f>
        <v>382.58588458673051</v>
      </c>
      <c r="T193" s="59">
        <f t="shared" si="142"/>
        <v>485.5120768430603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7.4459350645925602</v>
      </c>
      <c r="AA193" s="21">
        <f>EXP(-LN(2)/25)*AA192+(1-EXP(-LN(2)/25))/(LN(2)/25)*Calculateur!V193*Calculateur!X193*VLOOKUP('Données projet'!$B$9,Paramètres!$A$1:$I$89,3,0)*0.475*44/12</f>
        <v>0.25977136908297366</v>
      </c>
      <c r="AB193" s="21">
        <f>EXP(-LN(2)/2)*AB192+(1-EXP(-LN(2)/2))/(LN(2)/2)*V193*Y193*VLOOKUP('Données projet'!$B$9,Paramètres!$A$1:$I$89,3,0)*0.475*44/12</f>
        <v>4.9976572116478003E-24</v>
      </c>
      <c r="AC193" s="22">
        <f t="shared" si="163"/>
        <v>7.7057064336755339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255.00000000000006</v>
      </c>
      <c r="AJ193" s="13">
        <f>AI193*VLOOKUP('Données projet'!$B$10,Paramètres!$A$1:$I$89,3,0)*VLOOKUP('Données projet'!$B$10,Paramètres!$A$1:$I$89,5,0)</f>
        <v>186.96600000000004</v>
      </c>
      <c r="AK193" s="13">
        <f t="shared" si="164"/>
        <v>46.868551400324648</v>
      </c>
      <c r="AL193" s="20">
        <f t="shared" si="165"/>
        <v>407.26184368889881</v>
      </c>
      <c r="AM193" s="59">
        <f t="shared" si="113"/>
        <v>700.59517702223206</v>
      </c>
      <c r="AN193" s="59">
        <f ca="1">AVERAGE(OFFSET($AM$3,0,0,'Données projet'!$E$10+1,1))-AVERAGE(OFFSET($H$3,0,0,'Données projet'!$E$10+1,1))</f>
        <v>188.36883552879721</v>
      </c>
      <c r="AO193" s="59">
        <f t="shared" si="144"/>
        <v>152.51465338737705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0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1">
        <f t="shared" si="140"/>
        <v>43.053559768035143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67">
        <f t="shared" si="110"/>
        <v>627.45140659599406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636.99999999999977</v>
      </c>
      <c r="O194" s="13">
        <f>N194*VLOOKUP('Données projet'!$B$9,Paramètres!$A$1:$I$89,3,0)*VLOOKUP('Données projet'!$B$9,Paramètres!$A$1:$I$89,5,0)</f>
        <v>356.08299999999991</v>
      </c>
      <c r="P194" s="13">
        <f t="shared" si="141"/>
        <v>82.813805255716545</v>
      </c>
      <c r="Q194" s="20">
        <f t="shared" si="162"/>
        <v>764.41193582037283</v>
      </c>
      <c r="R194" s="59">
        <f t="shared" si="109"/>
        <v>1057.7452691537062</v>
      </c>
      <c r="S194" s="59">
        <f ca="1">AVERAGE(OFFSET($R$3,0,0,'Données projet'!$E$9+1,1))-AVERAGE(OFFSET($H$3,0,0,'Données projet'!$E$9+1,1))</f>
        <v>382.58588458673051</v>
      </c>
      <c r="T194" s="59">
        <f t="shared" si="142"/>
        <v>485.5120768430603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7.2999248195478463</v>
      </c>
      <c r="AA194" s="21">
        <f>EXP(-LN(2)/25)*AA193+(1-EXP(-LN(2)/25))/(LN(2)/25)*Calculateur!V194*Calculateur!X194*VLOOKUP('Données projet'!$B$9,Paramètres!$A$1:$I$89,3,0)*0.475*44/12</f>
        <v>0.25266790733461714</v>
      </c>
      <c r="AB194" s="21">
        <f>EXP(-LN(2)/2)*AB193+(1-EXP(-LN(2)/2))/(LN(2)/2)*V194*Y194*VLOOKUP('Données projet'!$B$9,Paramètres!$A$1:$I$89,3,0)*0.475*44/12</f>
        <v>3.5338773044020123E-24</v>
      </c>
      <c r="AC194" s="22">
        <f t="shared" si="163"/>
        <v>7.5525927268824633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255.00000000000006</v>
      </c>
      <c r="AJ194" s="13">
        <f>AI194*VLOOKUP('Données projet'!$B$10,Paramètres!$A$1:$I$89,3,0)*VLOOKUP('Données projet'!$B$10,Paramètres!$A$1:$I$89,5,0)</f>
        <v>186.96600000000004</v>
      </c>
      <c r="AK194" s="13">
        <f t="shared" si="164"/>
        <v>46.868551400324648</v>
      </c>
      <c r="AL194" s="20">
        <f t="shared" si="165"/>
        <v>407.26184368889881</v>
      </c>
      <c r="AM194" s="59">
        <f t="shared" si="113"/>
        <v>700.59517702223206</v>
      </c>
      <c r="AN194" s="59">
        <f ca="1">AVERAGE(OFFSET($AM$3,0,0,'Données projet'!$E$10+1,1))-AVERAGE(OFFSET($H$3,0,0,'Données projet'!$E$10+1,1))</f>
        <v>188.36883552879721</v>
      </c>
      <c r="AO194" s="59">
        <f t="shared" si="144"/>
        <v>152.51465338737705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0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1">
        <f t="shared" si="140"/>
        <v>43.252672626882983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67">
        <f t="shared" si="110"/>
        <v>629.34688482515401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636.99999999999977</v>
      </c>
      <c r="O195" s="13">
        <f>N195*VLOOKUP('Données projet'!$B$9,Paramètres!$A$1:$I$89,3,0)*VLOOKUP('Données projet'!$B$9,Paramètres!$A$1:$I$89,5,0)</f>
        <v>356.08299999999991</v>
      </c>
      <c r="P195" s="13">
        <f t="shared" si="141"/>
        <v>82.813805255716545</v>
      </c>
      <c r="Q195" s="20">
        <f t="shared" si="162"/>
        <v>764.41193582037283</v>
      </c>
      <c r="R195" s="59">
        <f t="shared" ref="R195:R203" si="191">Q195+(I195+J195)*44/12</f>
        <v>1057.7452691537062</v>
      </c>
      <c r="S195" s="59">
        <f ca="1">AVERAGE(OFFSET($R$3,0,0,'Données projet'!$E$9+1,1))-AVERAGE(OFFSET($H$3,0,0,'Données projet'!$E$9+1,1))</f>
        <v>382.58588458673051</v>
      </c>
      <c r="T195" s="59">
        <f t="shared" si="142"/>
        <v>485.5120768430603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7.1567777463510041</v>
      </c>
      <c r="AA195" s="21">
        <f>EXP(-LN(2)/25)*AA194+(1-EXP(-LN(2)/25))/(LN(2)/25)*Calculateur!V195*Calculateur!X195*VLOOKUP('Données projet'!$B$9,Paramètres!$A$1:$I$89,3,0)*0.475*44/12</f>
        <v>0.24575869012132426</v>
      </c>
      <c r="AB195" s="21">
        <f>EXP(-LN(2)/2)*AB194+(1-EXP(-LN(2)/2))/(LN(2)/2)*V195*Y195*VLOOKUP('Données projet'!$B$9,Paramètres!$A$1:$I$89,3,0)*0.475*44/12</f>
        <v>2.4988286058239002E-24</v>
      </c>
      <c r="AC195" s="22">
        <f t="shared" si="163"/>
        <v>7.4025364364723281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255.00000000000006</v>
      </c>
      <c r="AJ195" s="13">
        <f>AI195*VLOOKUP('Données projet'!$B$10,Paramètres!$A$1:$I$89,3,0)*VLOOKUP('Données projet'!$B$10,Paramètres!$A$1:$I$89,5,0)</f>
        <v>186.96600000000004</v>
      </c>
      <c r="AK195" s="13">
        <f t="shared" si="164"/>
        <v>46.868551400324648</v>
      </c>
      <c r="AL195" s="20">
        <f t="shared" si="165"/>
        <v>407.26184368889881</v>
      </c>
      <c r="AM195" s="59">
        <f t="shared" si="113"/>
        <v>700.59517702223206</v>
      </c>
      <c r="AN195" s="59">
        <f ca="1">AVERAGE(OFFSET($AM$3,0,0,'Données projet'!$E$10+1,1))-AVERAGE(OFFSET($H$3,0,0,'Données projet'!$E$10+1,1))</f>
        <v>188.36883552879721</v>
      </c>
      <c r="AO195" s="59">
        <f t="shared" si="144"/>
        <v>152.51465338737705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0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1">
        <f t="shared" si="140"/>
        <v>43.451664809566452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67">
        <f t="shared" ref="H196:H203" si="192">(B196+E196+F196)*44/12+(C196+D196)*0.475*44/12</f>
        <v>631.24215287666095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636.99999999999977</v>
      </c>
      <c r="O196" s="13">
        <f>N196*VLOOKUP('Données projet'!$B$9,Paramètres!$A$1:$I$89,3,0)*VLOOKUP('Données projet'!$B$9,Paramètres!$A$1:$I$89,5,0)</f>
        <v>356.08299999999991</v>
      </c>
      <c r="P196" s="13">
        <f t="shared" si="141"/>
        <v>82.813805255716545</v>
      </c>
      <c r="Q196" s="20">
        <f t="shared" si="162"/>
        <v>764.41193582037283</v>
      </c>
      <c r="R196" s="59">
        <f t="shared" si="191"/>
        <v>1057.7452691537062</v>
      </c>
      <c r="S196" s="59">
        <f ca="1">AVERAGE(OFFSET($R$3,0,0,'Données projet'!$E$9+1,1))-AVERAGE(OFFSET($H$3,0,0,'Données projet'!$E$9+1,1))</f>
        <v>382.58588458673051</v>
      </c>
      <c r="T196" s="59">
        <f t="shared" si="142"/>
        <v>485.5120768430603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7.0164376999484581</v>
      </c>
      <c r="AA196" s="21">
        <f>EXP(-LN(2)/25)*AA195+(1-EXP(-LN(2)/25))/(LN(2)/25)*Calculateur!V196*Calculateur!X196*VLOOKUP('Données projet'!$B$9,Paramètres!$A$1:$I$89,3,0)*0.475*44/12</f>
        <v>0.23903840581606883</v>
      </c>
      <c r="AB196" s="21">
        <f>EXP(-LN(2)/2)*AB195+(1-EXP(-LN(2)/2))/(LN(2)/2)*V196*Y196*VLOOKUP('Données projet'!$B$9,Paramètres!$A$1:$I$89,3,0)*0.475*44/12</f>
        <v>1.7669386522010062E-24</v>
      </c>
      <c r="AC196" s="22">
        <f t="shared" si="163"/>
        <v>7.2554761057645267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255.00000000000006</v>
      </c>
      <c r="AJ196" s="13">
        <f>AI196*VLOOKUP('Données projet'!$B$10,Paramètres!$A$1:$I$89,3,0)*VLOOKUP('Données projet'!$B$10,Paramètres!$A$1:$I$89,5,0)</f>
        <v>186.96600000000004</v>
      </c>
      <c r="AK196" s="13">
        <f t="shared" si="164"/>
        <v>46.868551400324648</v>
      </c>
      <c r="AL196" s="20">
        <f t="shared" si="165"/>
        <v>407.26184368889881</v>
      </c>
      <c r="AM196" s="59">
        <f t="shared" ref="AM196:AM203" si="193">AL196+(AD196+AE196)*44/12</f>
        <v>700.59517702223206</v>
      </c>
      <c r="AN196" s="59">
        <f ca="1">AVERAGE(OFFSET($AM$3,0,0,'Données projet'!$E$10+1,1))-AVERAGE(OFFSET($H$3,0,0,'Données projet'!$E$10+1,1))</f>
        <v>188.36883552879721</v>
      </c>
      <c r="AO196" s="59">
        <f t="shared" si="144"/>
        <v>152.51465338737705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0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1">
        <f t="shared" ref="D197:D203" si="202">IFERROR(EXP(-1.0587+0.8836*LN(C197)+0.284),0)</f>
        <v>43.650537013927277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67">
        <f t="shared" si="192"/>
        <v>633.13721196592269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636.99999999999977</v>
      </c>
      <c r="O197" s="13">
        <f>N197*VLOOKUP('Données projet'!$B$9,Paramètres!$A$1:$I$89,3,0)*VLOOKUP('Données projet'!$B$9,Paramètres!$A$1:$I$89,5,0)</f>
        <v>356.08299999999991</v>
      </c>
      <c r="P197" s="13">
        <f t="shared" ref="P197:P203" si="203">EXP(-1.0587+0.8836*LN(O197)+0.284)</f>
        <v>82.813805255716545</v>
      </c>
      <c r="Q197" s="20">
        <f t="shared" si="162"/>
        <v>764.41193582037283</v>
      </c>
      <c r="R197" s="59">
        <f t="shared" si="191"/>
        <v>1057.7452691537062</v>
      </c>
      <c r="S197" s="59">
        <f ca="1">AVERAGE(OFFSET($R$3,0,0,'Données projet'!$E$9+1,1))-AVERAGE(OFFSET($H$3,0,0,'Données projet'!$E$9+1,1))</f>
        <v>382.58588458673051</v>
      </c>
      <c r="T197" s="59">
        <f t="shared" ref="T197:T203" si="204">$T$3</f>
        <v>485.5120768430603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6.8788496362568896</v>
      </c>
      <c r="AA197" s="21">
        <f>EXP(-LN(2)/25)*AA196+(1-EXP(-LN(2)/25))/(LN(2)/25)*Calculateur!V197*Calculateur!X197*VLOOKUP('Données projet'!$B$9,Paramètres!$A$1:$I$89,3,0)*0.475*44/12</f>
        <v>0.23250188803854499</v>
      </c>
      <c r="AB197" s="21">
        <f>EXP(-LN(2)/2)*AB196+(1-EXP(-LN(2)/2))/(LN(2)/2)*V197*Y197*VLOOKUP('Données projet'!$B$9,Paramètres!$A$1:$I$89,3,0)*0.475*44/12</f>
        <v>1.2494143029119501E-24</v>
      </c>
      <c r="AC197" s="22">
        <f t="shared" si="163"/>
        <v>7.1113515242954346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255.00000000000006</v>
      </c>
      <c r="AJ197" s="13">
        <f>AI197*VLOOKUP('Données projet'!$B$10,Paramètres!$A$1:$I$89,3,0)*VLOOKUP('Données projet'!$B$10,Paramètres!$A$1:$I$89,5,0)</f>
        <v>186.96600000000004</v>
      </c>
      <c r="AK197" s="13">
        <f t="shared" si="164"/>
        <v>46.868551400324648</v>
      </c>
      <c r="AL197" s="20">
        <f t="shared" si="165"/>
        <v>407.26184368889881</v>
      </c>
      <c r="AM197" s="59">
        <f t="shared" si="193"/>
        <v>700.59517702223206</v>
      </c>
      <c r="AN197" s="59">
        <f ca="1">AVERAGE(OFFSET($AM$3,0,0,'Données projet'!$E$10+1,1))-AVERAGE(OFFSET($H$3,0,0,'Données projet'!$E$10+1,1))</f>
        <v>188.36883552879721</v>
      </c>
      <c r="AO197" s="59">
        <f t="shared" ref="AO197:AO203" si="205">$AO$3</f>
        <v>152.51465338737705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0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1">
        <f t="shared" si="202"/>
        <v>43.849289930196555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67">
        <f t="shared" si="192"/>
        <v>635.0320632950918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636.99999999999977</v>
      </c>
      <c r="O198" s="13">
        <f>N198*VLOOKUP('Données projet'!$B$9,Paramètres!$A$1:$I$89,3,0)*VLOOKUP('Données projet'!$B$9,Paramètres!$A$1:$I$89,5,0)</f>
        <v>356.08299999999991</v>
      </c>
      <c r="P198" s="13">
        <f t="shared" si="203"/>
        <v>82.813805255716545</v>
      </c>
      <c r="Q198" s="20">
        <f t="shared" si="162"/>
        <v>764.41193582037283</v>
      </c>
      <c r="R198" s="59">
        <f t="shared" si="191"/>
        <v>1057.7452691537062</v>
      </c>
      <c r="S198" s="59">
        <f ca="1">AVERAGE(OFFSET($R$3,0,0,'Données projet'!$E$9+1,1))-AVERAGE(OFFSET($H$3,0,0,'Données projet'!$E$9+1,1))</f>
        <v>382.58588458673051</v>
      </c>
      <c r="T198" s="59">
        <f t="shared" si="204"/>
        <v>485.5120768430603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6.7439595905738807</v>
      </c>
      <c r="AA198" s="21">
        <f>EXP(-LN(2)/25)*AA197+(1-EXP(-LN(2)/25))/(LN(2)/25)*Calculateur!V198*Calculateur!X198*VLOOKUP('Données projet'!$B$9,Paramètres!$A$1:$I$89,3,0)*0.475*44/12</f>
        <v>0.22614411168338808</v>
      </c>
      <c r="AB198" s="21">
        <f>EXP(-LN(2)/2)*AB197+(1-EXP(-LN(2)/2))/(LN(2)/2)*V198*Y198*VLOOKUP('Données projet'!$B$9,Paramètres!$A$1:$I$89,3,0)*0.475*44/12</f>
        <v>8.8346932610050308E-25</v>
      </c>
      <c r="AC198" s="22">
        <f t="shared" si="163"/>
        <v>6.9701037022572692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255.00000000000006</v>
      </c>
      <c r="AJ198" s="13">
        <f>AI198*VLOOKUP('Données projet'!$B$10,Paramètres!$A$1:$I$89,3,0)*VLOOKUP('Données projet'!$B$10,Paramètres!$A$1:$I$89,5,0)</f>
        <v>186.96600000000004</v>
      </c>
      <c r="AK198" s="13">
        <f t="shared" si="164"/>
        <v>46.868551400324648</v>
      </c>
      <c r="AL198" s="20">
        <f t="shared" si="165"/>
        <v>407.26184368889881</v>
      </c>
      <c r="AM198" s="59">
        <f t="shared" si="193"/>
        <v>700.59517702223206</v>
      </c>
      <c r="AN198" s="59">
        <f ca="1">AVERAGE(OFFSET($AM$3,0,0,'Données projet'!$E$10+1,1))-AVERAGE(OFFSET($H$3,0,0,'Données projet'!$E$10+1,1))</f>
        <v>188.36883552879721</v>
      </c>
      <c r="AO198" s="59">
        <f t="shared" si="205"/>
        <v>152.51465338737705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0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1">
        <f t="shared" si="202"/>
        <v>44.047924241116036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67">
        <f t="shared" si="192"/>
        <v>636.92670805327657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636.99999999999977</v>
      </c>
      <c r="O199" s="13">
        <f>N199*VLOOKUP('Données projet'!$B$9,Paramètres!$A$1:$I$89,3,0)*VLOOKUP('Données projet'!$B$9,Paramètres!$A$1:$I$89,5,0)</f>
        <v>356.08299999999991</v>
      </c>
      <c r="P199" s="13">
        <f t="shared" si="203"/>
        <v>82.813805255716545</v>
      </c>
      <c r="Q199" s="20">
        <f t="shared" si="162"/>
        <v>764.41193582037283</v>
      </c>
      <c r="R199" s="59">
        <f t="shared" si="191"/>
        <v>1057.7452691537062</v>
      </c>
      <c r="S199" s="59">
        <f ca="1">AVERAGE(OFFSET($R$3,0,0,'Données projet'!$E$9+1,1))-AVERAGE(OFFSET($H$3,0,0,'Données projet'!$E$9+1,1))</f>
        <v>382.58588458673051</v>
      </c>
      <c r="T199" s="59">
        <f t="shared" si="204"/>
        <v>485.5120768430603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6.6117146564119116</v>
      </c>
      <c r="AA199" s="21">
        <f>EXP(-LN(2)/25)*AA198+(1-EXP(-LN(2)/25))/(LN(2)/25)*Calculateur!V199*Calculateur!X199*VLOOKUP('Données projet'!$B$9,Paramètres!$A$1:$I$89,3,0)*0.475*44/12</f>
        <v>0.21996018905700385</v>
      </c>
      <c r="AB199" s="21">
        <f>EXP(-LN(2)/2)*AB198+(1-EXP(-LN(2)/2))/(LN(2)/2)*V199*Y199*VLOOKUP('Données projet'!$B$9,Paramètres!$A$1:$I$89,3,0)*0.475*44/12</f>
        <v>6.2470715145597504E-25</v>
      </c>
      <c r="AC199" s="22">
        <f t="shared" si="163"/>
        <v>6.8316748454689158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255.00000000000006</v>
      </c>
      <c r="AJ199" s="13">
        <f>AI199*VLOOKUP('Données projet'!$B$10,Paramètres!$A$1:$I$89,3,0)*VLOOKUP('Données projet'!$B$10,Paramètres!$A$1:$I$89,5,0)</f>
        <v>186.96600000000004</v>
      </c>
      <c r="AK199" s="13">
        <f t="shared" si="164"/>
        <v>46.868551400324648</v>
      </c>
      <c r="AL199" s="20">
        <f t="shared" si="165"/>
        <v>407.26184368889881</v>
      </c>
      <c r="AM199" s="59">
        <f t="shared" si="193"/>
        <v>700.59517702223206</v>
      </c>
      <c r="AN199" s="59">
        <f ca="1">AVERAGE(OFFSET($AM$3,0,0,'Données projet'!$E$10+1,1))-AVERAGE(OFFSET($H$3,0,0,'Données projet'!$E$10+1,1))</f>
        <v>188.36883552879721</v>
      </c>
      <c r="AO199" s="59">
        <f t="shared" si="205"/>
        <v>152.51465338737705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0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1">
        <f t="shared" si="202"/>
        <v>44.246440622057428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67">
        <f t="shared" si="192"/>
        <v>638.82114741674945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636.99999999999977</v>
      </c>
      <c r="O200" s="13">
        <f>N200*VLOOKUP('Données projet'!$B$9,Paramètres!$A$1:$I$89,3,0)*VLOOKUP('Données projet'!$B$9,Paramètres!$A$1:$I$89,5,0)</f>
        <v>356.08299999999991</v>
      </c>
      <c r="P200" s="13">
        <f t="shared" si="203"/>
        <v>82.813805255716545</v>
      </c>
      <c r="Q200" s="20">
        <f t="shared" si="162"/>
        <v>764.41193582037283</v>
      </c>
      <c r="R200" s="59">
        <f t="shared" si="191"/>
        <v>1057.7452691537062</v>
      </c>
      <c r="S200" s="59">
        <f ca="1">AVERAGE(OFFSET($R$3,0,0,'Données projet'!$E$9+1,1))-AVERAGE(OFFSET($H$3,0,0,'Données projet'!$E$9+1,1))</f>
        <v>382.58588458673051</v>
      </c>
      <c r="T200" s="59">
        <f t="shared" si="204"/>
        <v>485.5120768430603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6.4820629647474135</v>
      </c>
      <c r="AA200" s="21">
        <f>EXP(-LN(2)/25)*AA199+(1-EXP(-LN(2)/25))/(LN(2)/25)*Calculateur!V200*Calculateur!X200*VLOOKUP('Données projet'!$B$9,Paramètres!$A$1:$I$89,3,0)*0.475*44/12</f>
        <v>0.21394536612003645</v>
      </c>
      <c r="AB200" s="21">
        <f>EXP(-LN(2)/2)*AB199+(1-EXP(-LN(2)/2))/(LN(2)/2)*V200*Y200*VLOOKUP('Données projet'!$B$9,Paramètres!$A$1:$I$89,3,0)*0.475*44/12</f>
        <v>4.4173466305025154E-25</v>
      </c>
      <c r="AC200" s="22">
        <f t="shared" si="163"/>
        <v>6.6960083308674498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255.00000000000006</v>
      </c>
      <c r="AJ200" s="13">
        <f>AI200*VLOOKUP('Données projet'!$B$10,Paramètres!$A$1:$I$89,3,0)*VLOOKUP('Données projet'!$B$10,Paramètres!$A$1:$I$89,5,0)</f>
        <v>186.96600000000004</v>
      </c>
      <c r="AK200" s="13">
        <f t="shared" si="164"/>
        <v>46.868551400324648</v>
      </c>
      <c r="AL200" s="20">
        <f t="shared" si="165"/>
        <v>407.26184368889881</v>
      </c>
      <c r="AM200" s="59">
        <f t="shared" si="193"/>
        <v>700.59517702223206</v>
      </c>
      <c r="AN200" s="59">
        <f ca="1">AVERAGE(OFFSET($AM$3,0,0,'Données projet'!$E$10+1,1))-AVERAGE(OFFSET($H$3,0,0,'Données projet'!$E$10+1,1))</f>
        <v>188.36883552879721</v>
      </c>
      <c r="AO200" s="59">
        <f t="shared" si="205"/>
        <v>152.51465338737705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0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1">
        <f t="shared" si="202"/>
        <v>44.44483974113885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67">
        <f t="shared" si="192"/>
        <v>640.71538254914947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636.99999999999977</v>
      </c>
      <c r="O201" s="13">
        <f>N201*VLOOKUP('Données projet'!$B$9,Paramètres!$A$1:$I$89,3,0)*VLOOKUP('Données projet'!$B$9,Paramètres!$A$1:$I$89,5,0)</f>
        <v>356.08299999999991</v>
      </c>
      <c r="P201" s="13">
        <f t="shared" si="203"/>
        <v>82.813805255716545</v>
      </c>
      <c r="Q201" s="20">
        <f t="shared" si="162"/>
        <v>764.41193582037283</v>
      </c>
      <c r="R201" s="59">
        <f t="shared" si="191"/>
        <v>1057.7452691537062</v>
      </c>
      <c r="S201" s="59">
        <f ca="1">AVERAGE(OFFSET($R$3,0,0,'Données projet'!$E$9+1,1))-AVERAGE(OFFSET($H$3,0,0,'Données projet'!$E$9+1,1))</f>
        <v>382.58588458673051</v>
      </c>
      <c r="T201" s="59">
        <f t="shared" si="204"/>
        <v>485.5120768430603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6.3549536636767332</v>
      </c>
      <c r="AA201" s="21">
        <f>EXP(-LN(2)/25)*AA200+(1-EXP(-LN(2)/25))/(LN(2)/25)*Calculateur!V201*Calculateur!X201*VLOOKUP('Données projet'!$B$9,Paramètres!$A$1:$I$89,3,0)*0.475*44/12</f>
        <v>0.20809501883258621</v>
      </c>
      <c r="AB201" s="21">
        <f>EXP(-LN(2)/2)*AB200+(1-EXP(-LN(2)/2))/(LN(2)/2)*V201*Y201*VLOOKUP('Données projet'!$B$9,Paramètres!$A$1:$I$89,3,0)*0.475*44/12</f>
        <v>3.1235357572798752E-25</v>
      </c>
      <c r="AC201" s="22">
        <f t="shared" si="163"/>
        <v>6.5630486825093195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255.00000000000006</v>
      </c>
      <c r="AJ201" s="13">
        <f>AI201*VLOOKUP('Données projet'!$B$10,Paramètres!$A$1:$I$89,3,0)*VLOOKUP('Données projet'!$B$10,Paramètres!$A$1:$I$89,5,0)</f>
        <v>186.96600000000004</v>
      </c>
      <c r="AK201" s="13">
        <f t="shared" si="164"/>
        <v>46.868551400324648</v>
      </c>
      <c r="AL201" s="20">
        <f t="shared" si="165"/>
        <v>407.26184368889881</v>
      </c>
      <c r="AM201" s="59">
        <f t="shared" si="193"/>
        <v>700.59517702223206</v>
      </c>
      <c r="AN201" s="59">
        <f ca="1">AVERAGE(OFFSET($AM$3,0,0,'Données projet'!$E$10+1,1))-AVERAGE(OFFSET($H$3,0,0,'Données projet'!$E$10+1,1))</f>
        <v>188.36883552879721</v>
      </c>
      <c r="AO201" s="59">
        <f t="shared" si="205"/>
        <v>152.51465338737705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0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1">
        <f t="shared" si="202"/>
        <v>44.643122259339037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67">
        <f t="shared" si="192"/>
        <v>642.60941460168146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636.99999999999977</v>
      </c>
      <c r="O202" s="13">
        <f>N202*VLOOKUP('Données projet'!$B$9,Paramètres!$A$1:$I$89,3,0)*VLOOKUP('Données projet'!$B$9,Paramètres!$A$1:$I$89,5,0)</f>
        <v>356.08299999999991</v>
      </c>
      <c r="P202" s="13">
        <f t="shared" si="203"/>
        <v>82.813805255716545</v>
      </c>
      <c r="Q202" s="20">
        <f t="shared" si="162"/>
        <v>764.41193582037283</v>
      </c>
      <c r="R202" s="59">
        <f t="shared" si="191"/>
        <v>1057.7452691537062</v>
      </c>
      <c r="S202" s="59">
        <f ca="1">AVERAGE(OFFSET($R$3,0,0,'Données projet'!$E$9+1,1))-AVERAGE(OFFSET($H$3,0,0,'Données projet'!$E$9+1,1))</f>
        <v>382.58588458673051</v>
      </c>
      <c r="T202" s="59">
        <f t="shared" si="204"/>
        <v>485.5120768430603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6.2303368984710303</v>
      </c>
      <c r="AA202" s="21">
        <f>EXP(-LN(2)/25)*AA201+(1-EXP(-LN(2)/25))/(LN(2)/25)*Calculateur!V202*Calculateur!X202*VLOOKUP('Données projet'!$B$9,Paramètres!$A$1:$I$89,3,0)*0.475*44/12</f>
        <v>0.20240464959936771</v>
      </c>
      <c r="AB202" s="21">
        <f>EXP(-LN(2)/2)*AB201+(1-EXP(-LN(2)/2))/(LN(2)/2)*V202*Y202*VLOOKUP('Données projet'!$B$9,Paramètres!$A$1:$I$89,3,0)*0.475*44/12</f>
        <v>2.2086733152512577E-25</v>
      </c>
      <c r="AC202" s="22">
        <f t="shared" si="163"/>
        <v>6.432741548070398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255.00000000000006</v>
      </c>
      <c r="AJ202" s="13">
        <f>AI202*VLOOKUP('Données projet'!$B$10,Paramètres!$A$1:$I$89,3,0)*VLOOKUP('Données projet'!$B$10,Paramètres!$A$1:$I$89,5,0)</f>
        <v>186.96600000000004</v>
      </c>
      <c r="AK202" s="13">
        <f t="shared" si="164"/>
        <v>46.868551400324648</v>
      </c>
      <c r="AL202" s="20">
        <f t="shared" si="165"/>
        <v>407.26184368889881</v>
      </c>
      <c r="AM202" s="59">
        <f t="shared" si="193"/>
        <v>700.59517702223206</v>
      </c>
      <c r="AN202" s="59">
        <f ca="1">AVERAGE(OFFSET($AM$3,0,0,'Données projet'!$E$10+1,1))-AVERAGE(OFFSET($H$3,0,0,'Données projet'!$E$10+1,1))</f>
        <v>188.36883552879721</v>
      </c>
      <c r="AO202" s="59">
        <f t="shared" si="205"/>
        <v>152.51465338737705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0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1">
        <f t="shared" si="202"/>
        <v>44.841288830609059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67">
        <f t="shared" si="192"/>
        <v>644.5032447133101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636.99999999999977</v>
      </c>
      <c r="O203" s="13">
        <f>N203*VLOOKUP('Données projet'!$B$9,Paramètres!$A$1:$I$89,3,0)*VLOOKUP('Données projet'!$B$9,Paramètres!$A$1:$I$89,5,0)</f>
        <v>356.08299999999991</v>
      </c>
      <c r="P203" s="13">
        <f t="shared" si="203"/>
        <v>82.813805255716545</v>
      </c>
      <c r="Q203" s="20">
        <f t="shared" si="162"/>
        <v>764.41193582037283</v>
      </c>
      <c r="R203" s="59">
        <f t="shared" si="191"/>
        <v>1057.7452691537062</v>
      </c>
      <c r="S203" s="59">
        <f ca="1">AVERAGE(OFFSET($R$3,0,0,'Données projet'!$E$9+1,1))-AVERAGE(OFFSET($H$3,0,0,'Données projet'!$E$9+1,1))</f>
        <v>382.58588458673051</v>
      </c>
      <c r="T203" s="59">
        <f t="shared" si="204"/>
        <v>485.5120768430603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6.1081637920222898</v>
      </c>
      <c r="AA203" s="21">
        <f>EXP(-LN(2)/25)*AA202+(1-EXP(-LN(2)/25))/(LN(2)/25)*Calculateur!V203*Calculateur!X203*VLOOKUP('Données projet'!$B$9,Paramètres!$A$1:$I$89,3,0)*0.475*44/12</f>
        <v>0.1968698838120751</v>
      </c>
      <c r="AB203" s="21">
        <f>EXP(-LN(2)/2)*AB202+(1-EXP(-LN(2)/2))/(LN(2)/2)*V203*Y203*VLOOKUP('Données projet'!$B$9,Paramètres!$A$1:$I$89,3,0)*0.475*44/12</f>
        <v>1.5617678786399376E-25</v>
      </c>
      <c r="AC203" s="22">
        <f t="shared" si="163"/>
        <v>6.3050336758343652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255.00000000000006</v>
      </c>
      <c r="AJ203" s="13">
        <f>AI203*VLOOKUP('Données projet'!$B$10,Paramètres!$A$1:$I$89,3,0)*VLOOKUP('Données projet'!$B$10,Paramètres!$A$1:$I$89,5,0)</f>
        <v>186.96600000000004</v>
      </c>
      <c r="AK203" s="13">
        <f t="shared" si="164"/>
        <v>46.868551400324648</v>
      </c>
      <c r="AL203" s="20">
        <f t="shared" si="165"/>
        <v>407.26184368889881</v>
      </c>
      <c r="AM203" s="59">
        <f t="shared" si="193"/>
        <v>700.59517702223206</v>
      </c>
      <c r="AN203" s="59">
        <f ca="1">AVERAGE(OFFSET($AM$3,0,0,'Données projet'!$E$10+1,1))-AVERAGE(OFFSET($H$3,0,0,'Données projet'!$E$10+1,1))</f>
        <v>188.36883552879721</v>
      </c>
      <c r="AO203" s="59">
        <f t="shared" si="205"/>
        <v>152.51465338737705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0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1.3070441688874561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1.6071994829923506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77734375" style="4" bestFit="1" customWidth="1"/>
    <col min="4" max="4" width="40" style="4" bestFit="1" customWidth="1"/>
    <col min="5" max="5" width="11.777343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110" zoomScaleNormal="110" workbookViewId="0">
      <selection activeCell="E20" sqref="E20"/>
    </sheetView>
  </sheetViews>
  <sheetFormatPr baseColWidth="10" defaultColWidth="11.44140625" defaultRowHeight="14.4" x14ac:dyDescent="0.3"/>
  <cols>
    <col min="1" max="1" width="22.77734375" style="1" bestFit="1" customWidth="1"/>
    <col min="2" max="2" width="10.44140625" style="1" bestFit="1" customWidth="1"/>
    <col min="3" max="3" width="15.4414062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Douglas</v>
      </c>
      <c r="B6" s="146">
        <f>'Données projet'!D9</f>
        <v>1.2687499999999998</v>
      </c>
      <c r="C6" s="147">
        <f ca="1">IF(OR('Données projet'!B9="",'Données projet'!C9="",'Données projet'!C9=0%),0,Calculateur!S3)</f>
        <v>382.58588458673051</v>
      </c>
      <c r="D6" s="147">
        <f>IF(OR('Données projet'!B9="",'Données projet'!C9="",'Données projet'!C9=0%),0,Calculateur!T3)</f>
        <v>485.5120768430603</v>
      </c>
      <c r="E6" s="147">
        <f ca="1">MIN(C6,D6)</f>
        <v>382.58588458673051</v>
      </c>
      <c r="F6" s="147">
        <f ca="1">E6*B6</f>
        <v>485.40584106941429</v>
      </c>
      <c r="G6" s="147">
        <f ca="1">F6*(100%-'Données projet'!$C$24)*(100%-'Données projet'!$C$25)*(100%-'Données projet'!$C$26)*(100%-'Données projet'!$C$27)</f>
        <v>436.86525696247287</v>
      </c>
      <c r="H6" s="148">
        <f>IF(OR('Données projet'!B9="",'Données projet'!C9="",'Données projet'!C9=0%),0,AVERAGE(Calculateur!$AC$3:$AC$33)*B6)</f>
        <v>5.07666243960609</v>
      </c>
      <c r="I6" s="149">
        <f>H6*(100%-'Données projet'!$C$24)*(100%-'Données projet'!$C$25)*(100%-'Données projet'!$C$26)*(100%-'Données projet'!$C$27)</f>
        <v>4.5689961956454814</v>
      </c>
      <c r="J6" s="150">
        <f>IF(OR('Données projet'!B9="",'Données projet'!C9="",'Données projet'!C9=0%),0,SUM(Calculateur!$V$3:$V$33)*VLOOKUP('Données projet'!$B$9,Paramètres!$A$1:$I$89,9,0)*B6)</f>
        <v>58.920749999999991</v>
      </c>
      <c r="K6" s="151">
        <f>J6*(100%-'Données projet'!$C$24)*(100%-'Données projet'!$C$25)*(100%-'Données projet'!$C$26)*(100%-'Données projet'!$C$27)</f>
        <v>53.028674999999993</v>
      </c>
      <c r="L6" s="152">
        <f ca="1">G6+I6+K6</f>
        <v>494.4629281581183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Châtaignier</v>
      </c>
      <c r="B7" s="154">
        <f>'Données projet'!D10</f>
        <v>0.13124999999999998</v>
      </c>
      <c r="C7" s="147">
        <f ca="1">IF(OR('Données projet'!B10="",'Données projet'!C10="",'Données projet'!C10=0%),0,Calculateur!AN3)</f>
        <v>188.36883552879721</v>
      </c>
      <c r="D7" s="147">
        <f>IF(OR('Données projet'!B10="",'Données projet'!C10="",'Données projet'!C10=0%),0,Calculateur!AO3)</f>
        <v>152.51465338737705</v>
      </c>
      <c r="E7" s="147">
        <f t="shared" ref="E7:E15" ca="1" si="0">MIN(C7,D7)</f>
        <v>152.51465338737705</v>
      </c>
      <c r="F7" s="147">
        <f t="shared" ref="F7:F15" ca="1" si="1">E7*B7</f>
        <v>20.017548257093235</v>
      </c>
      <c r="G7" s="147">
        <f ca="1">F7*(100%-'Données projet'!$C$24)*(100%-'Données projet'!$C$25)*(100%-'Données projet'!$C$26)*(100%-'Données projet'!$C$27)</f>
        <v>18.015793431383912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6.1031249999999986</v>
      </c>
      <c r="K7" s="151">
        <f>J7*(100%-'Données projet'!$C$24)*(100%-'Données projet'!$C$25)*(100%-'Données projet'!$C$26)*(100%-'Données projet'!$C$27)</f>
        <v>5.4928124999999985</v>
      </c>
      <c r="L7" s="152">
        <f t="shared" ref="L7:L15" ca="1" si="2">G7+I7+K7</f>
        <v>23.508605931383912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505.4233893265075</v>
      </c>
      <c r="G16" s="166">
        <f t="shared" ca="1" si="3"/>
        <v>454.88105039385675</v>
      </c>
      <c r="H16" s="167">
        <f t="shared" si="3"/>
        <v>5.07666243960609</v>
      </c>
      <c r="I16" s="167">
        <f t="shared" si="3"/>
        <v>4.5689961956454814</v>
      </c>
      <c r="J16" s="168">
        <f t="shared" si="3"/>
        <v>65.02387499999999</v>
      </c>
      <c r="K16" s="168">
        <f t="shared" si="3"/>
        <v>58.521487499999992</v>
      </c>
      <c r="L16" s="169">
        <f t="shared" ca="1" si="3"/>
        <v>517.97153408950226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Douglas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Châtaignier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K1" zoomScale="85" zoomScaleNormal="85" workbookViewId="0">
      <selection activeCell="G26" sqref="G26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44140625" style="1" customWidth="1"/>
    <col min="8" max="8" width="21.664062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Douglas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-1016.0576245226562</v>
      </c>
      <c r="U10" s="178">
        <f>'Données projet'!D9</f>
        <v>1.2687499999999998</v>
      </c>
      <c r="V10" s="177">
        <f>U10*T10</f>
        <v>-1289.1231111131199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Châtaignier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-108.88567912471389</v>
      </c>
      <c r="U11" s="178">
        <f>'Données projet'!D10</f>
        <v>0.13124999999999998</v>
      </c>
      <c r="V11" s="177">
        <f t="shared" ref="V11" si="0">U11*T11</f>
        <v>-14.291245385118696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Douglas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>
        <v>30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>
        <v>1344.71</v>
      </c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29.999999999999993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>
        <v>10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299.99999999999994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0</v>
      </c>
      <c r="I20" s="191">
        <f>700+2170-1810+250+1000</f>
        <v>2310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v>700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2</v>
      </c>
      <c r="I22" s="191">
        <f>250+450</f>
        <v>700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19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>
        <v>3</v>
      </c>
      <c r="I23" s="191">
        <f>250+450</f>
        <v>700</v>
      </c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-12469.033889977158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25</v>
      </c>
      <c r="B24" s="181">
        <f>'Données projet'!D37</f>
        <v>54</v>
      </c>
      <c r="C24" s="193">
        <v>12</v>
      </c>
      <c r="D24" s="182">
        <f t="shared" ref="D24:D42" si="2">B24*C24</f>
        <v>648</v>
      </c>
      <c r="E24" s="193">
        <v>100</v>
      </c>
      <c r="F24" s="233"/>
      <c r="H24" s="190">
        <v>4</v>
      </c>
      <c r="I24" s="191">
        <f>250+150</f>
        <v>400</v>
      </c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112.14000651294124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30</v>
      </c>
      <c r="B25" s="181">
        <f>'Données projet'!D38</f>
        <v>54</v>
      </c>
      <c r="C25" s="193">
        <v>12</v>
      </c>
      <c r="D25" s="182">
        <f t="shared" si="2"/>
        <v>648</v>
      </c>
      <c r="E25" s="193">
        <v>100</v>
      </c>
      <c r="F25" s="233"/>
      <c r="H25" s="190">
        <v>5</v>
      </c>
      <c r="I25" s="191">
        <v>250</v>
      </c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299">
        <f ca="1">T23-T24</f>
        <v>-12581.1738964901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35</v>
      </c>
      <c r="B26" s="181">
        <f>'Données projet'!D39</f>
        <v>69</v>
      </c>
      <c r="C26" s="193"/>
      <c r="D26" s="182">
        <f t="shared" si="2"/>
        <v>0</v>
      </c>
      <c r="E26" s="193"/>
      <c r="F26" s="233"/>
      <c r="G26" s="229"/>
      <c r="H26" s="190">
        <v>6</v>
      </c>
      <c r="I26" s="191">
        <v>250</v>
      </c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40</v>
      </c>
      <c r="B27" s="181">
        <f>'Données projet'!D40</f>
        <v>72</v>
      </c>
      <c r="C27" s="193"/>
      <c r="D27" s="182">
        <f t="shared" si="2"/>
        <v>0</v>
      </c>
      <c r="E27" s="193"/>
      <c r="F27" s="233"/>
      <c r="G27" s="229"/>
      <c r="H27" s="190">
        <v>7</v>
      </c>
      <c r="I27" s="191">
        <f>250+150</f>
        <v>400</v>
      </c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45</v>
      </c>
      <c r="B28" s="181">
        <f>'Données projet'!D41</f>
        <v>66</v>
      </c>
      <c r="C28" s="193"/>
      <c r="D28" s="182">
        <f t="shared" si="2"/>
        <v>0</v>
      </c>
      <c r="E28" s="193"/>
      <c r="F28" s="233"/>
      <c r="G28" s="205"/>
      <c r="H28" s="190">
        <v>8</v>
      </c>
      <c r="I28" s="191">
        <v>250</v>
      </c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50</v>
      </c>
      <c r="B29" s="181">
        <f>'Données projet'!D42</f>
        <v>48</v>
      </c>
      <c r="C29" s="193"/>
      <c r="D29" s="182">
        <f t="shared" si="2"/>
        <v>0</v>
      </c>
      <c r="E29" s="193"/>
      <c r="F29" s="233"/>
      <c r="G29" s="203"/>
      <c r="H29" s="190">
        <v>9</v>
      </c>
      <c r="I29" s="191">
        <v>250</v>
      </c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55</v>
      </c>
      <c r="B30" s="181">
        <f>'Données projet'!D43</f>
        <v>35</v>
      </c>
      <c r="C30" s="193"/>
      <c r="D30" s="182">
        <f t="shared" si="2"/>
        <v>0</v>
      </c>
      <c r="E30" s="193"/>
      <c r="F30" s="233"/>
      <c r="G30" s="203"/>
      <c r="H30" s="190">
        <v>10</v>
      </c>
      <c r="I30" s="191">
        <v>250</v>
      </c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60</v>
      </c>
      <c r="B31" s="181">
        <f>'Données projet'!D44</f>
        <v>29</v>
      </c>
      <c r="C31" s="193"/>
      <c r="D31" s="182">
        <f t="shared" si="2"/>
        <v>0</v>
      </c>
      <c r="E31" s="193"/>
      <c r="F31" s="233"/>
      <c r="G31" s="203"/>
      <c r="H31" s="190">
        <v>11</v>
      </c>
      <c r="I31" s="191">
        <v>250</v>
      </c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>
        <v>12</v>
      </c>
      <c r="I32" s="191">
        <v>250</v>
      </c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>
        <v>13</v>
      </c>
      <c r="I33" s="191">
        <v>250</v>
      </c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>
        <v>14</v>
      </c>
      <c r="I34" s="191">
        <f>250+150</f>
        <v>400</v>
      </c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>
        <v>15</v>
      </c>
      <c r="I35" s="191">
        <v>250</v>
      </c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>
        <v>16</v>
      </c>
      <c r="I36" s="191">
        <v>250</v>
      </c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>
        <v>17</v>
      </c>
      <c r="I37" s="191">
        <v>250</v>
      </c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>
        <v>18</v>
      </c>
      <c r="I38" s="191">
        <v>250</v>
      </c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>
        <v>19</v>
      </c>
      <c r="I39" s="191">
        <v>250</v>
      </c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>
        <v>20</v>
      </c>
      <c r="I40" s="191">
        <f>250+150</f>
        <v>400</v>
      </c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>
        <v>21</v>
      </c>
      <c r="I41" s="191">
        <v>250</v>
      </c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>
        <v>22</v>
      </c>
      <c r="I42" s="191">
        <v>250</v>
      </c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>
        <v>23</v>
      </c>
      <c r="I43" s="191">
        <v>250</v>
      </c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>
        <v>24</v>
      </c>
      <c r="I44" s="191">
        <v>250</v>
      </c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Châtaignier</v>
      </c>
      <c r="C45" s="4"/>
      <c r="D45" s="4"/>
      <c r="E45" s="4"/>
      <c r="F45" s="230"/>
      <c r="G45" s="203"/>
      <c r="H45" s="190">
        <v>25</v>
      </c>
      <c r="I45" s="191">
        <v>250</v>
      </c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>
        <v>26</v>
      </c>
      <c r="I46" s="191">
        <v>250</v>
      </c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>
        <v>27</v>
      </c>
      <c r="I47" s="191">
        <v>250</v>
      </c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>
        <v>786.9</v>
      </c>
      <c r="F48" s="231"/>
      <c r="G48" s="203"/>
      <c r="H48" s="190">
        <v>28</v>
      </c>
      <c r="I48" s="191">
        <v>400</v>
      </c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>
        <v>29</v>
      </c>
      <c r="I49" s="191">
        <v>250</v>
      </c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>
        <v>30</v>
      </c>
      <c r="I50" s="191">
        <v>250</v>
      </c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>
        <v>31</v>
      </c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>
        <v>32</v>
      </c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>
        <v>33</v>
      </c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10</v>
      </c>
      <c r="B54" s="181">
        <f>'Données projet'!D62</f>
        <v>0</v>
      </c>
      <c r="C54" s="193"/>
      <c r="D54" s="179">
        <f>B54*C54</f>
        <v>0</v>
      </c>
      <c r="E54" s="193"/>
      <c r="F54" s="232"/>
      <c r="G54" s="205"/>
      <c r="H54" s="190">
        <v>34</v>
      </c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15</v>
      </c>
      <c r="B55" s="181">
        <f>'Données projet'!D63</f>
        <v>0</v>
      </c>
      <c r="C55" s="193"/>
      <c r="D55" s="179">
        <f t="shared" ref="D55:D73" si="4">B55*C55</f>
        <v>0</v>
      </c>
      <c r="E55" s="193"/>
      <c r="F55" s="232"/>
      <c r="G55" s="205"/>
      <c r="H55" s="190">
        <v>35</v>
      </c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18</v>
      </c>
      <c r="B56" s="181">
        <f>'Données projet'!D64</f>
        <v>94</v>
      </c>
      <c r="C56" s="193">
        <v>10</v>
      </c>
      <c r="D56" s="179">
        <f t="shared" si="4"/>
        <v>940</v>
      </c>
      <c r="E56" s="193"/>
      <c r="F56" s="232"/>
      <c r="G56" s="205"/>
      <c r="H56" s="190">
        <v>36</v>
      </c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22</v>
      </c>
      <c r="B57" s="181">
        <f>'Données projet'!D65</f>
        <v>54</v>
      </c>
      <c r="C57" s="191">
        <v>10</v>
      </c>
      <c r="D57" s="179">
        <f t="shared" si="4"/>
        <v>540</v>
      </c>
      <c r="E57" s="193">
        <v>100</v>
      </c>
      <c r="F57" s="232"/>
      <c r="G57" s="205"/>
      <c r="H57" s="190">
        <v>37</v>
      </c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27</v>
      </c>
      <c r="B58" s="181">
        <f>'Données projet'!D66</f>
        <v>38</v>
      </c>
      <c r="C58" s="191">
        <v>10</v>
      </c>
      <c r="D58" s="179">
        <f t="shared" si="4"/>
        <v>380</v>
      </c>
      <c r="E58" s="193">
        <v>100</v>
      </c>
      <c r="F58" s="232"/>
      <c r="G58" s="205"/>
      <c r="H58" s="190">
        <v>38</v>
      </c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35</v>
      </c>
      <c r="B59" s="181">
        <f>'Données projet'!D67</f>
        <v>0</v>
      </c>
      <c r="C59" s="191"/>
      <c r="D59" s="179">
        <f t="shared" si="4"/>
        <v>0</v>
      </c>
      <c r="E59" s="193"/>
      <c r="F59" s="232"/>
      <c r="G59" s="205"/>
      <c r="H59" s="190">
        <v>39</v>
      </c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40</v>
      </c>
      <c r="B60" s="181">
        <f>'Données projet'!D68</f>
        <v>0</v>
      </c>
      <c r="C60" s="191"/>
      <c r="D60" s="179">
        <f t="shared" si="4"/>
        <v>0</v>
      </c>
      <c r="E60" s="193"/>
      <c r="F60" s="232"/>
      <c r="G60" s="206"/>
      <c r="H60" s="190">
        <v>40</v>
      </c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45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>
        <v>41</v>
      </c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50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>
        <v>42</v>
      </c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>
        <v>43</v>
      </c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>
        <v>44</v>
      </c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>
        <v>45</v>
      </c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>
        <v>46</v>
      </c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>
        <v>47</v>
      </c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>
        <v>48</v>
      </c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>
        <v>49</v>
      </c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>
        <v>50</v>
      </c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str">
        <f>IF(O83+1&lt;=MIN('Données projet'!$E$9:$E$18),O83+1,"STOP")</f>
        <v>STOP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0</v>
      </c>
      <c r="B85" s="181">
        <f>'Données projet'!D88</f>
        <v>0</v>
      </c>
      <c r="C85" s="193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0</v>
      </c>
      <c r="B86" s="181">
        <f>'Données projet'!D89</f>
        <v>0</v>
      </c>
      <c r="C86" s="193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0</v>
      </c>
      <c r="B87" s="181">
        <f>'Données projet'!D90</f>
        <v>0</v>
      </c>
      <c r="C87" s="193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0</v>
      </c>
      <c r="B88" s="181">
        <f>'Données projet'!D91</f>
        <v>0</v>
      </c>
      <c r="C88" s="193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0</v>
      </c>
      <c r="B89" s="181">
        <f>'Données projet'!D92</f>
        <v>0</v>
      </c>
      <c r="C89" s="193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0</v>
      </c>
      <c r="B116" s="181">
        <f>'Données projet'!D114</f>
        <v>0</v>
      </c>
      <c r="C116" s="193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0</v>
      </c>
      <c r="B117" s="181">
        <f>'Données projet'!D115</f>
        <v>0</v>
      </c>
      <c r="C117" s="193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0</v>
      </c>
      <c r="B118" s="181">
        <f>'Données projet'!D116</f>
        <v>0</v>
      </c>
      <c r="C118" s="193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0</v>
      </c>
      <c r="B119" s="181">
        <f>'Données projet'!D117</f>
        <v>0</v>
      </c>
      <c r="C119" s="193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0</v>
      </c>
      <c r="B120" s="181">
        <f>'Données projet'!D118</f>
        <v>0</v>
      </c>
      <c r="C120" s="193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5">
        <f>'Données projet'!D140</f>
        <v>0</v>
      </c>
      <c r="C147" s="193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5">
        <f>'Données projet'!D141</f>
        <v>0</v>
      </c>
      <c r="C148" s="193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5">
        <f>'Données projet'!D142</f>
        <v>0</v>
      </c>
      <c r="C149" s="193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Carbonapp</cp:lastModifiedBy>
  <dcterms:created xsi:type="dcterms:W3CDTF">2021-02-01T08:22:39Z</dcterms:created>
  <dcterms:modified xsi:type="dcterms:W3CDTF">2022-09-12T09:14:19Z</dcterms:modified>
</cp:coreProperties>
</file>