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de Quercy\Projet Masclat_112021\"/>
    </mc:Choice>
  </mc:AlternateContent>
  <bookViews>
    <workbookView xWindow="0" yWindow="0" windowWidth="28800" windowHeight="12708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6" l="1"/>
  <c r="E79" i="6"/>
  <c r="E48" i="6"/>
  <c r="E17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AH151" i="2" a="1"/>
  <c r="AH151" i="2" s="1"/>
  <c r="AH62" i="2" a="1"/>
  <c r="AH62" i="2" s="1"/>
  <c r="AH199" i="2" a="1"/>
  <c r="AH199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I47" i="2" l="1"/>
  <c r="BI200" i="2"/>
  <c r="BI189" i="2"/>
  <c r="BI201" i="2"/>
  <c r="BI105" i="2"/>
  <c r="BI160" i="2"/>
  <c r="BI72" i="2"/>
  <c r="BI188" i="2"/>
  <c r="BI147" i="2"/>
  <c r="BI199" i="2"/>
  <c r="BI19" i="2"/>
  <c r="BI145" i="2"/>
  <c r="BI23" i="2"/>
  <c r="BI18" i="2"/>
  <c r="BI48" i="2"/>
  <c r="BI158" i="2"/>
  <c r="BI146" i="2"/>
  <c r="BI116" i="2"/>
  <c r="BI182" i="2"/>
  <c r="BI60" i="2"/>
  <c r="BI178" i="2"/>
  <c r="BI90" i="2"/>
  <c r="BI26" i="2"/>
  <c r="BI114" i="2"/>
  <c r="BI16" i="2"/>
  <c r="BI183" i="2"/>
  <c r="BI170" i="2"/>
  <c r="BI27" i="2"/>
  <c r="BI129" i="2"/>
  <c r="BI59" i="2"/>
  <c r="BI140" i="2"/>
  <c r="BI67" i="2"/>
  <c r="BI34" i="2"/>
  <c r="BI167" i="2"/>
  <c r="BI66" i="2"/>
  <c r="BI108" i="2"/>
  <c r="BI139" i="2"/>
  <c r="BI117" i="2"/>
  <c r="BI29" i="2"/>
  <c r="BI73" i="2"/>
  <c r="BI191" i="2"/>
  <c r="BI33" i="2"/>
  <c r="BI107" i="2"/>
  <c r="BI121" i="2"/>
  <c r="BI163" i="2"/>
  <c r="BI49" i="2"/>
  <c r="BI196" i="2"/>
  <c r="BI155" i="2"/>
  <c r="BI97" i="2"/>
  <c r="BI166" i="2"/>
  <c r="BI179" i="2"/>
  <c r="BI197" i="2"/>
  <c r="BI39" i="2"/>
  <c r="BI162" i="2"/>
  <c r="BI118" i="2"/>
  <c r="BI120" i="2"/>
  <c r="BI61" i="2"/>
  <c r="BI184" i="2"/>
  <c r="BI36" i="2"/>
  <c r="BI15" i="2"/>
  <c r="BI70" i="2"/>
  <c r="BI41" i="2"/>
  <c r="BI95" i="2"/>
  <c r="BI173" i="2"/>
  <c r="BI165" i="2"/>
  <c r="BI17" i="2"/>
  <c r="BI86" i="2"/>
  <c r="BI168" i="2"/>
  <c r="BI58" i="2"/>
  <c r="BI115" i="2"/>
  <c r="BI135" i="2"/>
  <c r="BI75" i="2"/>
  <c r="BI194" i="2"/>
  <c r="BI25" i="2"/>
  <c r="BI74" i="2"/>
  <c r="BI42" i="2"/>
  <c r="BI190" i="2"/>
  <c r="BI142" i="2"/>
  <c r="BI64" i="2"/>
  <c r="BI141" i="2"/>
  <c r="BI20" i="2"/>
  <c r="BI181" i="2"/>
  <c r="BI136" i="2"/>
  <c r="BI171" i="2"/>
  <c r="BI44" i="2"/>
  <c r="BI32" i="2"/>
  <c r="BI80" i="2"/>
  <c r="BI9" i="2"/>
  <c r="BI82" i="2"/>
  <c r="BI57" i="2"/>
  <c r="BI193" i="2"/>
  <c r="BI133" i="2"/>
  <c r="BI143" i="2"/>
  <c r="BI93" i="2"/>
  <c r="BI99" i="2"/>
  <c r="BI10" i="2"/>
  <c r="BI79" i="2"/>
  <c r="BI46" i="2"/>
  <c r="BI202" i="2"/>
  <c r="BI164" i="2"/>
  <c r="BI138" i="2"/>
  <c r="BI12" i="2"/>
  <c r="BI144" i="2"/>
  <c r="BI161" i="2"/>
  <c r="BI51" i="2"/>
  <c r="BI175" i="2"/>
  <c r="BI96" i="2"/>
  <c r="BI192" i="2"/>
  <c r="BI110" i="2"/>
  <c r="BI55" i="2"/>
  <c r="BI78" i="2"/>
  <c r="BI85" i="2"/>
  <c r="BI22" i="2"/>
  <c r="BI149" i="2"/>
  <c r="BI71" i="2"/>
  <c r="BI104" i="2"/>
  <c r="BI132" i="2"/>
  <c r="BI3" i="2"/>
  <c r="C8" i="4" s="1"/>
  <c r="E8" i="4" s="1"/>
  <c r="F8" i="4" s="1"/>
  <c r="G8" i="4" s="1"/>
  <c r="L8" i="4" s="1"/>
  <c r="BI56" i="2"/>
  <c r="BI54" i="2"/>
  <c r="BI43" i="2"/>
  <c r="BI128" i="2"/>
  <c r="BI11" i="2"/>
  <c r="BI185" i="2"/>
  <c r="BI131" i="2"/>
  <c r="BI53" i="2"/>
  <c r="BI28" i="2"/>
  <c r="BI172" i="2"/>
  <c r="BI174" i="2"/>
  <c r="BI154" i="2"/>
  <c r="BI62" i="2"/>
  <c r="BI106" i="2"/>
  <c r="BI203" i="2"/>
  <c r="BI88" i="2"/>
  <c r="BI112" i="2"/>
  <c r="BI130" i="2"/>
  <c r="BI89" i="2"/>
  <c r="BI13" i="2"/>
  <c r="BI102" i="2"/>
  <c r="BI76" i="2"/>
  <c r="BI151" i="2"/>
  <c r="BI77" i="2"/>
  <c r="BI6" i="2"/>
  <c r="BI126" i="2"/>
  <c r="BI124" i="2"/>
  <c r="BI40" i="2"/>
  <c r="BI180" i="2"/>
  <c r="BI84" i="2"/>
  <c r="BI21" i="2"/>
  <c r="BI98" i="2"/>
  <c r="BI37" i="2"/>
  <c r="BI7" i="2"/>
  <c r="BI159" i="2"/>
  <c r="BI157" i="2"/>
  <c r="BI186" i="2"/>
  <c r="BI69" i="2"/>
  <c r="BI148" i="2"/>
  <c r="BI50" i="2"/>
  <c r="BI87" i="2"/>
  <c r="BI100" i="2"/>
  <c r="BI187" i="2"/>
  <c r="BI152" i="2"/>
  <c r="BI109" i="2"/>
  <c r="BI177" i="2"/>
  <c r="BI113" i="2"/>
  <c r="BI127" i="2"/>
  <c r="BI83" i="2"/>
  <c r="BI134" i="2"/>
  <c r="BI103" i="2"/>
  <c r="BI31" i="2"/>
  <c r="BI35" i="2"/>
  <c r="BI137" i="2"/>
  <c r="BI38" i="2"/>
  <c r="BI5" i="2"/>
  <c r="BI63" i="2"/>
  <c r="BI30" i="2"/>
  <c r="BI125" i="2"/>
  <c r="BI8" i="2"/>
  <c r="BI4" i="2"/>
  <c r="BI198" i="2"/>
  <c r="BI14" i="2"/>
  <c r="BI150" i="2"/>
  <c r="BI68" i="2"/>
  <c r="BI81" i="2"/>
  <c r="BI153" i="2"/>
  <c r="BI91" i="2"/>
  <c r="BI101" i="2"/>
  <c r="BI119" i="2"/>
  <c r="BI111" i="2"/>
  <c r="BI156" i="2"/>
  <c r="BI45" i="2"/>
  <c r="BI195" i="2"/>
  <c r="BI24" i="2"/>
  <c r="BI92" i="2"/>
  <c r="BI65" i="2"/>
  <c r="BI176" i="2"/>
  <c r="BI94" i="2"/>
  <c r="BI122" i="2"/>
  <c r="BI52" i="2"/>
  <c r="BI169" i="2"/>
  <c r="BI123" i="2"/>
  <c r="BF126" i="2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<sst xmlns="http://schemas.openxmlformats.org/spreadsheetml/2006/main" count="1176" uniqueCount="328">
  <si>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</si>
  <si>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</si>
  <si>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</si>
  <si>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</si>
  <si>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</si>
  <si>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</si>
  <si>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</si>
  <si>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</si>
  <si>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</si>
  <si>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</si>
  <si>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</si>
  <si>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</si>
  <si>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</si>
  <si>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</si>
  <si>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</si>
  <si>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</si>
  <si>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</si>
  <si>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</si>
  <si>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</si>
  <si>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</si>
  <si>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</si>
  <si>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</si>
  <si>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</si>
  <si>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</si>
  <si>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</si>
  <si>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</si>
  <si>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</si>
  <si>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</si>
  <si>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</si>
  <si>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</si>
  <si>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</si>
  <si>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</si>
  <si>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</si>
  <si>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</si>
  <si>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</si>
  <si>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</si>
  <si>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</si>
  <si>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</si>
  <si>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</si>
  <si>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</si>
  <si>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</si>
  <si>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</si>
  <si>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</si>
  <si>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</si>
  <si>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</si>
  <si>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</si>
  <si>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</si>
  <si>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</si>
  <si>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</si>
  <si>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</si>
  <si>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</si>
  <si>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</si>
  <si>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</si>
  <si>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</si>
  <si>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</si>
  <si>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</si>
  <si>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</si>
  <si>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</si>
  <si>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</si>
  <si>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</si>
  <si>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</si>
  <si>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</si>
  <si>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</si>
  <si>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</si>
  <si>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</si>
  <si>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</si>
  <si>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</si>
  <si>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</si>
  <si>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</si>
  <si>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</si>
  <si>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</si>
  <si>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</si>
  <si>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</si>
  <si>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</si>
  <si>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</si>
  <si>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</si>
  <si>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</si>
  <si>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</si>
  <si>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</si>
  <si>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</si>
  <si>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</si>
  <si>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</si>
  <si>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</si>
  <si>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</si>
  <si>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</si>
  <si>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</si>
  <si>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</si>
  <si>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</si>
  <si>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</si>
  <si>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</si>
  <si>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</si>
  <si>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</si>
  <si>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</si>
  <si>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</si>
  <si>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</si>
  <si>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</si>
  <si>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</si>
  <si>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</si>
  <si>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</si>
  <si>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</si>
  <si>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</si>
  <si>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</si>
  <si>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</si>
  <si>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</si>
  <si>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</si>
  <si>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</si>
  <si>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</si>
  <si>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</si>
  <si>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</si>
  <si>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</si>
  <si>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</si>
  <si>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</si>
  <si>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</si>
  <si>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</si>
  <si>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</si>
  <si>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</si>
  <si>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</si>
  <si>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</si>
  <si>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</si>
  <si>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</si>
  <si>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</si>
  <si>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</si>
  <si>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</si>
  <si>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</si>
  <si>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</si>
  <si>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</si>
  <si>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</si>
  <si>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</si>
  <si>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</si>
  <si>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</si>
  <si>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</si>
  <si>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</si>
  <si>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</si>
  <si>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</si>
  <si>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</si>
  <si>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</si>
  <si>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</si>
  <si>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</si>
  <si>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</si>
  <si>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</si>
  <si>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</si>
  <si>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</si>
  <si>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</si>
  <si>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</si>
  <si>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</si>
  <si>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</si>
  <si>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</si>
  <si>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</si>
  <si>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</si>
  <si>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</si>
  <si>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</si>
  <si>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</si>
  <si>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</si>
  <si>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</si>
  <si>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</si>
  <si>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</si>
  <si>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</si>
  <si>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</si>
  <si>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</si>
  <si>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</si>
  <si>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</si>
  <si>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</si>
  <si>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</si>
  <si>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</si>
  <si>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</si>
  <si>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</si>
  <si>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</si>
  <si>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</si>
  <si>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</si>
  <si>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</si>
  <si>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</si>
  <si>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</si>
  <si>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</si>
  <si>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</si>
  <si>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</si>
  <si>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</si>
  <si>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</si>
  <si>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</si>
  <si>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</si>
  <si>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</si>
  <si>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</si>
  <si>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</si>
  <si>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</si>
  <si>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</si>
  <si>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</si>
  <si>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</si>
  <si>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</si>
  <si>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</si>
  <si>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</si>
  <si>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</si>
  <si>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</si>
  <si>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</si>
  <si>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</si>
  <si>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</si>
  <si>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</si>
  <si>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</si>
  <si>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</si>
  <si>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</si>
  <si>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</si>
  <si>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</si>
  <si>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</si>
  <si>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</si>
  <si>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</si>
  <si>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</si>
  <si>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</si>
  <si>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</si>
  <si>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</si>
  <si>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</si>
  <si>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</si>
  <si>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</si>
  <si>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</si>
  <si>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</si>
  <si>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</si>
  <si>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</si>
  <si>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</si>
  <si>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</si>
  <si>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</si>
  <si>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</si>
  <si>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</si>
  <si>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</si>
  <si>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</si>
  <si>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</si>
  <si>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</si>
  <si>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</si>
  <si>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</si>
  <si>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</si>
  <si>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</si>
  <si>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</si>
  <si>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</si>
  <si>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</si>
  <si>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</si>
  <si>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</si>
  <si>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</si>
  <si>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</si>
  <si>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</si>
  <si>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</si>
  <si>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</si>
  <si>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</si>
  <si>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</si>
  <si>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</si>
  <si>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</si>
  <si>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</si>
  <si>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</si>
  <si>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</si>
  <si>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</si>
  <si>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</si>
  <si>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</si>
  <si>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</si>
  <si>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</si>
  <si>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</si>
  <si>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</si>
  <si>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</si>
  <si>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</si>
  <si>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</si>
  <si>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</si>
  <si>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</si>
  <si>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</si>
  <si>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</si>
  <si>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</si>
  <si>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</si>
  <si>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</si>
  <si>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</si>
  <si>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</si>
  <si>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</si>
  <si>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</si>
  <si>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</si>
  <si>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</si>
  <si>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</si>
  <si>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</si>
  <si>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</si>
  <si>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</si>
  <si>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</si>
  <si>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</si>
  <si>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</si>
  <si>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</si>
  <si>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</si>
  <si>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</si>
  <si>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</si>
  <si>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</si>
  <si>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</si>
  <si>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</si>
  <si>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</si>
  <si>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</si>
  <si>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</si>
  <si>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</si>
  <si>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</si>
  <si>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</si>
  <si>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</si>
  <si>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</si>
  <si>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</si>
  <si>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</si>
  <si>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</si>
  <si>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</si>
  <si>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</si>
  <si>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</si>
  <si>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</si>
  <si>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</si>
  <si>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</si>
  <si>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</si>
  <si>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</si>
  <si>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</si>
  <si>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</si>
  <si>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</si>
  <si>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</si>
  <si>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</si>
  <si>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</si>
  <si>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</si>
  <si>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</si>
  <si>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</si>
  <si>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</si>
  <si>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</si>
  <si>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</si>
  <si>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</si>
  <si>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</si>
  <si>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</si>
  <si>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</si>
  <si>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</si>
  <si>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</si>
  <si>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</si>
  <si>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</si>
  <si>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</si>
  <si>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</si>
  <si>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</si>
  <si>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</si>
  <si>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Les parcelles étaient sous location avec un loyer de 100€/ha de 2017 à 2020 et de 0€/ha sur 2021, cela fait une moyenne de 80€/ha pendant les 5 dernières années.</t>
  </si>
  <si>
    <t>Surface occupée par le cèdre de 1,1 ha</t>
  </si>
  <si>
    <t>Surface occupée par le chêne sessile est de 1.3 ha</t>
  </si>
  <si>
    <t>Surface occupée par le charme de 0.7 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</si>
</sst>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96.776796677671271</c:v>
                </c:pt>
                <c:pt idx="22">
                  <c:v>103.46250949744717</c:v>
                </c:pt>
                <c:pt idx="23">
                  <c:v>110.13754274945018</c:v>
                </c:pt>
                <c:pt idx="24">
                  <c:v>116.8026363404107</c:v>
                </c:pt>
                <c:pt idx="25">
                  <c:v>123.45843862619603</c:v>
                </c:pt>
                <c:pt idx="26">
                  <c:v>130.10552217830414</c:v>
                </c:pt>
                <c:pt idx="27">
                  <c:v>136.74439615020125</c:v>
                </c:pt>
                <c:pt idx="28">
                  <c:v>143.37551610986998</c:v>
                </c:pt>
                <c:pt idx="29">
                  <c:v>149.99929195346508</c:v>
                </c:pt>
                <c:pt idx="30">
                  <c:v>156.61609434461207</c:v>
                </c:pt>
                <c:pt idx="31">
                  <c:v>122.94677025652992</c:v>
                </c:pt>
                <c:pt idx="32">
                  <c:v>130.10552217830414</c:v>
                </c:pt>
                <c:pt idx="33">
                  <c:v>137.25475210550681</c:v>
                </c:pt>
                <c:pt idx="34">
                  <c:v>144.39502686294233</c:v>
                </c:pt>
                <c:pt idx="35">
                  <c:v>151.52685252328283</c:v>
                </c:pt>
                <c:pt idx="36">
                  <c:v>158.65068353627368</c:v>
                </c:pt>
                <c:pt idx="37">
                  <c:v>165.76693012867713</c:v>
                </c:pt>
                <c:pt idx="38">
                  <c:v>172.87596436429328</c:v>
                </c:pt>
                <c:pt idx="39">
                  <c:v>179.97812515299574</c:v>
                </c:pt>
                <c:pt idx="40">
                  <c:v>187.07372242622981</c:v>
                </c:pt>
                <c:pt idx="41">
                  <c:v>143.37551610986998</c:v>
                </c:pt>
                <c:pt idx="42">
                  <c:v>150.5085198437738</c:v>
                </c:pt>
                <c:pt idx="43">
                  <c:v>157.63346687299864</c:v>
                </c:pt>
                <c:pt idx="44">
                  <c:v>164.75077334312192</c:v>
                </c:pt>
                <c:pt idx="45">
                  <c:v>171.86081644124263</c:v>
                </c:pt>
                <c:pt idx="46">
                  <c:v>178.96393954042523</c:v>
                </c:pt>
                <c:pt idx="47">
                  <c:v>186.06045648309296</c:v>
                </c:pt>
                <c:pt idx="48">
                  <c:v>193.15065517554152</c:v>
                </c:pt>
                <c:pt idx="49">
                  <c:v>200.23480062612774</c:v>
                </c:pt>
                <c:pt idx="50">
                  <c:v>207.31313753029789</c:v>
                </c:pt>
                <c:pt idx="51">
                  <c:v>154.58087703393579</c:v>
                </c:pt>
                <c:pt idx="52">
                  <c:v>162.7180141901425</c:v>
                </c:pt>
                <c:pt idx="53">
                  <c:v>170.84552734277023</c:v>
                </c:pt>
                <c:pt idx="54">
                  <c:v>178.96393954042523</c:v>
                </c:pt>
                <c:pt idx="55">
                  <c:v>187.07372242622981</c:v>
                </c:pt>
                <c:pt idx="56">
                  <c:v>195.17530334919044</c:v>
                </c:pt>
                <c:pt idx="57">
                  <c:v>203.26907123098991</c:v>
                </c:pt>
                <c:pt idx="58">
                  <c:v>211.35538144796092</c:v>
                </c:pt>
                <c:pt idx="59">
                  <c:v>219.43455992571219</c:v>
                </c:pt>
                <c:pt idx="60">
                  <c:v>227.50690659831915</c:v>
                </c:pt>
                <c:pt idx="61">
                  <c:v>164.24263944991469</c:v>
                </c:pt>
                <c:pt idx="62">
                  <c:v>171.86081644124263</c:v>
                </c:pt>
                <c:pt idx="63">
                  <c:v>179.47104913917383</c:v>
                </c:pt>
                <c:pt idx="64">
                  <c:v>187.07372242622981</c:v>
                </c:pt>
                <c:pt idx="65">
                  <c:v>194.66918729679796</c:v>
                </c:pt>
                <c:pt idx="66">
                  <c:v>202.25776507632233</c:v>
                </c:pt>
                <c:pt idx="67">
                  <c:v>209.839750973131</c:v>
                </c:pt>
                <c:pt idx="68">
                  <c:v>217.41541708927389</c:v>
                </c:pt>
                <c:pt idx="69">
                  <c:v>224.98501498915439</c:v>
                </c:pt>
                <c:pt idx="70">
                  <c:v>232.54877790391367</c:v>
                </c:pt>
                <c:pt idx="71">
                  <c:v>159.36264307427203</c:v>
                </c:pt>
                <c:pt idx="72">
                  <c:v>167.18930267047901</c:v>
                </c:pt>
                <c:pt idx="73">
                  <c:v>175.00731968418424</c:v>
                </c:pt>
                <c:pt idx="74">
                  <c:v>182.81713521797565</c:v>
                </c:pt>
                <c:pt idx="75">
                  <c:v>190.61914954910148</c:v>
                </c:pt>
                <c:pt idx="76">
                  <c:v>198.41372746166948</c:v>
                </c:pt>
                <c:pt idx="77">
                  <c:v>206.20120269571109</c:v>
                </c:pt>
                <c:pt idx="78">
                  <c:v>213.98188168792061</c:v>
                </c:pt>
                <c:pt idx="79">
                  <c:v>221.75604673904499</c:v>
                </c:pt>
                <c:pt idx="80">
                  <c:v>229.52395871325146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75739792"/>
        <c:axId val="-1275735440"/>
      </c:scatterChart>
      <c:valAx>
        <c:axId val="-12757397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75735440"/>
        <c:crosses val="autoZero"/>
        <c:crossBetween val="midCat"/>
      </c:valAx>
      <c:valAx>
        <c:axId val="-127573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757397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75732720"/>
        <c:axId val="-1275740336"/>
      </c:scatterChart>
      <c:valAx>
        <c:axId val="-1275732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75740336"/>
        <c:crosses val="autoZero"/>
        <c:crossBetween val="midCat"/>
      </c:valAx>
      <c:valAx>
        <c:axId val="-1275740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75732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528.48970219589683</c:v>
                </c:pt>
                <c:pt idx="112">
                  <c:v>535.76277959494894</c:v>
                </c:pt>
                <c:pt idx="113">
                  <c:v>543.03378149300659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75730000"/>
        <c:axId val="-1275734352"/>
      </c:scatterChart>
      <c:valAx>
        <c:axId val="-12757300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75734352"/>
        <c:crosses val="autoZero"/>
        <c:crossBetween val="midCat"/>
      </c:valAx>
      <c:valAx>
        <c:axId val="-127573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7573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2.9040762087142453</c:v>
                </c:pt>
                <c:pt idx="2">
                  <c:v>3.4773202748427425</c:v>
                </c:pt>
                <c:pt idx="3">
                  <c:v>4.1641381375843167</c:v>
                </c:pt>
                <c:pt idx="4">
                  <c:v>4.9871099734380619</c:v>
                </c:pt>
                <c:pt idx="5">
                  <c:v>5.9733198374868941</c:v>
                </c:pt>
                <c:pt idx="6">
                  <c:v>7.1552567237350262</c:v>
                </c:pt>
                <c:pt idx="7">
                  <c:v>8.5718963956172569</c:v>
                </c:pt>
                <c:pt idx="8">
                  <c:v>10.27000034510241</c:v>
                </c:pt>
                <c:pt idx="9">
                  <c:v>12.305675568602934</c:v>
                </c:pt>
                <c:pt idx="10">
                  <c:v>14.746247658482027</c:v>
                </c:pt>
                <c:pt idx="11">
                  <c:v>17.672510300043498</c:v>
                </c:pt>
                <c:pt idx="12">
                  <c:v>21.181426995993817</c:v>
                </c:pt>
                <c:pt idx="13">
                  <c:v>25.389376147088512</c:v>
                </c:pt>
                <c:pt idx="14">
                  <c:v>30.436049020586243</c:v>
                </c:pt>
                <c:pt idx="15">
                  <c:v>36.489132264635835</c:v>
                </c:pt>
                <c:pt idx="16">
                  <c:v>43.749933231556859</c:v>
                </c:pt>
                <c:pt idx="17">
                  <c:v>52.46013836410372</c:v>
                </c:pt>
                <c:pt idx="18">
                  <c:v>62.909933368561269</c:v>
                </c:pt>
                <c:pt idx="19">
                  <c:v>75.447760161097548</c:v>
                </c:pt>
                <c:pt idx="20">
                  <c:v>90.49204121037269</c:v>
                </c:pt>
                <c:pt idx="21">
                  <c:v>102.21534438484889</c:v>
                </c:pt>
                <c:pt idx="22">
                  <c:v>113.90535303981146</c:v>
                </c:pt>
                <c:pt idx="23">
                  <c:v>125.56597116596221</c:v>
                </c:pt>
                <c:pt idx="24">
                  <c:v>137.20031631600065</c:v>
                </c:pt>
                <c:pt idx="25">
                  <c:v>148.81093286135922</c:v>
                </c:pt>
                <c:pt idx="26">
                  <c:v>146.73924981884886</c:v>
                </c:pt>
                <c:pt idx="27">
                  <c:v>161.22694253209136</c:v>
                </c:pt>
                <c:pt idx="28">
                  <c:v>175.68381249632054</c:v>
                </c:pt>
                <c:pt idx="29">
                  <c:v>190.1127547666068</c:v>
                </c:pt>
                <c:pt idx="30">
                  <c:v>204.51618846220967</c:v>
                </c:pt>
                <c:pt idx="31">
                  <c:v>177.74673882318049</c:v>
                </c:pt>
                <c:pt idx="32">
                  <c:v>194.23052863625435</c:v>
                </c:pt>
                <c:pt idx="33">
                  <c:v>210.68179897079304</c:v>
                </c:pt>
                <c:pt idx="34">
                  <c:v>227.10344715858119</c:v>
                </c:pt>
                <c:pt idx="35">
                  <c:v>243.49791694752579</c:v>
                </c:pt>
                <c:pt idx="36">
                  <c:v>217.66446793584763</c:v>
                </c:pt>
                <c:pt idx="37">
                  <c:v>234.89407374203219</c:v>
                </c:pt>
                <c:pt idx="38">
                  <c:v>252.09484919970498</c:v>
                </c:pt>
                <c:pt idx="39">
                  <c:v>269.26903825113033</c:v>
                </c:pt>
                <c:pt idx="40">
                  <c:v>286.4185751166749</c:v>
                </c:pt>
                <c:pt idx="41">
                  <c:v>260.68513965168</c:v>
                </c:pt>
                <c:pt idx="42">
                  <c:v>277.84677769273577</c:v>
                </c:pt>
                <c:pt idx="43">
                  <c:v>294.98463359298847</c:v>
                </c:pt>
                <c:pt idx="44">
                  <c:v>312.10028329420305</c:v>
                </c:pt>
                <c:pt idx="45">
                  <c:v>329.19511576502646</c:v>
                </c:pt>
                <c:pt idx="46">
                  <c:v>303.13762323931286</c:v>
                </c:pt>
                <c:pt idx="47">
                  <c:v>319.83616118961032</c:v>
                </c:pt>
                <c:pt idx="48">
                  <c:v>336.51541035034978</c:v>
                </c:pt>
                <c:pt idx="49">
                  <c:v>353.17646115055004</c:v>
                </c:pt>
                <c:pt idx="50">
                  <c:v>369.82029275047876</c:v>
                </c:pt>
                <c:pt idx="51">
                  <c:v>343.42580104652302</c:v>
                </c:pt>
                <c:pt idx="52">
                  <c:v>359.67361293503609</c:v>
                </c:pt>
                <c:pt idx="53">
                  <c:v>375.9053740333265</c:v>
                </c:pt>
                <c:pt idx="54">
                  <c:v>392.12187483767121</c:v>
                </c:pt>
                <c:pt idx="55">
                  <c:v>408.32383513861078</c:v>
                </c:pt>
                <c:pt idx="56">
                  <c:v>381.17737444442338</c:v>
                </c:pt>
                <c:pt idx="57">
                  <c:v>396.57883448700221</c:v>
                </c:pt>
                <c:pt idx="58">
                  <c:v>411.96734072289183</c:v>
                </c:pt>
                <c:pt idx="59">
                  <c:v>427.34344505663171</c:v>
                </c:pt>
                <c:pt idx="60">
                  <c:v>442.70765644555928</c:v>
                </c:pt>
                <c:pt idx="61">
                  <c:v>414.80069721135334</c:v>
                </c:pt>
                <c:pt idx="62">
                  <c:v>429.36572078685384</c:v>
                </c:pt>
                <c:pt idx="63">
                  <c:v>443.9201281174773</c:v>
                </c:pt>
                <c:pt idx="64">
                  <c:v>458.46431622225504</c:v>
                </c:pt>
                <c:pt idx="65">
                  <c:v>472.99865488119258</c:v>
                </c:pt>
                <c:pt idx="66">
                  <c:v>444.32426956358057</c:v>
                </c:pt>
                <c:pt idx="67">
                  <c:v>458.06044564731332</c:v>
                </c:pt>
                <c:pt idx="68">
                  <c:v>471.78782761031488</c:v>
                </c:pt>
                <c:pt idx="69">
                  <c:v>485.50670733159899</c:v>
                </c:pt>
                <c:pt idx="70">
                  <c:v>499.2173588530552</c:v>
                </c:pt>
                <c:pt idx="71">
                  <c:v>469.36597432654622</c:v>
                </c:pt>
                <c:pt idx="72">
                  <c:v>481.87605086617651</c:v>
                </c:pt>
                <c:pt idx="73">
                  <c:v>494.37922843874412</c:v>
                </c:pt>
                <c:pt idx="74">
                  <c:v>506.87570609003552</c:v>
                </c:pt>
                <c:pt idx="75">
                  <c:v>519.36567225225349</c:v>
                </c:pt>
                <c:pt idx="76">
                  <c:v>489.13678734186618</c:v>
                </c:pt>
                <c:pt idx="77">
                  <c:v>501.23295290548805</c:v>
                </c:pt>
                <c:pt idx="78">
                  <c:v>513.32294183422573</c:v>
                </c:pt>
                <c:pt idx="79">
                  <c:v>525.40692008667054</c:v>
                </c:pt>
                <c:pt idx="80">
                  <c:v>537.48504536607982</c:v>
                </c:pt>
                <c:pt idx="81">
                  <c:v>506.87570609003546</c:v>
                </c:pt>
                <c:pt idx="82">
                  <c:v>518.56006095402688</c:v>
                </c:pt>
                <c:pt idx="83">
                  <c:v>530.23886398734817</c:v>
                </c:pt>
                <c:pt idx="84">
                  <c:v>541.91225469196922</c:v>
                </c:pt>
                <c:pt idx="85">
                  <c:v>553.58036607052361</c:v>
                </c:pt>
                <c:pt idx="86">
                  <c:v>522.18510454563477</c:v>
                </c:pt>
                <c:pt idx="87">
                  <c:v>533.05706938142669</c:v>
                </c:pt>
                <c:pt idx="88">
                  <c:v>543.92437106523562</c:v>
                </c:pt>
                <c:pt idx="89">
                  <c:v>554.78711589011334</c:v>
                </c:pt>
                <c:pt idx="90">
                  <c:v>565.64540564760955</c:v>
                </c:pt>
                <c:pt idx="91">
                  <c:v>533.45964452335909</c:v>
                </c:pt>
                <c:pt idx="92">
                  <c:v>543.52196031239725</c:v>
                </c:pt>
                <c:pt idx="93">
                  <c:v>553.58036607052338</c:v>
                </c:pt>
                <c:pt idx="94">
                  <c:v>563.63494285621744</c:v>
                </c:pt>
                <c:pt idx="95">
                  <c:v>573.68576860024802</c:v>
                </c:pt>
                <c:pt idx="96">
                  <c:v>541.10736424197137</c:v>
                </c:pt>
                <c:pt idx="97">
                  <c:v>550.76440184545663</c:v>
                </c:pt>
                <c:pt idx="98">
                  <c:v>560.41789006787951</c:v>
                </c:pt>
                <c:pt idx="99">
                  <c:v>570.06789866925885</c:v>
                </c:pt>
                <c:pt idx="100">
                  <c:v>579.71449485526716</c:v>
                </c:pt>
                <c:pt idx="101">
                  <c:v>546.74107162107293</c:v>
                </c:pt>
                <c:pt idx="102">
                  <c:v>555.99381071316304</c:v>
                </c:pt>
                <c:pt idx="103">
                  <c:v>565.24332506261192</c:v>
                </c:pt>
                <c:pt idx="104">
                  <c:v>574.48967488014102</c:v>
                </c:pt>
                <c:pt idx="105">
                  <c:v>583.73291828020922</c:v>
                </c:pt>
                <c:pt idx="106">
                  <c:v>551.97128052407254</c:v>
                </c:pt>
                <c:pt idx="107">
                  <c:v>560.41789006787985</c:v>
                </c:pt>
                <c:pt idx="108">
                  <c:v>568.86183556500578</c:v>
                </c:pt>
                <c:pt idx="109">
                  <c:v>577.30316213955939</c:v>
                </c:pt>
                <c:pt idx="110">
                  <c:v>585.74191348830459</c:v>
                </c:pt>
                <c:pt idx="111">
                  <c:v>555.18935360177829</c:v>
                </c:pt>
                <c:pt idx="112">
                  <c:v>562.83071576489817</c:v>
                </c:pt>
                <c:pt idx="113">
                  <c:v>570.46990784967431</c:v>
                </c:pt>
                <c:pt idx="114">
                  <c:v>578.1069630190849</c:v>
                </c:pt>
                <c:pt idx="115">
                  <c:v>585.7419134883047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75730544"/>
        <c:axId val="-1275728912"/>
      </c:scatterChart>
      <c:valAx>
        <c:axId val="-12757305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75728912"/>
        <c:crosses val="autoZero"/>
        <c:crossBetween val="midCat"/>
      </c:valAx>
      <c:valAx>
        <c:axId val="-127572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7573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75736528"/>
        <c:axId val="-1275735984"/>
      </c:scatterChart>
      <c:valAx>
        <c:axId val="-1275736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75735984"/>
        <c:crosses val="autoZero"/>
        <c:crossBetween val="midCat"/>
      </c:valAx>
      <c:valAx>
        <c:axId val="-127573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75736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75741424"/>
        <c:axId val="-1275739248"/>
      </c:scatterChart>
      <c:valAx>
        <c:axId val="-12757414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75739248"/>
        <c:crosses val="autoZero"/>
        <c:crossBetween val="midCat"/>
      </c:valAx>
      <c:valAx>
        <c:axId val="-127573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75741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75733808"/>
        <c:axId val="-1275738704"/>
      </c:scatterChart>
      <c:valAx>
        <c:axId val="-12757338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75738704"/>
        <c:crosses val="autoZero"/>
        <c:crossBetween val="midCat"/>
      </c:valAx>
      <c:valAx>
        <c:axId val="-127573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757338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75733264"/>
        <c:axId val="-1275728368"/>
      </c:scatterChart>
      <c:valAx>
        <c:axId val="-12757332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75728368"/>
        <c:crosses val="autoZero"/>
        <c:crossBetween val="midCat"/>
      </c:valAx>
      <c:valAx>
        <c:axId val="-1275728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757332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75729456"/>
        <c:axId val="-1275742512"/>
      </c:scatterChart>
      <c:valAx>
        <c:axId val="-12757294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75742512"/>
        <c:crosses val="autoZero"/>
        <c:crossBetween val="midCat"/>
      </c:valAx>
      <c:valAx>
        <c:axId val="-12757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757294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75741968"/>
        <c:axId val="-1275740880"/>
      </c:scatterChart>
      <c:valAx>
        <c:axId val="-12757419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75740880"/>
        <c:crosses val="autoZero"/>
        <c:crossBetween val="midCat"/>
      </c:valAx>
      <c:valAx>
        <c:axId val="-127574088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75741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77734375" customWidth="1"/>
    <col min="2" max="13" width="15.777343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80" zoomScale="90" zoomScaleNormal="90" workbookViewId="0">
      <selection activeCell="K85" sqref="K85"/>
    </sheetView>
  </sheetViews>
  <sheetFormatPr baseColWidth="10" defaultColWidth="11.44140625" defaultRowHeight="14.4" x14ac:dyDescent="0.3"/>
  <cols>
    <col min="1" max="1" width="13.77734375" style="25" customWidth="1"/>
    <col min="2" max="2" width="36.21875" style="25" customWidth="1"/>
    <col min="3" max="3" width="14.77734375" style="25" bestFit="1" customWidth="1"/>
    <col min="4" max="4" width="16.44140625" style="25" customWidth="1"/>
    <col min="5" max="5" width="23.21875" style="25" customWidth="1"/>
    <col min="6" max="6" width="28.77734375" style="25" bestFit="1" customWidth="1"/>
    <col min="7" max="8" width="14.77734375" style="25" customWidth="1"/>
    <col min="9" max="9" width="17" style="25" customWidth="1"/>
    <col min="10" max="10" width="13.777343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3.1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164</v>
      </c>
      <c r="C9" s="35">
        <v>0.35499999999999998</v>
      </c>
      <c r="D9" s="36">
        <f t="shared" ref="D9:D18" si="0">C9*$C$5</f>
        <v>1.1005</v>
      </c>
      <c r="E9" s="37">
        <v>80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14</v>
      </c>
      <c r="C10" s="35">
        <v>0.41899999999999998</v>
      </c>
      <c r="D10" s="36">
        <f t="shared" si="0"/>
        <v>1.2988999999999999</v>
      </c>
      <c r="E10" s="37">
        <v>115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6</v>
      </c>
      <c r="C11" s="35">
        <v>0.22600000000000001</v>
      </c>
      <c r="D11" s="36">
        <f t="shared" si="0"/>
        <v>0.7006</v>
      </c>
      <c r="E11" s="37">
        <v>115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3.1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115</v>
      </c>
      <c r="C36" s="63">
        <v>1</v>
      </c>
      <c r="D36" s="63">
        <v>30</v>
      </c>
      <c r="E36" s="54">
        <v>0.1</v>
      </c>
      <c r="F36" s="54"/>
      <c r="G36" s="54"/>
      <c r="H36" s="54">
        <v>0.9</v>
      </c>
      <c r="I36" s="52">
        <f>IFERROR(B36/A36,"")</f>
        <v>5.75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30</v>
      </c>
      <c r="B37" s="63">
        <v>150</v>
      </c>
      <c r="C37" s="63">
        <v>2</v>
      </c>
      <c r="D37" s="63">
        <v>40</v>
      </c>
      <c r="E37" s="54">
        <v>0.3</v>
      </c>
      <c r="F37" s="54"/>
      <c r="G37" s="54"/>
      <c r="H37" s="54">
        <v>0.7</v>
      </c>
      <c r="I37" s="56">
        <f t="shared" ref="I37:I55" si="1">IF(A37&lt;&gt;0,(B37-(B36-D36))/(A37-A36),"")</f>
        <v>6.5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40</v>
      </c>
      <c r="B38" s="63">
        <v>180</v>
      </c>
      <c r="C38" s="63">
        <v>3</v>
      </c>
      <c r="D38" s="63">
        <v>50</v>
      </c>
      <c r="E38" s="54"/>
      <c r="F38" s="54"/>
      <c r="G38" s="54"/>
      <c r="H38" s="54"/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50</v>
      </c>
      <c r="B39" s="63">
        <v>200</v>
      </c>
      <c r="C39" s="63">
        <v>4</v>
      </c>
      <c r="D39" s="63">
        <v>60</v>
      </c>
      <c r="E39" s="54"/>
      <c r="F39" s="54"/>
      <c r="G39" s="54"/>
      <c r="H39" s="54"/>
      <c r="I39" s="52">
        <f t="shared" si="1"/>
        <v>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60</v>
      </c>
      <c r="B40" s="63">
        <v>220</v>
      </c>
      <c r="C40" s="63">
        <v>5</v>
      </c>
      <c r="D40" s="63">
        <v>70</v>
      </c>
      <c r="E40" s="54"/>
      <c r="F40" s="54"/>
      <c r="G40" s="54"/>
      <c r="H40" s="54"/>
      <c r="I40" s="52">
        <f t="shared" si="1"/>
        <v>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70</v>
      </c>
      <c r="B41" s="63">
        <v>225</v>
      </c>
      <c r="C41" s="63">
        <v>6</v>
      </c>
      <c r="D41" s="63">
        <v>80</v>
      </c>
      <c r="E41" s="54"/>
      <c r="F41" s="54"/>
      <c r="G41" s="54"/>
      <c r="H41" s="54"/>
      <c r="I41" s="56">
        <f t="shared" si="1"/>
        <v>7.5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80</v>
      </c>
      <c r="B42" s="63">
        <v>222</v>
      </c>
      <c r="C42" s="63"/>
      <c r="D42" s="63">
        <v>222</v>
      </c>
      <c r="E42" s="54"/>
      <c r="F42" s="54"/>
      <c r="G42" s="54"/>
      <c r="H42" s="54"/>
      <c r="I42" s="56">
        <f t="shared" si="1"/>
        <v>7.7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sessile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3">
        <v>42</v>
      </c>
      <c r="C62" s="63">
        <v>1</v>
      </c>
      <c r="D62" s="63"/>
      <c r="E62" s="54"/>
      <c r="F62" s="54"/>
      <c r="G62" s="54"/>
      <c r="H62" s="54">
        <v>1</v>
      </c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3">
        <v>70</v>
      </c>
      <c r="C63" s="63">
        <v>2</v>
      </c>
      <c r="D63" s="63">
        <v>8</v>
      </c>
      <c r="E63" s="54"/>
      <c r="F63" s="54"/>
      <c r="G63" s="54"/>
      <c r="H63" s="54">
        <v>1</v>
      </c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3">
        <v>97</v>
      </c>
      <c r="C64" s="63">
        <v>3</v>
      </c>
      <c r="D64" s="63">
        <v>21</v>
      </c>
      <c r="E64" s="54"/>
      <c r="F64" s="54"/>
      <c r="G64" s="54"/>
      <c r="H64" s="54">
        <v>1</v>
      </c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3">
        <v>116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3">
        <v>137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3">
        <v>158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3">
        <v>178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53">
        <v>197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214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v>229</v>
      </c>
      <c r="C71" s="53">
        <v>10</v>
      </c>
      <c r="D71" s="53">
        <v>21</v>
      </c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242</v>
      </c>
      <c r="C72" s="53">
        <v>11</v>
      </c>
      <c r="D72" s="53">
        <v>21</v>
      </c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v>252</v>
      </c>
      <c r="C73" s="53">
        <v>12</v>
      </c>
      <c r="D73" s="53">
        <v>21</v>
      </c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53">
        <v>261</v>
      </c>
      <c r="C74" s="53">
        <v>13</v>
      </c>
      <c r="D74" s="53">
        <v>21</v>
      </c>
      <c r="E74" s="54"/>
      <c r="F74" s="54"/>
      <c r="G74" s="54"/>
      <c r="H74" s="54"/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85</v>
      </c>
      <c r="B75" s="53">
        <v>269</v>
      </c>
      <c r="C75" s="53">
        <v>14</v>
      </c>
      <c r="D75" s="53">
        <v>21</v>
      </c>
      <c r="E75" s="54"/>
      <c r="F75" s="54"/>
      <c r="G75" s="54"/>
      <c r="H75" s="54"/>
      <c r="I75" s="52">
        <f t="shared" si="2"/>
        <v>5.8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90</v>
      </c>
      <c r="B76" s="53">
        <v>275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95</v>
      </c>
      <c r="B77" s="53">
        <v>279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5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100</v>
      </c>
      <c r="B78" s="53">
        <v>282</v>
      </c>
      <c r="C78" s="53">
        <v>17</v>
      </c>
      <c r="D78" s="53">
        <v>21</v>
      </c>
      <c r="E78" s="54"/>
      <c r="F78" s="54"/>
      <c r="G78" s="54"/>
      <c r="H78" s="54"/>
      <c r="I78" s="52">
        <f t="shared" si="2"/>
        <v>4.8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105</v>
      </c>
      <c r="B79" s="53">
        <v>284</v>
      </c>
      <c r="C79" s="53">
        <v>18</v>
      </c>
      <c r="D79" s="53">
        <v>20</v>
      </c>
      <c r="E79" s="54"/>
      <c r="F79" s="54"/>
      <c r="G79" s="54"/>
      <c r="H79" s="54"/>
      <c r="I79" s="52">
        <f t="shared" si="2"/>
        <v>4.5999999999999996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110</v>
      </c>
      <c r="B80" s="53">
        <v>285</v>
      </c>
      <c r="C80" s="53">
        <v>19</v>
      </c>
      <c r="D80" s="53">
        <v>19</v>
      </c>
      <c r="E80" s="54"/>
      <c r="F80" s="54"/>
      <c r="G80" s="54"/>
      <c r="H80" s="54"/>
      <c r="I80" s="52">
        <f t="shared" si="2"/>
        <v>4.2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115</v>
      </c>
      <c r="B81" s="53">
        <v>285</v>
      </c>
      <c r="C81" s="53"/>
      <c r="D81" s="53">
        <v>285</v>
      </c>
      <c r="E81" s="54"/>
      <c r="F81" s="54"/>
      <c r="G81" s="54"/>
      <c r="H81" s="54"/>
      <c r="I81" s="52">
        <f t="shared" si="2"/>
        <v>3.8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Charme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20</v>
      </c>
      <c r="B88" s="63">
        <v>42</v>
      </c>
      <c r="C88" s="63">
        <v>1</v>
      </c>
      <c r="D88" s="63"/>
      <c r="E88" s="54"/>
      <c r="F88" s="54"/>
      <c r="G88" s="54"/>
      <c r="H88" s="54">
        <v>1</v>
      </c>
      <c r="I88" s="56">
        <f>IFERROR(B88/A88,"")</f>
        <v>2.1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25</v>
      </c>
      <c r="B89" s="63">
        <v>70</v>
      </c>
      <c r="C89" s="63">
        <v>2</v>
      </c>
      <c r="D89" s="63">
        <v>8</v>
      </c>
      <c r="E89" s="54"/>
      <c r="F89" s="54"/>
      <c r="G89" s="54"/>
      <c r="H89" s="54">
        <v>1</v>
      </c>
      <c r="I89" s="56">
        <f t="shared" ref="I89:I107" si="3">IF(A89&lt;&gt;0,(B89-(B88-D88))/(A89-A88),"")</f>
        <v>5.6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30</v>
      </c>
      <c r="B90" s="63">
        <v>97</v>
      </c>
      <c r="C90" s="63">
        <v>3</v>
      </c>
      <c r="D90" s="63">
        <v>21</v>
      </c>
      <c r="E90" s="54"/>
      <c r="F90" s="54"/>
      <c r="G90" s="54"/>
      <c r="H90" s="54">
        <v>1</v>
      </c>
      <c r="I90" s="56">
        <f t="shared" si="3"/>
        <v>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35</v>
      </c>
      <c r="B91" s="63">
        <v>116</v>
      </c>
      <c r="C91" s="63">
        <v>4</v>
      </c>
      <c r="D91" s="63">
        <v>21</v>
      </c>
      <c r="E91" s="54"/>
      <c r="F91" s="54"/>
      <c r="G91" s="54"/>
      <c r="H91" s="54"/>
      <c r="I91" s="56">
        <f t="shared" si="3"/>
        <v>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40</v>
      </c>
      <c r="B92" s="63">
        <v>137</v>
      </c>
      <c r="C92" s="63">
        <v>5</v>
      </c>
      <c r="D92" s="63">
        <v>21</v>
      </c>
      <c r="E92" s="54"/>
      <c r="F92" s="54"/>
      <c r="G92" s="54"/>
      <c r="H92" s="54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45</v>
      </c>
      <c r="B93" s="63">
        <v>158</v>
      </c>
      <c r="C93" s="63">
        <v>6</v>
      </c>
      <c r="D93" s="63">
        <v>21</v>
      </c>
      <c r="E93" s="54"/>
      <c r="F93" s="54"/>
      <c r="G93" s="54"/>
      <c r="H93" s="54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50</v>
      </c>
      <c r="B94" s="63">
        <v>178</v>
      </c>
      <c r="C94" s="63">
        <v>7</v>
      </c>
      <c r="D94" s="63">
        <v>21</v>
      </c>
      <c r="E94" s="54"/>
      <c r="F94" s="54"/>
      <c r="G94" s="54"/>
      <c r="H94" s="54"/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55</v>
      </c>
      <c r="B95" s="53">
        <v>197</v>
      </c>
      <c r="C95" s="53">
        <v>8</v>
      </c>
      <c r="D95" s="53">
        <v>21</v>
      </c>
      <c r="E95" s="54"/>
      <c r="F95" s="54"/>
      <c r="G95" s="54"/>
      <c r="H95" s="54"/>
      <c r="I95" s="56">
        <f t="shared" si="3"/>
        <v>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60</v>
      </c>
      <c r="B96" s="53">
        <v>214</v>
      </c>
      <c r="C96" s="53">
        <v>9</v>
      </c>
      <c r="D96" s="53">
        <v>21</v>
      </c>
      <c r="E96" s="54"/>
      <c r="F96" s="54"/>
      <c r="G96" s="54"/>
      <c r="H96" s="54"/>
      <c r="I96" s="56">
        <f t="shared" si="3"/>
        <v>7.6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65</v>
      </c>
      <c r="B97" s="53">
        <v>229</v>
      </c>
      <c r="C97" s="53">
        <v>10</v>
      </c>
      <c r="D97" s="53">
        <v>21</v>
      </c>
      <c r="E97" s="54"/>
      <c r="F97" s="54"/>
      <c r="G97" s="54"/>
      <c r="H97" s="54"/>
      <c r="I97" s="56">
        <f t="shared" si="3"/>
        <v>7.2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70</v>
      </c>
      <c r="B98" s="53">
        <v>242</v>
      </c>
      <c r="C98" s="53">
        <v>11</v>
      </c>
      <c r="D98" s="53">
        <v>21</v>
      </c>
      <c r="E98" s="54"/>
      <c r="F98" s="54"/>
      <c r="G98" s="54"/>
      <c r="H98" s="54"/>
      <c r="I98" s="56">
        <f t="shared" si="3"/>
        <v>6.8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75</v>
      </c>
      <c r="B99" s="53">
        <v>252</v>
      </c>
      <c r="C99" s="53">
        <v>12</v>
      </c>
      <c r="D99" s="53">
        <v>21</v>
      </c>
      <c r="E99" s="54"/>
      <c r="F99" s="54"/>
      <c r="G99" s="54"/>
      <c r="H99" s="54"/>
      <c r="I99" s="56">
        <f t="shared" si="3"/>
        <v>6.2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>
        <v>80</v>
      </c>
      <c r="B100" s="53">
        <v>261</v>
      </c>
      <c r="C100" s="53">
        <v>13</v>
      </c>
      <c r="D100" s="53">
        <v>21</v>
      </c>
      <c r="E100" s="54"/>
      <c r="F100" s="54"/>
      <c r="G100" s="54"/>
      <c r="H100" s="54"/>
      <c r="I100" s="56">
        <f t="shared" si="3"/>
        <v>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>
        <v>85</v>
      </c>
      <c r="B101" s="53">
        <v>269</v>
      </c>
      <c r="C101" s="53">
        <v>14</v>
      </c>
      <c r="D101" s="53">
        <v>21</v>
      </c>
      <c r="E101" s="54"/>
      <c r="F101" s="54"/>
      <c r="G101" s="54"/>
      <c r="H101" s="54"/>
      <c r="I101" s="56">
        <f t="shared" si="3"/>
        <v>5.8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>
        <v>90</v>
      </c>
      <c r="B102" s="53">
        <v>275</v>
      </c>
      <c r="C102" s="53">
        <v>15</v>
      </c>
      <c r="D102" s="53">
        <v>21</v>
      </c>
      <c r="E102" s="54"/>
      <c r="F102" s="54"/>
      <c r="G102" s="54"/>
      <c r="H102" s="54"/>
      <c r="I102" s="56">
        <f t="shared" si="3"/>
        <v>5.4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>
        <v>95</v>
      </c>
      <c r="B103" s="53">
        <v>279</v>
      </c>
      <c r="C103" s="53">
        <v>16</v>
      </c>
      <c r="D103" s="53">
        <v>21</v>
      </c>
      <c r="E103" s="54"/>
      <c r="F103" s="54"/>
      <c r="G103" s="54"/>
      <c r="H103" s="54"/>
      <c r="I103" s="56">
        <f t="shared" si="3"/>
        <v>5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>
        <v>100</v>
      </c>
      <c r="B104" s="53">
        <v>282</v>
      </c>
      <c r="C104" s="53">
        <v>17</v>
      </c>
      <c r="D104" s="53">
        <v>21</v>
      </c>
      <c r="E104" s="54"/>
      <c r="F104" s="54"/>
      <c r="G104" s="54"/>
      <c r="H104" s="54"/>
      <c r="I104" s="56">
        <f t="shared" si="3"/>
        <v>4.8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>
        <v>105</v>
      </c>
      <c r="B105" s="53">
        <v>284</v>
      </c>
      <c r="C105" s="53">
        <v>18</v>
      </c>
      <c r="D105" s="53">
        <v>20</v>
      </c>
      <c r="E105" s="54"/>
      <c r="F105" s="54"/>
      <c r="G105" s="54"/>
      <c r="H105" s="54"/>
      <c r="I105" s="56">
        <f t="shared" si="3"/>
        <v>4.5999999999999996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>
        <v>110</v>
      </c>
      <c r="B106" s="53">
        <v>285</v>
      </c>
      <c r="C106" s="53">
        <v>19</v>
      </c>
      <c r="D106" s="53">
        <v>19</v>
      </c>
      <c r="E106" s="54"/>
      <c r="F106" s="54"/>
      <c r="G106" s="54"/>
      <c r="H106" s="54"/>
      <c r="I106" s="56">
        <f t="shared" si="3"/>
        <v>4.2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>
        <v>115</v>
      </c>
      <c r="B107" s="53">
        <v>285</v>
      </c>
      <c r="C107" s="53"/>
      <c r="D107" s="53">
        <v>285</v>
      </c>
      <c r="E107" s="54"/>
      <c r="F107" s="54"/>
      <c r="G107" s="54"/>
      <c r="H107" s="54"/>
      <c r="I107" s="56">
        <f t="shared" si="3"/>
        <v>3.8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B23" sqref="B23"/>
    </sheetView>
  </sheetViews>
  <sheetFormatPr baseColWidth="10" defaultColWidth="11.44140625" defaultRowHeight="14.4" x14ac:dyDescent="0.3"/>
  <cols>
    <col min="1" max="1" width="5.77734375" style="1" customWidth="1"/>
    <col min="2" max="2" width="14.21875" style="1" customWidth="1"/>
    <col min="3" max="3" width="62.21875" style="1" customWidth="1"/>
    <col min="4" max="5" width="4.21875" style="1" customWidth="1"/>
    <col min="6" max="6" width="14.21875" style="1" customWidth="1"/>
    <col min="7" max="7" width="73.2187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71" bestFit="1" customWidth="1"/>
    <col min="2" max="4" width="11.44140625" style="71"/>
    <col min="5" max="5" width="9.5546875" style="71" customWidth="1"/>
    <col min="6" max="7" width="11.44140625" style="71"/>
    <col min="8" max="8" width="10.7773437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77734375" style="71" bestFit="1" customWidth="1"/>
    <col min="25" max="25" width="14.5546875" style="71" bestFit="1" customWidth="1"/>
    <col min="26" max="26" width="12.44140625" style="71" bestFit="1" customWidth="1"/>
    <col min="27" max="27" width="9.7773437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21875" style="71" bestFit="1" customWidth="1"/>
    <col min="45" max="45" width="11.77734375" style="71" bestFit="1" customWidth="1"/>
    <col min="46" max="46" width="8.44140625" style="71" bestFit="1" customWidth="1"/>
    <col min="47" max="47" width="9.44140625" style="71" bestFit="1" customWidth="1"/>
    <col min="48" max="48" width="9.7773437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2187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21875" style="71" bestFit="1" customWidth="1"/>
    <col min="66" max="66" width="11.77734375" style="71" bestFit="1" customWidth="1"/>
    <col min="67" max="67" width="8.44140625" style="71" bestFit="1" customWidth="1"/>
    <col min="68" max="68" width="9.44140625" style="71" bestFit="1" customWidth="1"/>
    <col min="69" max="69" width="9.7773437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777343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21875" style="71" bestFit="1" customWidth="1"/>
    <col min="87" max="87" width="11.77734375" style="71" bestFit="1" customWidth="1"/>
    <col min="88" max="88" width="8.44140625" style="71" bestFit="1" customWidth="1"/>
    <col min="89" max="89" width="9.44140625" style="71" bestFit="1" customWidth="1"/>
    <col min="90" max="90" width="9.7773437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21875" style="71" bestFit="1" customWidth="1"/>
    <col min="108" max="108" width="11.77734375" style="71" bestFit="1" customWidth="1"/>
    <col min="109" max="109" width="8.44140625" style="71" bestFit="1" customWidth="1"/>
    <col min="110" max="110" width="9.44140625" style="71" bestFit="1" customWidth="1"/>
    <col min="111" max="111" width="9.7773437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2187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21875" style="71" bestFit="1" customWidth="1"/>
    <col min="129" max="129" width="11.77734375" style="71" bestFit="1" customWidth="1"/>
    <col min="130" max="130" width="8.44140625" style="71" bestFit="1" customWidth="1"/>
    <col min="131" max="131" width="9.44140625" style="71" bestFit="1" customWidth="1"/>
    <col min="132" max="132" width="9.7773437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21875" style="71" bestFit="1" customWidth="1"/>
    <col min="150" max="150" width="11.77734375" style="71" bestFit="1" customWidth="1"/>
    <col min="151" max="151" width="8.44140625" style="71" bestFit="1" customWidth="1"/>
    <col min="152" max="152" width="9.44140625" style="71" bestFit="1" customWidth="1"/>
    <col min="153" max="153" width="9.7773437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21875" style="71" bestFit="1" customWidth="1"/>
    <col min="171" max="171" width="11.77734375" style="71" bestFit="1" customWidth="1"/>
    <col min="172" max="172" width="8.21875" style="71" bestFit="1" customWidth="1"/>
    <col min="173" max="173" width="9.44140625" style="71" bestFit="1" customWidth="1"/>
    <col min="174" max="174" width="9.7773437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2187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7773437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2187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21875" style="71" bestFit="1" customWidth="1"/>
    <col min="213" max="213" width="11.77734375" style="71" bestFit="1" customWidth="1"/>
    <col min="214" max="214" width="8.44140625" style="71" bestFit="1" customWidth="1"/>
    <col min="215" max="215" width="9.44140625" style="71" bestFit="1" customWidth="1"/>
    <col min="216" max="216" width="9.7773437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Cèdre de l'Atlas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sessile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Charme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189.27804790161417</v>
      </c>
      <c r="T3" s="62">
        <f>IF('Données projet'!E9&gt;30,$R$33-$H$33,LOOKUP('Données projet'!$E$9,$A$3:$A$203,R3:R203)-LOOKUP('Données projet'!$E$9,$A$3:$A$203,$H$3:$H$203))</f>
        <v>212.39018594432073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398.11190027805549</v>
      </c>
      <c r="AO3" s="62">
        <f>IF('Données projet'!E10&gt;30,$AM$33-$H$33,LOOKUP('Données projet'!$E$10,$A$3:$A$203,AM3:AM203)-LOOKUP('Données projet'!$E$10,$A$3:$A$203,$H$3:$H$203))</f>
        <v>250.47702091764884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414.9045204114143</v>
      </c>
      <c r="BJ3" s="62">
        <f>IF('Données projet'!E11&gt;30,$BH$33-$H$33,LOOKUP('Données projet'!$E$11,$A$3:$A$203,BH3:BH203)-LOOKUP('Données projet'!$E$11,$A$3:$A$203,$H$3:$H$203))</f>
        <v>260.29028006191834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5.75</v>
      </c>
      <c r="N4" s="14">
        <f>IF('Données projet'!$A$36&gt;35,N3+M4-V3,IF(A4&lt;'Données projet'!$A$36,$K$205^A4,IF(A4='Données projet'!$A$36,'Données projet'!$B$36,N3+M4-V3)))</f>
        <v>1.2677537154322802</v>
      </c>
      <c r="O4" s="14">
        <f>N4*VLOOKUP('Données projet'!$B$9,Paramètres!$A$1:$I$89,3,0)*VLOOKUP('Données projet'!$B$9,Paramètres!$A$1:$I$89,5,0)</f>
        <v>0.59330873882230706</v>
      </c>
      <c r="P4" s="14">
        <f>EXP(-1.0587+0.8836*LN(O4)+0.284)</f>
        <v>0.29055137246158741</v>
      </c>
      <c r="Q4" s="22">
        <f t="shared" ref="Q4:Q34" si="2">(O4+P4)*0.475*44/12</f>
        <v>1.5393896938194491</v>
      </c>
      <c r="R4" s="62">
        <f t="shared" si="0"/>
        <v>169.3518236467433</v>
      </c>
      <c r="S4" s="62">
        <f ca="1">AVERAGE(OFFSET($R$3,0,0,'Données projet'!$E$9+1,1))-AVERAGE(OFFSET($H$3,0,0,'Données projet'!$E$9+1,1))</f>
        <v>189.27804790161417</v>
      </c>
      <c r="T4" s="62">
        <f>$T$3</f>
        <v>212.39018594432073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1.0907244698905405</v>
      </c>
      <c r="AK4" s="14">
        <f>EXP(-1.0587+0.8836*LN(AJ4)+0.284)</f>
        <v>0.49759623852608204</v>
      </c>
      <c r="AL4" s="22">
        <f t="shared" ref="AL4:AL67" si="4">(AJ4+AK4)*0.475*44/12</f>
        <v>2.7663252338256172</v>
      </c>
      <c r="AM4" s="62">
        <f t="shared" ref="AM4:AM67" si="5">AL4+(AD4+AE4)*44/12</f>
        <v>170.57875918674947</v>
      </c>
      <c r="AN4" s="62">
        <f ca="1">AVERAGE(OFFSET($AM$3,0,0,'Données projet'!$E$10+1,1))-AVERAGE(OFFSET($H$3,0,0,'Données projet'!$E$10+1,1))</f>
        <v>398.11190027805549</v>
      </c>
      <c r="AO4" s="62">
        <f>$AO$3</f>
        <v>250.47702091764884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</v>
      </c>
      <c r="BD4" s="13">
        <f>IF('Données projet'!$A$88&gt;35,BD3+BC4-BL3,IF(A4&lt;'Données projet'!$A$88,$BA$205^A4,IF(A4='Données projet'!$A$88,'Données projet'!$B$88,BD3+BC4-BL3)))</f>
        <v>1.2054868146447177</v>
      </c>
      <c r="BE4" s="14">
        <f>BD4*VLOOKUP('Données projet'!$B$11,Paramètres!$A$1:$I$89,3,0)*VLOOKUP('Données projet'!$B$11,Paramètres!$A$1:$I$89,5,0)</f>
        <v>1.1471412528159133</v>
      </c>
      <c r="BF4" s="14">
        <f>EXP(-1.0587+0.8836*LN(BE4)+0.284)</f>
        <v>0.52027092443628509</v>
      </c>
      <c r="BG4" s="22">
        <f t="shared" ref="BG4:BG67" si="7">(BE4+BF4)*0.475*44/12</f>
        <v>2.9040762087142453</v>
      </c>
      <c r="BH4" s="62">
        <f t="shared" ref="BH4:BH67" si="8">BG4+(AY4+AZ4)*44/12</f>
        <v>170.7165101616381</v>
      </c>
      <c r="BI4" s="62">
        <f ca="1">AVERAGE(OFFSET($BH$3,0,0,'Données projet'!$E$11+1,1))-AVERAGE(OFFSET($H$3,0,0,'Données projet'!$E$11+1,1))</f>
        <v>414.9045204114143</v>
      </c>
      <c r="BJ4" s="62">
        <f>$BJ$3</f>
        <v>260.29028006191834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5.75</v>
      </c>
      <c r="N5" s="14">
        <f>IF('Données projet'!$A$36&gt;35,N4+M5-V4,IF(A5&lt;'Données projet'!$A$36,$K$205^A5,IF(A5='Données projet'!$A$36,'Données projet'!$B$36,N4+M5-V4)))</f>
        <v>1.6071994829923508</v>
      </c>
      <c r="O5" s="14">
        <f>N5*VLOOKUP('Données projet'!$B$9,Paramètres!$A$1:$I$89,3,0)*VLOOKUP('Données projet'!$B$9,Paramètres!$A$1:$I$89,5,0)</f>
        <v>0.75216935804042018</v>
      </c>
      <c r="P5" s="14">
        <f t="shared" ref="P5:P68" si="33">EXP(-1.0587+0.8836*LN(O5)+0.284)</f>
        <v>0.35831464735172275</v>
      </c>
      <c r="Q5" s="22">
        <f t="shared" si="2"/>
        <v>1.9340929760579824</v>
      </c>
      <c r="R5" s="62">
        <f t="shared" si="0"/>
        <v>172.5313742635588</v>
      </c>
      <c r="S5" s="62">
        <f ca="1">AVERAGE(OFFSET($R$3,0,0,'Données projet'!$E$9+1,1))-AVERAGE(OFFSET($H$3,0,0,'Données projet'!$E$9+1,1))</f>
        <v>189.27804790161417</v>
      </c>
      <c r="T5" s="62">
        <f t="shared" ref="T5:T68" si="34">$T$3</f>
        <v>212.39018594432073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1.3148539668633961</v>
      </c>
      <c r="AK5" s="14">
        <f t="shared" ref="AK5:AK68" si="35">EXP(-1.0587+0.8836*LN(AJ5)+0.284)</f>
        <v>0.58693801963664449</v>
      </c>
      <c r="AL5" s="22">
        <f t="shared" si="4"/>
        <v>3.3122877098209038</v>
      </c>
      <c r="AM5" s="62">
        <f t="shared" si="5"/>
        <v>173.90956899732174</v>
      </c>
      <c r="AN5" s="62">
        <f ca="1">AVERAGE(OFFSET($AM$3,0,0,'Données projet'!$E$10+1,1))-AVERAGE(OFFSET($H$3,0,0,'Données projet'!$E$10+1,1))</f>
        <v>398.11190027805549</v>
      </c>
      <c r="AO5" s="62">
        <f t="shared" ref="AO5:AO68" si="36">$AO$3</f>
        <v>250.47702091764884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</v>
      </c>
      <c r="BD5" s="13">
        <f>IF('Données projet'!$A$88&gt;35,BD4+BC5-BL4,IF(A5&lt;'Données projet'!$A$88,$BA$205^A5,IF(A5='Données projet'!$A$88,'Données projet'!$B$88,BD4+BC5-BL4)))</f>
        <v>1.4531984602822681</v>
      </c>
      <c r="BE5" s="14">
        <f>BD5*VLOOKUP('Données projet'!$B$11,Paramètres!$A$1:$I$89,3,0)*VLOOKUP('Données projet'!$B$11,Paramètres!$A$1:$I$89,5,0)</f>
        <v>1.3828636548046063</v>
      </c>
      <c r="BF5" s="14">
        <f t="shared" ref="BF5:BF68" si="37">EXP(-1.0587+0.8836*LN(BE5)+0.284)</f>
        <v>0.61368387142089176</v>
      </c>
      <c r="BG5" s="22">
        <f t="shared" si="7"/>
        <v>3.4773202748427425</v>
      </c>
      <c r="BH5" s="62">
        <f t="shared" si="8"/>
        <v>174.07460156234359</v>
      </c>
      <c r="BI5" s="62">
        <f ca="1">AVERAGE(OFFSET($BH$3,0,0,'Données projet'!$E$11+1,1))-AVERAGE(OFFSET($H$3,0,0,'Données projet'!$E$11+1,1))</f>
        <v>414.9045204114143</v>
      </c>
      <c r="BJ5" s="62">
        <f t="shared" ref="BJ5:BJ68" si="38">$BJ$3</f>
        <v>260.29028006191834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5.75</v>
      </c>
      <c r="N6" s="14">
        <f>IF('Données projet'!$A$36&gt;35,N5+M6-V5,IF(A6&lt;'Données projet'!$A$36,$K$205^A6,IF(A6='Données projet'!$A$36,'Données projet'!$B$36,N5+M6-V5)))</f>
        <v>2.0375331160043926</v>
      </c>
      <c r="O6" s="14">
        <f>N6*VLOOKUP('Données projet'!$B$9,Paramètres!$A$1:$I$89,3,0)*VLOOKUP('Données projet'!$B$9,Paramètres!$A$1:$I$89,5,0)</f>
        <v>0.95356549829005577</v>
      </c>
      <c r="P6" s="14">
        <f t="shared" si="33"/>
        <v>0.44188187933534279</v>
      </c>
      <c r="Q6" s="22">
        <f t="shared" si="2"/>
        <v>2.4304041826975693</v>
      </c>
      <c r="R6" s="62">
        <f t="shared" si="0"/>
        <v>175.78542475258246</v>
      </c>
      <c r="S6" s="62">
        <f ca="1">AVERAGE(OFFSET($R$3,0,0,'Données projet'!$E$9+1,1))-AVERAGE(OFFSET($H$3,0,0,'Données projet'!$E$9+1,1))</f>
        <v>189.27804790161417</v>
      </c>
      <c r="T6" s="62">
        <f t="shared" si="34"/>
        <v>212.39018594432073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1.5850391202371266</v>
      </c>
      <c r="AK6" s="14">
        <f t="shared" si="35"/>
        <v>0.69232082604846479</v>
      </c>
      <c r="AL6" s="22">
        <f t="shared" si="4"/>
        <v>3.966401906447405</v>
      </c>
      <c r="AM6" s="62">
        <f t="shared" si="5"/>
        <v>177.32142247633229</v>
      </c>
      <c r="AN6" s="62">
        <f ca="1">AVERAGE(OFFSET($AM$3,0,0,'Données projet'!$E$10+1,1))-AVERAGE(OFFSET($H$3,0,0,'Données projet'!$E$10+1,1))</f>
        <v>398.11190027805549</v>
      </c>
      <c r="AO6" s="62">
        <f t="shared" si="36"/>
        <v>250.47702091764884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</v>
      </c>
      <c r="BD6" s="13">
        <f>IF('Données projet'!$A$88&gt;35,BD5+BC6-BL5,IF(A6&lt;'Données projet'!$A$88,$BA$205^A6,IF(A6='Données projet'!$A$88,'Données projet'!$B$88,BD5+BC6-BL5)))</f>
        <v>1.7518115829322798</v>
      </c>
      <c r="BE6" s="14">
        <f>BD6*VLOOKUP('Données projet'!$B$11,Paramètres!$A$1:$I$89,3,0)*VLOOKUP('Données projet'!$B$11,Paramètres!$A$1:$I$89,5,0)</f>
        <v>1.6670239023183575</v>
      </c>
      <c r="BF6" s="14">
        <f t="shared" si="37"/>
        <v>0.72386880825637001</v>
      </c>
      <c r="BG6" s="22">
        <f t="shared" si="7"/>
        <v>4.1641381375843167</v>
      </c>
      <c r="BH6" s="62">
        <f t="shared" si="8"/>
        <v>177.51915870746922</v>
      </c>
      <c r="BI6" s="62">
        <f ca="1">AVERAGE(OFFSET($BH$3,0,0,'Données projet'!$E$11+1,1))-AVERAGE(OFFSET($H$3,0,0,'Données projet'!$E$11+1,1))</f>
        <v>414.9045204114143</v>
      </c>
      <c r="BJ6" s="62">
        <f t="shared" si="38"/>
        <v>260.29028006191834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5.75</v>
      </c>
      <c r="N7" s="14">
        <f>IF('Données projet'!$A$36&gt;35,N6+M7-V6,IF(A7&lt;'Données projet'!$A$36,$K$205^A7,IF(A7='Données projet'!$A$36,'Données projet'!$B$36,N6+M7-V6)))</f>
        <v>2.5830901781308797</v>
      </c>
      <c r="O7" s="14">
        <f>N7*VLOOKUP('Données projet'!$B$9,Paramètres!$A$1:$I$89,3,0)*VLOOKUP('Données projet'!$B$9,Paramètres!$A$1:$I$89,5,0)</f>
        <v>1.2088862033652517</v>
      </c>
      <c r="P7" s="14">
        <f t="shared" si="33"/>
        <v>0.54493891535856476</v>
      </c>
      <c r="Q7" s="22">
        <f t="shared" si="2"/>
        <v>3.0545787484439804</v>
      </c>
      <c r="R7" s="62">
        <f t="shared" si="0"/>
        <v>179.14070081262093</v>
      </c>
      <c r="S7" s="62">
        <f ca="1">AVERAGE(OFFSET($R$3,0,0,'Données projet'!$E$9+1,1))-AVERAGE(OFFSET($H$3,0,0,'Données projet'!$E$9+1,1))</f>
        <v>189.27804790161417</v>
      </c>
      <c r="T7" s="62">
        <f t="shared" si="34"/>
        <v>212.39018594432073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1.9107437601419195</v>
      </c>
      <c r="AK7" s="14">
        <f t="shared" si="35"/>
        <v>0.81662477151702284</v>
      </c>
      <c r="AL7" s="22">
        <f t="shared" si="4"/>
        <v>4.7501668593059909</v>
      </c>
      <c r="AM7" s="62">
        <f t="shared" si="5"/>
        <v>180.83628892348293</v>
      </c>
      <c r="AN7" s="62">
        <f ca="1">AVERAGE(OFFSET($AM$3,0,0,'Données projet'!$E$10+1,1))-AVERAGE(OFFSET($H$3,0,0,'Données projet'!$E$10+1,1))</f>
        <v>398.11190027805549</v>
      </c>
      <c r="AO7" s="62">
        <f t="shared" si="36"/>
        <v>250.47702091764884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</v>
      </c>
      <c r="BD7" s="13">
        <f>IF('Données projet'!$A$88&gt;35,BD6+BC7-BL6,IF(A7&lt;'Données projet'!$A$88,$BA$205^A7,IF(A7='Données projet'!$A$88,'Données projet'!$B$88,BD6+BC7-BL6)))</f>
        <v>2.1117857649667546</v>
      </c>
      <c r="BE7" s="14">
        <f>BD7*VLOOKUP('Données projet'!$B$11,Paramètres!$A$1:$I$89,3,0)*VLOOKUP('Données projet'!$B$11,Paramètres!$A$1:$I$89,5,0)</f>
        <v>2.0095753339423639</v>
      </c>
      <c r="BF7" s="14">
        <f t="shared" si="37"/>
        <v>0.85383709099815042</v>
      </c>
      <c r="BG7" s="22">
        <f t="shared" si="7"/>
        <v>4.9871099734380619</v>
      </c>
      <c r="BH7" s="62">
        <f t="shared" si="8"/>
        <v>181.07323203761501</v>
      </c>
      <c r="BI7" s="62">
        <f ca="1">AVERAGE(OFFSET($BH$3,0,0,'Données projet'!$E$11+1,1))-AVERAGE(OFFSET($H$3,0,0,'Données projet'!$E$11+1,1))</f>
        <v>414.9045204114143</v>
      </c>
      <c r="BJ7" s="62">
        <f t="shared" si="38"/>
        <v>260.29028006191834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5.75</v>
      </c>
      <c r="N8" s="14">
        <f>IF('Données projet'!$A$36&gt;35,N7+M8-V7,IF(A8&lt;'Données projet'!$A$36,$K$205^A8,IF(A8='Données projet'!$A$36,'Données projet'!$B$36,N7+M8-V7)))</f>
        <v>3.2747221706220535</v>
      </c>
      <c r="O8" s="14">
        <f>N8*VLOOKUP('Données projet'!$B$9,Paramètres!$A$1:$I$89,3,0)*VLOOKUP('Données projet'!$B$9,Paramètres!$A$1:$I$89,5,0)</f>
        <v>1.5325699758511209</v>
      </c>
      <c r="P8" s="14">
        <f t="shared" si="33"/>
        <v>0.67203122680395833</v>
      </c>
      <c r="Q8" s="22">
        <f t="shared" si="2"/>
        <v>3.839680427957596</v>
      </c>
      <c r="R8" s="62">
        <f t="shared" si="0"/>
        <v>182.63072830440495</v>
      </c>
      <c r="S8" s="62">
        <f ca="1">AVERAGE(OFFSET($R$3,0,0,'Données projet'!$E$9+1,1))-AVERAGE(OFFSET($H$3,0,0,'Données projet'!$E$9+1,1))</f>
        <v>189.27804790161417</v>
      </c>
      <c r="T8" s="62">
        <f t="shared" si="34"/>
        <v>212.39018594432073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2.3033764090157529</v>
      </c>
      <c r="AK8" s="14">
        <f t="shared" si="35"/>
        <v>0.96324708482559218</v>
      </c>
      <c r="AL8" s="22">
        <f t="shared" si="4"/>
        <v>5.6893692517736758</v>
      </c>
      <c r="AM8" s="62">
        <f t="shared" si="5"/>
        <v>184.48041712822103</v>
      </c>
      <c r="AN8" s="62">
        <f ca="1">AVERAGE(OFFSET($AM$3,0,0,'Données projet'!$E$10+1,1))-AVERAGE(OFFSET($H$3,0,0,'Données projet'!$E$10+1,1))</f>
        <v>398.11190027805549</v>
      </c>
      <c r="AO8" s="62">
        <f t="shared" si="36"/>
        <v>250.47702091764884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</v>
      </c>
      <c r="BD8" s="13">
        <f>IF('Données projet'!$A$88&gt;35,BD7+BC8-BL7,IF(A8&lt;'Données projet'!$A$88,$BA$205^A8,IF(A8='Données projet'!$A$88,'Données projet'!$B$88,BD7+BC8-BL7)))</f>
        <v>2.5457298950218314</v>
      </c>
      <c r="BE8" s="14">
        <f>BD8*VLOOKUP('Données projet'!$B$11,Paramètres!$A$1:$I$89,3,0)*VLOOKUP('Données projet'!$B$11,Paramètres!$A$1:$I$89,5,0)</f>
        <v>2.4225165681027749</v>
      </c>
      <c r="BF8" s="14">
        <f t="shared" si="37"/>
        <v>1.0071407548562075</v>
      </c>
      <c r="BG8" s="22">
        <f t="shared" si="7"/>
        <v>5.9733198374868941</v>
      </c>
      <c r="BH8" s="62">
        <f t="shared" si="8"/>
        <v>184.76436771393423</v>
      </c>
      <c r="BI8" s="62">
        <f ca="1">AVERAGE(OFFSET($BH$3,0,0,'Données projet'!$E$11+1,1))-AVERAGE(OFFSET($H$3,0,0,'Données projet'!$E$11+1,1))</f>
        <v>414.9045204114143</v>
      </c>
      <c r="BJ8" s="62">
        <f t="shared" si="38"/>
        <v>260.29028006191834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5.75</v>
      </c>
      <c r="N9" s="14">
        <f>IF('Données projet'!$A$36&gt;35,N8+M9-V8,IF(A9&lt;'Données projet'!$A$36,$K$205^A9,IF(A9='Données projet'!$A$36,'Données projet'!$B$36,N8+M9-V8)))</f>
        <v>4.1515411988145692</v>
      </c>
      <c r="O9" s="14">
        <f>N9*VLOOKUP('Données projet'!$B$9,Paramètres!$A$1:$I$89,3,0)*VLOOKUP('Données projet'!$B$9,Paramètres!$A$1:$I$89,5,0)</f>
        <v>1.9429212810452183</v>
      </c>
      <c r="P9" s="14">
        <f t="shared" si="33"/>
        <v>0.82876439371643607</v>
      </c>
      <c r="Q9" s="22">
        <f t="shared" si="2"/>
        <v>4.8273525502098815</v>
      </c>
      <c r="R9" s="62">
        <f t="shared" si="0"/>
        <v>186.29760464646887</v>
      </c>
      <c r="S9" s="62">
        <f ca="1">AVERAGE(OFFSET($R$3,0,0,'Données projet'!$E$9+1,1))-AVERAGE(OFFSET($H$3,0,0,'Données projet'!$E$9+1,1))</f>
        <v>189.27804790161417</v>
      </c>
      <c r="T9" s="62">
        <f t="shared" si="34"/>
        <v>212.39018594432073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2.7766898902321886</v>
      </c>
      <c r="AK9" s="14">
        <f t="shared" si="35"/>
        <v>1.1361949561012803</v>
      </c>
      <c r="AL9" s="22">
        <f t="shared" si="4"/>
        <v>6.8149411073641248</v>
      </c>
      <c r="AM9" s="62">
        <f t="shared" si="5"/>
        <v>188.28519320362309</v>
      </c>
      <c r="AN9" s="62">
        <f ca="1">AVERAGE(OFFSET($AM$3,0,0,'Données projet'!$E$10+1,1))-AVERAGE(OFFSET($H$3,0,0,'Données projet'!$E$10+1,1))</f>
        <v>398.11190027805549</v>
      </c>
      <c r="AO9" s="62">
        <f t="shared" si="36"/>
        <v>250.47702091764884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</v>
      </c>
      <c r="BD9" s="13">
        <f>IF('Données projet'!$A$88&gt;35,BD8+BC9-BL8,IF(A9&lt;'Données projet'!$A$88,$BA$205^A9,IF(A9='Données projet'!$A$88,'Données projet'!$B$88,BD8+BC9-BL8)))</f>
        <v>3.0688438220956993</v>
      </c>
      <c r="BE9" s="14">
        <f>BD9*VLOOKUP('Données projet'!$B$11,Paramètres!$A$1:$I$89,3,0)*VLOOKUP('Données projet'!$B$11,Paramètres!$A$1:$I$89,5,0)</f>
        <v>2.9203117811062675</v>
      </c>
      <c r="BF9" s="14">
        <f t="shared" si="37"/>
        <v>1.1879695913731732</v>
      </c>
      <c r="BG9" s="22">
        <f t="shared" si="7"/>
        <v>7.1552567237350262</v>
      </c>
      <c r="BH9" s="62">
        <f t="shared" si="8"/>
        <v>188.625508819994</v>
      </c>
      <c r="BI9" s="62">
        <f ca="1">AVERAGE(OFFSET($BH$3,0,0,'Données projet'!$E$11+1,1))-AVERAGE(OFFSET($H$3,0,0,'Données projet'!$E$11+1,1))</f>
        <v>414.9045204114143</v>
      </c>
      <c r="BJ9" s="62">
        <f t="shared" si="38"/>
        <v>260.29028006191834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5.75</v>
      </c>
      <c r="N10" s="14">
        <f>IF('Données projet'!$A$36&gt;35,N9+M10-V9,IF(A10&lt;'Données projet'!$A$36,$K$205^A10,IF(A10='Données projet'!$A$36,'Données projet'!$B$36,N9+M10-V9)))</f>
        <v>5.2631317795673525</v>
      </c>
      <c r="O10" s="14">
        <f>N10*VLOOKUP('Données projet'!$B$9,Paramètres!$A$1:$I$89,3,0)*VLOOKUP('Données projet'!$B$9,Paramètres!$A$1:$I$89,5,0)</f>
        <v>2.4631456728375212</v>
      </c>
      <c r="P10" s="14">
        <f t="shared" si="33"/>
        <v>1.0220513465701448</v>
      </c>
      <c r="Q10" s="22">
        <f t="shared" si="2"/>
        <v>6.0700514754683512</v>
      </c>
      <c r="R10" s="62">
        <f t="shared" si="0"/>
        <v>190.19423241120458</v>
      </c>
      <c r="S10" s="62">
        <f ca="1">AVERAGE(OFFSET($R$3,0,0,'Données projet'!$E$9+1,1))-AVERAGE(OFFSET($H$3,0,0,'Données projet'!$E$9+1,1))</f>
        <v>189.27804790161417</v>
      </c>
      <c r="T10" s="62">
        <f t="shared" si="34"/>
        <v>212.39018594432073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3.3472630510321921</v>
      </c>
      <c r="AK10" s="14">
        <f t="shared" si="35"/>
        <v>1.34019505338418</v>
      </c>
      <c r="AL10" s="22">
        <f t="shared" si="4"/>
        <v>8.1639895318585136</v>
      </c>
      <c r="AM10" s="62">
        <f t="shared" si="5"/>
        <v>192.28817046759474</v>
      </c>
      <c r="AN10" s="62">
        <f ca="1">AVERAGE(OFFSET($AM$3,0,0,'Données projet'!$E$10+1,1))-AVERAGE(OFFSET($H$3,0,0,'Données projet'!$E$10+1,1))</f>
        <v>398.11190027805549</v>
      </c>
      <c r="AO10" s="62">
        <f t="shared" si="36"/>
        <v>250.47702091764884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</v>
      </c>
      <c r="BD10" s="13">
        <f>IF('Données projet'!$A$88&gt;35,BD9+BC10-BL9,IF(A10&lt;'Données projet'!$A$88,$BA$205^A10,IF(A10='Données projet'!$A$88,'Données projet'!$B$88,BD9+BC10-BL9)))</f>
        <v>3.6994507637402658</v>
      </c>
      <c r="BE10" s="14">
        <f>BD10*VLOOKUP('Données projet'!$B$11,Paramètres!$A$1:$I$89,3,0)*VLOOKUP('Données projet'!$B$11,Paramètres!$A$1:$I$89,5,0)</f>
        <v>3.520397346775237</v>
      </c>
      <c r="BF10" s="14">
        <f t="shared" si="37"/>
        <v>1.4012656554930452</v>
      </c>
      <c r="BG10" s="22">
        <f t="shared" si="7"/>
        <v>8.5718963956172569</v>
      </c>
      <c r="BH10" s="62">
        <f t="shared" si="8"/>
        <v>192.69607733135348</v>
      </c>
      <c r="BI10" s="62">
        <f ca="1">AVERAGE(OFFSET($BH$3,0,0,'Données projet'!$E$11+1,1))-AVERAGE(OFFSET($H$3,0,0,'Données projet'!$E$11+1,1))</f>
        <v>414.9045204114143</v>
      </c>
      <c r="BJ10" s="62">
        <f t="shared" si="38"/>
        <v>260.29028006191834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5.75</v>
      </c>
      <c r="N11" s="14">
        <f>IF('Données projet'!$A$36&gt;35,N10+M11-V10,IF(A11&lt;'Données projet'!$A$36,$K$205^A11,IF(A11='Données projet'!$A$36,'Données projet'!$B$36,N10+M11-V10)))</f>
        <v>6.6723548683562202</v>
      </c>
      <c r="O11" s="14">
        <f>N11*VLOOKUP('Données projet'!$B$9,Paramètres!$A$1:$I$89,3,0)*VLOOKUP('Données projet'!$B$9,Paramètres!$A$1:$I$89,5,0)</f>
        <v>3.1226620783907113</v>
      </c>
      <c r="P11" s="14">
        <f t="shared" si="33"/>
        <v>1.2604172705122936</v>
      </c>
      <c r="Q11" s="22">
        <f t="shared" si="2"/>
        <v>7.6338631993393991</v>
      </c>
      <c r="R11" s="62">
        <f t="shared" si="0"/>
        <v>194.38713606555996</v>
      </c>
      <c r="S11" s="62">
        <f ca="1">AVERAGE(OFFSET($R$3,0,0,'Données projet'!$E$9+1,1))-AVERAGE(OFFSET($H$3,0,0,'Données projet'!$E$9+1,1))</f>
        <v>189.27804790161417</v>
      </c>
      <c r="T11" s="62">
        <f t="shared" si="34"/>
        <v>212.39018594432073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4.0350814731667564</v>
      </c>
      <c r="AK11" s="14">
        <f t="shared" si="35"/>
        <v>1.5808227025391921</v>
      </c>
      <c r="AL11" s="22">
        <f t="shared" si="4"/>
        <v>9.7810331060211926</v>
      </c>
      <c r="AM11" s="62">
        <f t="shared" si="5"/>
        <v>196.53430597224175</v>
      </c>
      <c r="AN11" s="62">
        <f ca="1">AVERAGE(OFFSET($AM$3,0,0,'Données projet'!$E$10+1,1))-AVERAGE(OFFSET($H$3,0,0,'Données projet'!$E$10+1,1))</f>
        <v>398.11190027805549</v>
      </c>
      <c r="AO11" s="62">
        <f t="shared" si="36"/>
        <v>250.47702091764884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</v>
      </c>
      <c r="BD11" s="13">
        <f>IF('Données projet'!$A$88&gt;35,BD10+BC11-BL10,IF(A11&lt;'Données projet'!$A$88,$BA$205^A11,IF(A11='Données projet'!$A$88,'Données projet'!$B$88,BD10+BC11-BL10)))</f>
        <v>4.4596391171162209</v>
      </c>
      <c r="BE11" s="14">
        <f>BD11*VLOOKUP('Données projet'!$B$11,Paramètres!$A$1:$I$89,3,0)*VLOOKUP('Données projet'!$B$11,Paramètres!$A$1:$I$89,5,0)</f>
        <v>4.2437925838477959</v>
      </c>
      <c r="BF11" s="14">
        <f t="shared" si="37"/>
        <v>1.6528583320004788</v>
      </c>
      <c r="BG11" s="22">
        <f t="shared" si="7"/>
        <v>10.27000034510241</v>
      </c>
      <c r="BH11" s="62">
        <f t="shared" si="8"/>
        <v>197.02327321132296</v>
      </c>
      <c r="BI11" s="62">
        <f ca="1">AVERAGE(OFFSET($BH$3,0,0,'Données projet'!$E$11+1,1))-AVERAGE(OFFSET($H$3,0,0,'Données projet'!$E$11+1,1))</f>
        <v>414.9045204114143</v>
      </c>
      <c r="BJ11" s="62">
        <f t="shared" si="38"/>
        <v>260.29028006191834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5.75</v>
      </c>
      <c r="N12" s="14">
        <f>IF('Données projet'!$A$36&gt;35,N11+M12-V11,IF(A12&lt;'Données projet'!$A$36,$K$205^A12,IF(A12='Données projet'!$A$36,'Données projet'!$B$36,N11+M12-V11)))</f>
        <v>8.4589026750412604</v>
      </c>
      <c r="O12" s="14">
        <f>N12*VLOOKUP('Données projet'!$B$9,Paramètres!$A$1:$I$89,3,0)*VLOOKUP('Données projet'!$B$9,Paramètres!$A$1:$I$89,5,0)</f>
        <v>3.9587664519193098</v>
      </c>
      <c r="P12" s="14">
        <f t="shared" si="33"/>
        <v>1.5543756203021926</v>
      </c>
      <c r="Q12" s="22">
        <f t="shared" si="2"/>
        <v>9.6020557757857823</v>
      </c>
      <c r="R12" s="62">
        <f t="shared" si="0"/>
        <v>198.96001452834184</v>
      </c>
      <c r="S12" s="62">
        <f ca="1">AVERAGE(OFFSET($R$3,0,0,'Données projet'!$E$9+1,1))-AVERAGE(OFFSET($H$3,0,0,'Données projet'!$E$9+1,1))</f>
        <v>189.27804790161417</v>
      </c>
      <c r="T12" s="62">
        <f t="shared" si="34"/>
        <v>212.39018594432073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4.8642375119197085</v>
      </c>
      <c r="AK12" s="14">
        <f t="shared" si="35"/>
        <v>1.8646542609995393</v>
      </c>
      <c r="AL12" s="22">
        <f t="shared" si="4"/>
        <v>11.719486504501022</v>
      </c>
      <c r="AM12" s="62">
        <f t="shared" si="5"/>
        <v>201.07744525705709</v>
      </c>
      <c r="AN12" s="62">
        <f ca="1">AVERAGE(OFFSET($AM$3,0,0,'Données projet'!$E$10+1,1))-AVERAGE(OFFSET($H$3,0,0,'Données projet'!$E$10+1,1))</f>
        <v>398.11190027805549</v>
      </c>
      <c r="AO12" s="62">
        <f t="shared" si="36"/>
        <v>250.47702091764884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</v>
      </c>
      <c r="BD12" s="13">
        <f>IF('Données projet'!$A$88&gt;35,BD11+BC12-BL11,IF(A12&lt;'Données projet'!$A$88,$BA$205^A12,IF(A12='Données projet'!$A$88,'Données projet'!$B$88,BD11+BC12-BL11)))</f>
        <v>5.3760361537574148</v>
      </c>
      <c r="BE12" s="14">
        <f>BD12*VLOOKUP('Données projet'!$B$11,Paramètres!$A$1:$I$89,3,0)*VLOOKUP('Données projet'!$B$11,Paramètres!$A$1:$I$89,5,0)</f>
        <v>5.1158360039155557</v>
      </c>
      <c r="BF12" s="14">
        <f t="shared" si="37"/>
        <v>1.9496236526985691</v>
      </c>
      <c r="BG12" s="22">
        <f t="shared" si="7"/>
        <v>12.305675568602934</v>
      </c>
      <c r="BH12" s="62">
        <f t="shared" si="8"/>
        <v>201.66363432115901</v>
      </c>
      <c r="BI12" s="62">
        <f ca="1">AVERAGE(OFFSET($BH$3,0,0,'Données projet'!$E$11+1,1))-AVERAGE(OFFSET($H$3,0,0,'Données projet'!$E$11+1,1))</f>
        <v>414.9045204114143</v>
      </c>
      <c r="BJ12" s="62">
        <f t="shared" si="38"/>
        <v>260.29028006191834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5.75</v>
      </c>
      <c r="N13" s="14">
        <f>IF('Données projet'!$A$36&gt;35,N12+M13-V12,IF(A13&lt;'Données projet'!$A$36,$K$205^A13,IF(A13='Données projet'!$A$36,'Données projet'!$B$36,N12+M13-V12)))</f>
        <v>10.723805294763611</v>
      </c>
      <c r="O13" s="14">
        <f>N13*VLOOKUP('Données projet'!$B$9,Paramètres!$A$1:$I$89,3,0)*VLOOKUP('Données projet'!$B$9,Paramètres!$A$1:$I$89,5,0)</f>
        <v>5.0187408779493703</v>
      </c>
      <c r="P13" s="14">
        <f t="shared" si="33"/>
        <v>1.9168918305981435</v>
      </c>
      <c r="Q13" s="22">
        <f t="shared" si="2"/>
        <v>12.079560300720253</v>
      </c>
      <c r="R13" s="62">
        <f t="shared" si="0"/>
        <v>204.01822228576515</v>
      </c>
      <c r="S13" s="62">
        <f ca="1">AVERAGE(OFFSET($R$3,0,0,'Données projet'!$E$9+1,1))-AVERAGE(OFFSET($H$3,0,0,'Données projet'!$E$9+1,1))</f>
        <v>189.27804790161417</v>
      </c>
      <c r="T13" s="62">
        <f t="shared" si="34"/>
        <v>212.39018594432073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5.8637741839194364</v>
      </c>
      <c r="AK13" s="14">
        <f t="shared" si="35"/>
        <v>2.1994468497187687</v>
      </c>
      <c r="AL13" s="22">
        <f t="shared" si="4"/>
        <v>14.043443300253207</v>
      </c>
      <c r="AM13" s="62">
        <f t="shared" si="5"/>
        <v>205.9821052852981</v>
      </c>
      <c r="AN13" s="62">
        <f ca="1">AVERAGE(OFFSET($AM$3,0,0,'Données projet'!$E$10+1,1))-AVERAGE(OFFSET($H$3,0,0,'Données projet'!$E$10+1,1))</f>
        <v>398.11190027805549</v>
      </c>
      <c r="AO13" s="62">
        <f t="shared" si="36"/>
        <v>250.47702091764884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</v>
      </c>
      <c r="BD13" s="13">
        <f>IF('Données projet'!$A$88&gt;35,BD12+BC13-BL12,IF(A13&lt;'Données projet'!$A$88,$BA$205^A13,IF(A13='Données projet'!$A$88,'Données projet'!$B$88,BD12+BC13-BL12)))</f>
        <v>6.4807406984078657</v>
      </c>
      <c r="BE13" s="14">
        <f>BD13*VLOOKUP('Données projet'!$B$11,Paramètres!$A$1:$I$89,3,0)*VLOOKUP('Données projet'!$B$11,Paramètres!$A$1:$I$89,5,0)</f>
        <v>6.1670728486049251</v>
      </c>
      <c r="BF13" s="14">
        <f t="shared" si="37"/>
        <v>2.2996722184660952</v>
      </c>
      <c r="BG13" s="22">
        <f t="shared" si="7"/>
        <v>14.746247658482027</v>
      </c>
      <c r="BH13" s="62">
        <f t="shared" si="8"/>
        <v>206.68490964352691</v>
      </c>
      <c r="BI13" s="62">
        <f ca="1">AVERAGE(OFFSET($BH$3,0,0,'Données projet'!$E$11+1,1))-AVERAGE(OFFSET($H$3,0,0,'Données projet'!$E$11+1,1))</f>
        <v>414.9045204114143</v>
      </c>
      <c r="BJ13" s="62">
        <f t="shared" si="38"/>
        <v>260.29028006191834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5.75</v>
      </c>
      <c r="N14" s="14">
        <f>IF('Données projet'!$A$36&gt;35,N13+M14-V13,IF(A14&lt;'Données projet'!$A$36,$K$205^A14,IF(A14='Données projet'!$A$36,'Données projet'!$B$36,N13+M14-V13)))</f>
        <v>13.595144006008928</v>
      </c>
      <c r="O14" s="14">
        <f>N14*VLOOKUP('Données projet'!$B$9,Paramètres!$A$1:$I$89,3,0)*VLOOKUP('Données projet'!$B$9,Paramètres!$A$1:$I$89,5,0)</f>
        <v>6.3625273948121777</v>
      </c>
      <c r="P14" s="14">
        <f t="shared" si="33"/>
        <v>2.3639551741679612</v>
      </c>
      <c r="Q14" s="22">
        <f t="shared" si="2"/>
        <v>15.198623807640407</v>
      </c>
      <c r="R14" s="62">
        <f t="shared" si="0"/>
        <v>209.69442241675455</v>
      </c>
      <c r="S14" s="62">
        <f ca="1">AVERAGE(OFFSET($R$3,0,0,'Données projet'!$E$9+1,1))-AVERAGE(OFFSET($H$3,0,0,'Données projet'!$E$9+1,1))</f>
        <v>189.27804790161417</v>
      </c>
      <c r="T14" s="62">
        <f t="shared" si="34"/>
        <v>212.39018594432073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7.0687024627689707</v>
      </c>
      <c r="AK14" s="14">
        <f t="shared" si="35"/>
        <v>2.5943503554083325</v>
      </c>
      <c r="AL14" s="22">
        <f t="shared" si="4"/>
        <v>16.829816991658799</v>
      </c>
      <c r="AM14" s="62">
        <f t="shared" si="5"/>
        <v>211.32561560077292</v>
      </c>
      <c r="AN14" s="62">
        <f ca="1">AVERAGE(OFFSET($AM$3,0,0,'Données projet'!$E$10+1,1))-AVERAGE(OFFSET($H$3,0,0,'Données projet'!$E$10+1,1))</f>
        <v>398.11190027805549</v>
      </c>
      <c r="AO14" s="62">
        <f t="shared" si="36"/>
        <v>250.47702091764884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</v>
      </c>
      <c r="BD14" s="13">
        <f>IF('Données projet'!$A$88&gt;35,BD13+BC14-BL13,IF(A14&lt;'Données projet'!$A$88,$BA$205^A14,IF(A14='Données projet'!$A$88,'Données projet'!$B$88,BD13+BC14-BL13)))</f>
        <v>7.8124474610620815</v>
      </c>
      <c r="BE14" s="14">
        <f>BD14*VLOOKUP('Données projet'!$B$11,Paramètres!$A$1:$I$89,3,0)*VLOOKUP('Données projet'!$B$11,Paramètres!$A$1:$I$89,5,0)</f>
        <v>7.4343250039466771</v>
      </c>
      <c r="BF14" s="14">
        <f t="shared" si="37"/>
        <v>2.712570862107007</v>
      </c>
      <c r="BG14" s="22">
        <f t="shared" si="7"/>
        <v>17.672510300043498</v>
      </c>
      <c r="BH14" s="62">
        <f t="shared" si="8"/>
        <v>212.16830890915764</v>
      </c>
      <c r="BI14" s="62">
        <f ca="1">AVERAGE(OFFSET($BH$3,0,0,'Données projet'!$E$11+1,1))-AVERAGE(OFFSET($H$3,0,0,'Données projet'!$E$11+1,1))</f>
        <v>414.9045204114143</v>
      </c>
      <c r="BJ14" s="62">
        <f t="shared" si="38"/>
        <v>260.29028006191834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5.75</v>
      </c>
      <c r="N15" s="14">
        <f>IF('Données projet'!$A$36&gt;35,N14+M15-V14,IF(A15&lt;'Données projet'!$A$36,$K$205^A15,IF(A15='Données projet'!$A$36,'Données projet'!$B$36,N14+M15-V14)))</f>
        <v>17.23529432545471</v>
      </c>
      <c r="O15" s="14">
        <f>N15*VLOOKUP('Données projet'!$B$9,Paramètres!$A$1:$I$89,3,0)*VLOOKUP('Données projet'!$B$9,Paramètres!$A$1:$I$89,5,0)</f>
        <v>8.0661177443128054</v>
      </c>
      <c r="P15" s="14">
        <f t="shared" si="33"/>
        <v>2.915283990610841</v>
      </c>
      <c r="Q15" s="22">
        <f t="shared" si="2"/>
        <v>19.125941354992019</v>
      </c>
      <c r="R15" s="62">
        <f t="shared" si="0"/>
        <v>216.1557188077249</v>
      </c>
      <c r="S15" s="62">
        <f ca="1">AVERAGE(OFFSET($R$3,0,0,'Données projet'!$E$9+1,1))-AVERAGE(OFFSET($H$3,0,0,'Données projet'!$E$9+1,1))</f>
        <v>189.27804790161417</v>
      </c>
      <c r="T15" s="62">
        <f t="shared" si="34"/>
        <v>212.39018594432073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8.521227615514638</v>
      </c>
      <c r="AK15" s="14">
        <f t="shared" si="35"/>
        <v>3.0601574970852128</v>
      </c>
      <c r="AL15" s="22">
        <f t="shared" si="4"/>
        <v>20.170912404444739</v>
      </c>
      <c r="AM15" s="62">
        <f t="shared" si="5"/>
        <v>217.20068985717762</v>
      </c>
      <c r="AN15" s="62">
        <f ca="1">AVERAGE(OFFSET($AM$3,0,0,'Données projet'!$E$10+1,1))-AVERAGE(OFFSET($H$3,0,0,'Données projet'!$E$10+1,1))</f>
        <v>398.11190027805549</v>
      </c>
      <c r="AO15" s="62">
        <f t="shared" si="36"/>
        <v>250.47702091764884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</v>
      </c>
      <c r="BD15" s="13">
        <f>IF('Données projet'!$A$88&gt;35,BD14+BC15-BL14,IF(A15&lt;'Données projet'!$A$88,$BA$205^A15,IF(A15='Données projet'!$A$88,'Données projet'!$B$88,BD14+BC15-BL14)))</f>
        <v>9.4178024044149407</v>
      </c>
      <c r="BE15" s="14">
        <f>BD15*VLOOKUP('Données projet'!$B$11,Paramètres!$A$1:$I$89,3,0)*VLOOKUP('Données projet'!$B$11,Paramètres!$A$1:$I$89,5,0)</f>
        <v>8.9619807680412578</v>
      </c>
      <c r="BF15" s="14">
        <f t="shared" si="37"/>
        <v>3.1996041100413177</v>
      </c>
      <c r="BG15" s="22">
        <f t="shared" si="7"/>
        <v>21.181426995993817</v>
      </c>
      <c r="BH15" s="62">
        <f t="shared" si="8"/>
        <v>218.21120444872668</v>
      </c>
      <c r="BI15" s="62">
        <f ca="1">AVERAGE(OFFSET($BH$3,0,0,'Données projet'!$E$11+1,1))-AVERAGE(OFFSET($H$3,0,0,'Données projet'!$E$11+1,1))</f>
        <v>414.9045204114143</v>
      </c>
      <c r="BJ15" s="62">
        <f t="shared" si="38"/>
        <v>260.29028006191834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5.75</v>
      </c>
      <c r="N16" s="14">
        <f>IF('Données projet'!$A$36&gt;35,N15+M16-V15,IF(A16&lt;'Données projet'!$A$36,$K$205^A16,IF(A16='Données projet'!$A$36,'Données projet'!$B$36,N15+M16-V15)))</f>
        <v>21.850108417664106</v>
      </c>
      <c r="O16" s="14">
        <f>N16*VLOOKUP('Données projet'!$B$9,Paramètres!$A$1:$I$89,3,0)*VLOOKUP('Données projet'!$B$9,Paramètres!$A$1:$I$89,5,0)</f>
        <v>10.225850739466802</v>
      </c>
      <c r="P16" s="14">
        <f t="shared" si="33"/>
        <v>3.5951953906669201</v>
      </c>
      <c r="Q16" s="22">
        <f t="shared" si="2"/>
        <v>24.071655343316234</v>
      </c>
      <c r="R16" s="62">
        <f t="shared" si="0"/>
        <v>223.61265559493503</v>
      </c>
      <c r="S16" s="62">
        <f ca="1">AVERAGE(OFFSET($R$3,0,0,'Données projet'!$E$9+1,1))-AVERAGE(OFFSET($H$3,0,0,'Données projet'!$E$9+1,1))</f>
        <v>189.27804790161417</v>
      </c>
      <c r="T16" s="62">
        <f t="shared" si="34"/>
        <v>212.39018594432073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10.272227535089344</v>
      </c>
      <c r="AK16" s="14">
        <f t="shared" si="35"/>
        <v>3.6095987912522753</v>
      </c>
      <c r="AL16" s="22">
        <f t="shared" si="4"/>
        <v>24.177514185044988</v>
      </c>
      <c r="AM16" s="62">
        <f t="shared" si="5"/>
        <v>223.71851443666381</v>
      </c>
      <c r="AN16" s="62">
        <f ca="1">AVERAGE(OFFSET($AM$3,0,0,'Données projet'!$E$10+1,1))-AVERAGE(OFFSET($H$3,0,0,'Données projet'!$E$10+1,1))</f>
        <v>398.11190027805549</v>
      </c>
      <c r="AO16" s="62">
        <f t="shared" si="36"/>
        <v>250.47702091764884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</v>
      </c>
      <c r="BD16" s="13">
        <f>IF('Données projet'!$A$88&gt;35,BD15+BC16-BL15,IF(A16&lt;'Données projet'!$A$88,$BA$205^A16,IF(A16='Données projet'!$A$88,'Données projet'!$B$88,BD15+BC16-BL15)))</f>
        <v>11.35303662145153</v>
      </c>
      <c r="BE16" s="14">
        <f>BD16*VLOOKUP('Données projet'!$B$11,Paramètres!$A$1:$I$89,3,0)*VLOOKUP('Données projet'!$B$11,Paramètres!$A$1:$I$89,5,0)</f>
        <v>10.803549648973275</v>
      </c>
      <c r="BF16" s="14">
        <f t="shared" si="37"/>
        <v>3.77408258858951</v>
      </c>
      <c r="BG16" s="22">
        <f t="shared" si="7"/>
        <v>25.389376147088512</v>
      </c>
      <c r="BH16" s="62">
        <f t="shared" si="8"/>
        <v>224.93037639870732</v>
      </c>
      <c r="BI16" s="62">
        <f ca="1">AVERAGE(OFFSET($BH$3,0,0,'Données projet'!$E$11+1,1))-AVERAGE(OFFSET($H$3,0,0,'Données projet'!$E$11+1,1))</f>
        <v>414.9045204114143</v>
      </c>
      <c r="BJ16" s="62">
        <f t="shared" si="38"/>
        <v>260.29028006191834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5.75</v>
      </c>
      <c r="N17" s="14">
        <f>IF('Données projet'!$A$36&gt;35,N16+M17-V16,IF(A17&lt;'Données projet'!$A$36,$K$205^A17,IF(A17='Données projet'!$A$36,'Données projet'!$B$36,N16+M17-V16)))</f>
        <v>27.700556129091808</v>
      </c>
      <c r="O17" s="14">
        <f>N17*VLOOKUP('Données projet'!$B$9,Paramètres!$A$1:$I$89,3,0)*VLOOKUP('Données projet'!$B$9,Paramètres!$A$1:$I$89,5,0)</f>
        <v>12.963860268414967</v>
      </c>
      <c r="P17" s="14">
        <f t="shared" si="33"/>
        <v>4.4336777956113931</v>
      </c>
      <c r="Q17" s="22">
        <f t="shared" si="2"/>
        <v>30.300712128179242</v>
      </c>
      <c r="R17" s="62">
        <f t="shared" si="0"/>
        <v>232.33057390045244</v>
      </c>
      <c r="S17" s="62">
        <f ca="1">AVERAGE(OFFSET($R$3,0,0,'Données projet'!$E$9+1,1))-AVERAGE(OFFSET($H$3,0,0,'Données projet'!$E$9+1,1))</f>
        <v>189.27804790161417</v>
      </c>
      <c r="T17" s="62">
        <f t="shared" si="34"/>
        <v>212.39018594432073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12.383034850580612</v>
      </c>
      <c r="AK17" s="14">
        <f t="shared" si="35"/>
        <v>4.2576904771143838</v>
      </c>
      <c r="AL17" s="22">
        <f t="shared" si="4"/>
        <v>28.982596612402116</v>
      </c>
      <c r="AM17" s="62">
        <f t="shared" si="5"/>
        <v>231.01245838467531</v>
      </c>
      <c r="AN17" s="62">
        <f ca="1">AVERAGE(OFFSET($AM$3,0,0,'Données projet'!$E$10+1,1))-AVERAGE(OFFSET($H$3,0,0,'Données projet'!$E$10+1,1))</f>
        <v>398.11190027805549</v>
      </c>
      <c r="AO17" s="62">
        <f t="shared" si="36"/>
        <v>250.47702091764884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</v>
      </c>
      <c r="BD17" s="13">
        <f>IF('Données projet'!$A$88&gt;35,BD16+BC17-BL16,IF(A17&lt;'Données projet'!$A$88,$BA$205^A17,IF(A17='Données projet'!$A$88,'Données projet'!$B$88,BD16+BC17-BL16)))</f>
        <v>13.685935953338433</v>
      </c>
      <c r="BE17" s="14">
        <f>BD17*VLOOKUP('Données projet'!$B$11,Paramètres!$A$1:$I$89,3,0)*VLOOKUP('Données projet'!$B$11,Paramètres!$A$1:$I$89,5,0)</f>
        <v>13.023536653196853</v>
      </c>
      <c r="BF17" s="14">
        <f t="shared" si="37"/>
        <v>4.4517068035990768</v>
      </c>
      <c r="BG17" s="22">
        <f t="shared" si="7"/>
        <v>30.436049020586243</v>
      </c>
      <c r="BH17" s="62">
        <f t="shared" si="8"/>
        <v>232.46591079285943</v>
      </c>
      <c r="BI17" s="62">
        <f ca="1">AVERAGE(OFFSET($BH$3,0,0,'Données projet'!$E$11+1,1))-AVERAGE(OFFSET($H$3,0,0,'Données projet'!$E$11+1,1))</f>
        <v>414.9045204114143</v>
      </c>
      <c r="BJ17" s="62">
        <f t="shared" si="38"/>
        <v>260.29028006191834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5.75</v>
      </c>
      <c r="N18" s="14">
        <f>IF('Données projet'!$A$36&gt;35,N17+M18-V17,IF(A18&lt;'Données projet'!$A$36,$K$205^A18,IF(A18='Données projet'!$A$36,'Données projet'!$B$36,N17+M18-V17)))</f>
        <v>35.117482952196561</v>
      </c>
      <c r="O18" s="14">
        <f>N18*VLOOKUP('Données projet'!$B$9,Paramètres!$A$1:$I$89,3,0)*VLOOKUP('Données projet'!$B$9,Paramètres!$A$1:$I$89,5,0)</f>
        <v>16.434982021627992</v>
      </c>
      <c r="P18" s="14">
        <f t="shared" si="33"/>
        <v>5.4677136175486121</v>
      </c>
      <c r="Q18" s="22">
        <f t="shared" si="2"/>
        <v>38.147194904899251</v>
      </c>
      <c r="R18" s="62">
        <f t="shared" si="0"/>
        <v>242.64394483778028</v>
      </c>
      <c r="S18" s="62">
        <f ca="1">AVERAGE(OFFSET($R$3,0,0,'Données projet'!$E$9+1,1))-AVERAGE(OFFSET($H$3,0,0,'Données projet'!$E$9+1,1))</f>
        <v>189.27804790161417</v>
      </c>
      <c r="T18" s="62">
        <f t="shared" si="34"/>
        <v>212.39018594432073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14.927585237660953</v>
      </c>
      <c r="AK18" s="14">
        <f t="shared" si="35"/>
        <v>5.0221449106318534</v>
      </c>
      <c r="AL18" s="22">
        <f t="shared" si="4"/>
        <v>34.745780008276633</v>
      </c>
      <c r="AM18" s="62">
        <f t="shared" si="5"/>
        <v>239.24252994115767</v>
      </c>
      <c r="AN18" s="62">
        <f ca="1">AVERAGE(OFFSET($AM$3,0,0,'Données projet'!$E$10+1,1))-AVERAGE(OFFSET($H$3,0,0,'Données projet'!$E$10+1,1))</f>
        <v>398.11190027805549</v>
      </c>
      <c r="AO18" s="62">
        <f t="shared" si="36"/>
        <v>250.47702091764884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</v>
      </c>
      <c r="BD18" s="13">
        <f>IF('Données projet'!$A$88&gt;35,BD17+BC18-BL17,IF(A18&lt;'Données projet'!$A$88,$BA$205^A18,IF(A18='Données projet'!$A$88,'Données projet'!$B$88,BD17+BC18-BL17)))</f>
        <v>16.498215337821566</v>
      </c>
      <c r="BE18" s="14">
        <f>BD18*VLOOKUP('Données projet'!$B$11,Paramètres!$A$1:$I$89,3,0)*VLOOKUP('Données projet'!$B$11,Paramètres!$A$1:$I$89,5,0)</f>
        <v>15.699701715471004</v>
      </c>
      <c r="BF18" s="14">
        <f t="shared" si="37"/>
        <v>5.250996235516082</v>
      </c>
      <c r="BG18" s="22">
        <f t="shared" si="7"/>
        <v>36.489132264635835</v>
      </c>
      <c r="BH18" s="62">
        <f t="shared" si="8"/>
        <v>240.98588219751687</v>
      </c>
      <c r="BI18" s="62">
        <f ca="1">AVERAGE(OFFSET($BH$3,0,0,'Données projet'!$E$11+1,1))-AVERAGE(OFFSET($H$3,0,0,'Données projet'!$E$11+1,1))</f>
        <v>414.9045204114143</v>
      </c>
      <c r="BJ18" s="62">
        <f t="shared" si="38"/>
        <v>260.29028006191834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5.75</v>
      </c>
      <c r="N19" s="14">
        <f>IF('Données projet'!$A$36&gt;35,N18+M19-V18,IF(A19&lt;'Données projet'!$A$36,$K$205^A19,IF(A19='Données projet'!$A$36,'Données projet'!$B$36,N18+M19-V18)))</f>
        <v>44.52031948927695</v>
      </c>
      <c r="O19" s="14">
        <f>N19*VLOOKUP('Données projet'!$B$9,Paramètres!$A$1:$I$89,3,0)*VLOOKUP('Données projet'!$B$9,Paramètres!$A$1:$I$89,5,0)</f>
        <v>20.835509520981613</v>
      </c>
      <c r="P19" s="14">
        <f t="shared" si="33"/>
        <v>6.7429104192276883</v>
      </c>
      <c r="Q19" s="22">
        <f t="shared" si="2"/>
        <v>48.03241472919786</v>
      </c>
      <c r="R19" s="62">
        <f t="shared" si="0"/>
        <v>254.97446065131192</v>
      </c>
      <c r="S19" s="62">
        <f ca="1">AVERAGE(OFFSET($R$3,0,0,'Données projet'!$E$9+1,1))-AVERAGE(OFFSET($H$3,0,0,'Données projet'!$E$9+1,1))</f>
        <v>189.27804790161417</v>
      </c>
      <c r="T19" s="62">
        <f t="shared" si="34"/>
        <v>212.39018594432073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17.995007178485412</v>
      </c>
      <c r="AK19" s="14">
        <f t="shared" si="35"/>
        <v>5.9238546434872337</v>
      </c>
      <c r="AL19" s="22">
        <f t="shared" si="4"/>
        <v>41.658684339935689</v>
      </c>
      <c r="AM19" s="62">
        <f t="shared" si="5"/>
        <v>248.60073026204975</v>
      </c>
      <c r="AN19" s="62">
        <f ca="1">AVERAGE(OFFSET($AM$3,0,0,'Données projet'!$E$10+1,1))-AVERAGE(OFFSET($H$3,0,0,'Données projet'!$E$10+1,1))</f>
        <v>398.11190027805549</v>
      </c>
      <c r="AO19" s="62">
        <f t="shared" si="36"/>
        <v>250.47702091764884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</v>
      </c>
      <c r="BD19" s="13">
        <f>IF('Données projet'!$A$88&gt;35,BD18+BC19-BL18,IF(A19&lt;'Données projet'!$A$88,$BA$205^A19,IF(A19='Données projet'!$A$88,'Données projet'!$B$88,BD18+BC19-BL18)))</f>
        <v>19.888381054913147</v>
      </c>
      <c r="BE19" s="14">
        <f>BD19*VLOOKUP('Données projet'!$B$11,Paramètres!$A$1:$I$89,3,0)*VLOOKUP('Données projet'!$B$11,Paramètres!$A$1:$I$89,5,0)</f>
        <v>18.925783411855349</v>
      </c>
      <c r="BF19" s="14">
        <f t="shared" si="37"/>
        <v>6.1937954770768169</v>
      </c>
      <c r="BG19" s="22">
        <f t="shared" si="7"/>
        <v>43.749933231556859</v>
      </c>
      <c r="BH19" s="62">
        <f t="shared" si="8"/>
        <v>250.69197915367093</v>
      </c>
      <c r="BI19" s="62">
        <f ca="1">AVERAGE(OFFSET($BH$3,0,0,'Données projet'!$E$11+1,1))-AVERAGE(OFFSET($H$3,0,0,'Données projet'!$E$11+1,1))</f>
        <v>414.9045204114143</v>
      </c>
      <c r="BJ19" s="62">
        <f t="shared" si="38"/>
        <v>260.29028006191834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5.75</v>
      </c>
      <c r="N20" s="14">
        <f>IF('Données projet'!$A$36&gt;35,N19+M20-V19,IF(A20&lt;'Données projet'!$A$36,$K$205^A20,IF(A20='Données projet'!$A$36,'Données projet'!$B$36,N19+M20-V19)))</f>
        <v>56.440800444763006</v>
      </c>
      <c r="O20" s="14">
        <f>N20*VLOOKUP('Données projet'!$B$9,Paramètres!$A$1:$I$89,3,0)*VLOOKUP('Données projet'!$B$9,Paramètres!$A$1:$I$89,5,0)</f>
        <v>26.414294608149088</v>
      </c>
      <c r="P20" s="14">
        <f t="shared" si="33"/>
        <v>8.3155124979120405</v>
      </c>
      <c r="Q20" s="22">
        <f t="shared" si="2"/>
        <v>60.487747376389791</v>
      </c>
      <c r="R20" s="62">
        <f t="shared" si="0"/>
        <v>269.85387169226249</v>
      </c>
      <c r="S20" s="62">
        <f ca="1">AVERAGE(OFFSET($R$3,0,0,'Données projet'!$E$9+1,1))-AVERAGE(OFFSET($H$3,0,0,'Données projet'!$E$9+1,1))</f>
        <v>189.27804790161417</v>
      </c>
      <c r="T20" s="62">
        <f t="shared" si="34"/>
        <v>212.39018594432073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21.692743883101215</v>
      </c>
      <c r="AK20" s="14">
        <f t="shared" si="35"/>
        <v>6.98746341685115</v>
      </c>
      <c r="AL20" s="22">
        <f t="shared" si="4"/>
        <v>49.951361047417038</v>
      </c>
      <c r="AM20" s="62">
        <f t="shared" si="5"/>
        <v>259.31748536328973</v>
      </c>
      <c r="AN20" s="62">
        <f ca="1">AVERAGE(OFFSET($AM$3,0,0,'Données projet'!$E$10+1,1))-AVERAGE(OFFSET($H$3,0,0,'Données projet'!$E$10+1,1))</f>
        <v>398.11190027805549</v>
      </c>
      <c r="AO20" s="62">
        <f t="shared" si="36"/>
        <v>250.47702091764884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</v>
      </c>
      <c r="BD20" s="13">
        <f>IF('Données projet'!$A$88&gt;35,BD19+BC20-BL19,IF(A20&lt;'Données projet'!$A$88,$BA$205^A20,IF(A20='Données projet'!$A$88,'Données projet'!$B$88,BD19+BC20-BL19)))</f>
        <v>23.975181126327602</v>
      </c>
      <c r="BE20" s="14">
        <f>BD20*VLOOKUP('Données projet'!$B$11,Paramètres!$A$1:$I$89,3,0)*VLOOKUP('Données projet'!$B$11,Paramètres!$A$1:$I$89,5,0)</f>
        <v>22.814782359813346</v>
      </c>
      <c r="BF20" s="14">
        <f t="shared" si="37"/>
        <v>7.3058712463706073</v>
      </c>
      <c r="BG20" s="22">
        <f t="shared" si="7"/>
        <v>52.46013836410372</v>
      </c>
      <c r="BH20" s="62">
        <f t="shared" si="8"/>
        <v>261.82626267997642</v>
      </c>
      <c r="BI20" s="62">
        <f ca="1">AVERAGE(OFFSET($BH$3,0,0,'Données projet'!$E$11+1,1))-AVERAGE(OFFSET($H$3,0,0,'Données projet'!$E$11+1,1))</f>
        <v>414.9045204114143</v>
      </c>
      <c r="BJ20" s="62">
        <f t="shared" si="38"/>
        <v>260.29028006191834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5.75</v>
      </c>
      <c r="N21" s="14">
        <f>IF('Données projet'!$A$36&gt;35,N20+M21-V20,IF(A21&lt;'Données projet'!$A$36,$K$205^A21,IF(A21='Données projet'!$A$36,'Données projet'!$B$36,N20+M21-V20)))</f>
        <v>71.55303446582019</v>
      </c>
      <c r="O21" s="14">
        <f>N21*VLOOKUP('Données projet'!$B$9,Paramètres!$A$1:$I$89,3,0)*VLOOKUP('Données projet'!$B$9,Paramètres!$A$1:$I$89,5,0)</f>
        <v>33.486820130003849</v>
      </c>
      <c r="P21" s="14">
        <f t="shared" si="33"/>
        <v>10.254881616957807</v>
      </c>
      <c r="Q21" s="22">
        <f t="shared" si="2"/>
        <v>76.183463875958196</v>
      </c>
      <c r="R21" s="62">
        <f t="shared" si="0"/>
        <v>287.95281706796129</v>
      </c>
      <c r="S21" s="62">
        <f ca="1">AVERAGE(OFFSET($R$3,0,0,'Données projet'!$E$9+1,1))-AVERAGE(OFFSET($H$3,0,0,'Données projet'!$E$9+1,1))</f>
        <v>189.27804790161417</v>
      </c>
      <c r="T21" s="62">
        <f t="shared" si="34"/>
        <v>212.39018594432073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26.150316724543362</v>
      </c>
      <c r="AK21" s="14">
        <f t="shared" si="35"/>
        <v>8.2420396752158016</v>
      </c>
      <c r="AL21" s="22">
        <f t="shared" si="4"/>
        <v>59.900020729580547</v>
      </c>
      <c r="AM21" s="62">
        <f t="shared" si="5"/>
        <v>271.66937392158366</v>
      </c>
      <c r="AN21" s="62">
        <f ca="1">AVERAGE(OFFSET($AM$3,0,0,'Données projet'!$E$10+1,1))-AVERAGE(OFFSET($H$3,0,0,'Données projet'!$E$10+1,1))</f>
        <v>398.11190027805549</v>
      </c>
      <c r="AO21" s="62">
        <f t="shared" si="36"/>
        <v>250.47702091764884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</v>
      </c>
      <c r="BD21" s="13">
        <f>IF('Données projet'!$A$88&gt;35,BD20+BC21-BL20,IF(A21&lt;'Données projet'!$A$88,$BA$205^A21,IF(A21='Données projet'!$A$88,'Données projet'!$B$88,BD20+BC21-BL20)))</f>
        <v>28.901764726506816</v>
      </c>
      <c r="BE21" s="14">
        <f>BD21*VLOOKUP('Données projet'!$B$11,Paramètres!$A$1:$I$89,3,0)*VLOOKUP('Données projet'!$B$11,Paramètres!$A$1:$I$89,5,0)</f>
        <v>27.502919313743888</v>
      </c>
      <c r="BF21" s="14">
        <f t="shared" si="37"/>
        <v>8.6176165916501422</v>
      </c>
      <c r="BG21" s="22">
        <f t="shared" si="7"/>
        <v>62.909933368561269</v>
      </c>
      <c r="BH21" s="62">
        <f t="shared" si="8"/>
        <v>274.67928656056438</v>
      </c>
      <c r="BI21" s="62">
        <f ca="1">AVERAGE(OFFSET($BH$3,0,0,'Données projet'!$E$11+1,1))-AVERAGE(OFFSET($H$3,0,0,'Données projet'!$E$11+1,1))</f>
        <v>414.9045204114143</v>
      </c>
      <c r="BJ21" s="62">
        <f t="shared" si="38"/>
        <v>260.29028006191834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5.75</v>
      </c>
      <c r="N22" s="14">
        <f>IF('Données projet'!$A$36&gt;35,N21+M22-V21,IF(A22&lt;'Données projet'!$A$36,$K$205^A22,IF(A22='Données projet'!$A$36,'Données projet'!$B$36,N21+M22-V21)))</f>
        <v>90.711625294497551</v>
      </c>
      <c r="O22" s="14">
        <f>N22*VLOOKUP('Données projet'!$B$9,Paramètres!$A$1:$I$89,3,0)*VLOOKUP('Données projet'!$B$9,Paramètres!$A$1:$I$89,5,0)</f>
        <v>42.453040637824856</v>
      </c>
      <c r="P22" s="14">
        <f t="shared" si="33"/>
        <v>12.646556301156998</v>
      </c>
      <c r="Q22" s="22">
        <f t="shared" si="2"/>
        <v>95.96513133539338</v>
      </c>
      <c r="R22" s="62">
        <f t="shared" si="0"/>
        <v>310.11722557841688</v>
      </c>
      <c r="S22" s="62">
        <f ca="1">AVERAGE(OFFSET($R$3,0,0,'Données projet'!$E$9+1,1))-AVERAGE(OFFSET($H$3,0,0,'Données projet'!$E$9+1,1))</f>
        <v>189.27804790161417</v>
      </c>
      <c r="T22" s="62">
        <f t="shared" si="34"/>
        <v>212.39018594432073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31.52386201022027</v>
      </c>
      <c r="AK22" s="14">
        <f t="shared" si="35"/>
        <v>9.7218710074397983</v>
      </c>
      <c r="AL22" s="22">
        <f t="shared" si="4"/>
        <v>71.836318339091292</v>
      </c>
      <c r="AM22" s="62">
        <f t="shared" si="5"/>
        <v>285.98841258211485</v>
      </c>
      <c r="AN22" s="62">
        <f ca="1">AVERAGE(OFFSET($AM$3,0,0,'Données projet'!$E$10+1,1))-AVERAGE(OFFSET($H$3,0,0,'Données projet'!$E$10+1,1))</f>
        <v>398.11190027805549</v>
      </c>
      <c r="AO22" s="62">
        <f t="shared" si="36"/>
        <v>250.47702091764884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</v>
      </c>
      <c r="BD22" s="13">
        <f>IF('Données projet'!$A$88&gt;35,BD21+BC22-BL21,IF(A22&lt;'Données projet'!$A$88,$BA$205^A22,IF(A22='Données projet'!$A$88,'Données projet'!$B$88,BD21+BC22-BL21)))</f>
        <v>34.840696297767764</v>
      </c>
      <c r="BE22" s="14">
        <f>BD22*VLOOKUP('Données projet'!$B$11,Paramètres!$A$1:$I$89,3,0)*VLOOKUP('Données projet'!$B$11,Paramètres!$A$1:$I$89,5,0)</f>
        <v>33.154406596955802</v>
      </c>
      <c r="BF22" s="14">
        <f t="shared" si="37"/>
        <v>10.16488153381791</v>
      </c>
      <c r="BG22" s="22">
        <f t="shared" si="7"/>
        <v>75.447760161097548</v>
      </c>
      <c r="BH22" s="62">
        <f t="shared" si="8"/>
        <v>289.59985440412106</v>
      </c>
      <c r="BI22" s="62">
        <f ca="1">AVERAGE(OFFSET($BH$3,0,0,'Données projet'!$E$11+1,1))-AVERAGE(OFFSET($H$3,0,0,'Données projet'!$E$11+1,1))</f>
        <v>414.9045204114143</v>
      </c>
      <c r="BJ22" s="62">
        <f t="shared" si="38"/>
        <v>260.29028006191834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115</v>
      </c>
      <c r="L23" s="13">
        <f>VLOOKUP(A23,'Données projet'!$A$35:$I$55,9,0)</f>
        <v>5.75</v>
      </c>
      <c r="M23" s="13">
        <f t="array" ref="M23">INDEX(L:L,MIN(IF(ISNUMBER(L23:L219),ROW(L23:L219),"")))</f>
        <v>5.75</v>
      </c>
      <c r="N23" s="14">
        <f>IF('Données projet'!$A$36&gt;35,N22+M23-V22,IF(A23&lt;'Données projet'!$A$36,$K$205^A23,IF(A23='Données projet'!$A$36,'Données projet'!$B$36,N22+M23-V22)))</f>
        <v>115</v>
      </c>
      <c r="O23" s="14">
        <f>N23*VLOOKUP('Données projet'!$B$9,Paramètres!$A$1:$I$89,3,0)*VLOOKUP('Données projet'!$B$9,Paramètres!$A$1:$I$89,5,0)</f>
        <v>53.82</v>
      </c>
      <c r="P23" s="14">
        <f t="shared" si="33"/>
        <v>15.596024630246266</v>
      </c>
      <c r="Q23" s="22">
        <f t="shared" si="2"/>
        <v>120.89957623101225</v>
      </c>
      <c r="R23" s="62">
        <f t="shared" si="0"/>
        <v>337.41427911790799</v>
      </c>
      <c r="S23" s="62">
        <f ca="1">AVERAGE(OFFSET($R$3,0,0,'Données projet'!$E$9+1,1))-AVERAGE(OFFSET($H$3,0,0,'Données projet'!$E$9+1,1))</f>
        <v>189.27804790161417</v>
      </c>
      <c r="T23" s="62">
        <f t="shared" si="34"/>
        <v>212.39018594432073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30</v>
      </c>
      <c r="W23" s="17">
        <f>IF(ISNA(VLOOKUP(A23,'Données projet'!$A$35:$I$55,5,0)),0%,VLOOKUP(A23,'Données projet'!$A$35:$I$55,5,0)*VLOOKUP('Données projet'!$B$9,Paramètres!$A$1:$I$89,7,0))</f>
        <v>5.5000000000000007E-2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1.024373072490413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1.024373072490413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38.001600000000003</v>
      </c>
      <c r="AK23" s="14">
        <f t="shared" si="35"/>
        <v>11.467401227090512</v>
      </c>
      <c r="AL23" s="22">
        <f t="shared" si="4"/>
        <v>86.158510470515978</v>
      </c>
      <c r="AM23" s="62">
        <f t="shared" si="5"/>
        <v>302.67321335741167</v>
      </c>
      <c r="AN23" s="62">
        <f ca="1">AVERAGE(OFFSET($AM$3,0,0,'Données projet'!$E$10+1,1))-AVERAGE(OFFSET($H$3,0,0,'Données projet'!$E$10+1,1))</f>
        <v>398.11190027805549</v>
      </c>
      <c r="AO23" s="62">
        <f t="shared" si="36"/>
        <v>250.47702091764884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42</v>
      </c>
      <c r="BB23" s="13">
        <f>VLOOKUP(A23,'Données projet'!$A$87:$I$107,9,0)</f>
        <v>2.1</v>
      </c>
      <c r="BC23" s="13">
        <f t="array" ref="BC23">INDEX(BB:BB,MIN(IF(ISNUMBER(BB23:BB219),ROW(BB23:BB219),"")))</f>
        <v>2.1</v>
      </c>
      <c r="BD23" s="13">
        <f>IF('Données projet'!$A$88&gt;35,BD22+BC23-BL22,IF(A23&lt;'Données projet'!$A$88,$BA$205^A23,IF(A23='Données projet'!$A$88,'Données projet'!$B$88,BD22+BC23-BL22)))</f>
        <v>42</v>
      </c>
      <c r="BE23" s="14">
        <f>BD23*VLOOKUP('Données projet'!$B$11,Paramètres!$A$1:$I$89,3,0)*VLOOKUP('Données projet'!$B$11,Paramètres!$A$1:$I$89,5,0)</f>
        <v>39.967200000000005</v>
      </c>
      <c r="BF23" s="14">
        <f t="shared" si="37"/>
        <v>11.989952848060872</v>
      </c>
      <c r="BG23" s="22">
        <f t="shared" si="7"/>
        <v>90.49204121037269</v>
      </c>
      <c r="BH23" s="62">
        <f t="shared" si="8"/>
        <v>307.00674409726844</v>
      </c>
      <c r="BI23" s="62">
        <f ca="1">AVERAGE(OFFSET($BH$3,0,0,'Données projet'!$E$11+1,1))-AVERAGE(OFFSET($H$3,0,0,'Données projet'!$E$11+1,1))</f>
        <v>414.9045204114143</v>
      </c>
      <c r="BJ23" s="62">
        <f t="shared" si="38"/>
        <v>260.29028006191834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6.5</v>
      </c>
      <c r="N24" s="14">
        <f>IF('Données projet'!$A$36&gt;35,N23+M24-V23,IF(A24&lt;'Données projet'!$A$36,$K$205^A24,IF(A24='Données projet'!$A$36,'Données projet'!$B$36,N23+M24-V23)))</f>
        <v>91.5</v>
      </c>
      <c r="O24" s="14">
        <f>N24*VLOOKUP('Données projet'!$B$9,Paramètres!$A$1:$I$89,3,0)*VLOOKUP('Données projet'!$B$9,Paramètres!$A$1:$I$89,5,0)</f>
        <v>42.821999999999996</v>
      </c>
      <c r="P24" s="14">
        <f t="shared" si="33"/>
        <v>12.743624886701214</v>
      </c>
      <c r="Q24" s="22">
        <f t="shared" si="2"/>
        <v>96.776796677671271</v>
      </c>
      <c r="R24" s="62">
        <f t="shared" si="0"/>
        <v>315.63432505354564</v>
      </c>
      <c r="S24" s="62">
        <f ca="1">AVERAGE(OFFSET($R$3,0,0,'Données projet'!$E$9+1,1))-AVERAGE(OFFSET($H$3,0,0,'Données projet'!$E$9+1,1))</f>
        <v>189.27804790161417</v>
      </c>
      <c r="T24" s="62">
        <f t="shared" si="34"/>
        <v>212.39018594432073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1.0042857413447557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1.0042857413447557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43.068480000000001</v>
      </c>
      <c r="AK24" s="14">
        <f t="shared" si="35"/>
        <v>12.808416415102187</v>
      </c>
      <c r="AL24" s="22">
        <f t="shared" si="4"/>
        <v>97.318927922969635</v>
      </c>
      <c r="AM24" s="62">
        <f t="shared" si="5"/>
        <v>316.17645629884402</v>
      </c>
      <c r="AN24" s="62">
        <f ca="1">AVERAGE(OFFSET($AM$3,0,0,'Données projet'!$E$10+1,1))-AVERAGE(OFFSET($H$3,0,0,'Données projet'!$E$10+1,1))</f>
        <v>398.11190027805549</v>
      </c>
      <c r="AO24" s="62">
        <f t="shared" si="36"/>
        <v>250.47702091764884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5.6</v>
      </c>
      <c r="BD24" s="13">
        <f>IF('Données projet'!$A$88&gt;35,BD23+BC24-BL23,IF(A24&lt;'Données projet'!$A$88,$BA$205^A24,IF(A24='Données projet'!$A$88,'Données projet'!$B$88,BD23+BC24-BL23)))</f>
        <v>47.6</v>
      </c>
      <c r="BE24" s="14">
        <f>BD24*VLOOKUP('Données projet'!$B$11,Paramètres!$A$1:$I$89,3,0)*VLOOKUP('Données projet'!$B$11,Paramètres!$A$1:$I$89,5,0)</f>
        <v>45.29616</v>
      </c>
      <c r="BF24" s="14">
        <f t="shared" si="37"/>
        <v>13.39207601043956</v>
      </c>
      <c r="BG24" s="22">
        <f t="shared" si="7"/>
        <v>102.21534438484889</v>
      </c>
      <c r="BH24" s="62">
        <f t="shared" si="8"/>
        <v>321.07287276072327</v>
      </c>
      <c r="BI24" s="62">
        <f ca="1">AVERAGE(OFFSET($BH$3,0,0,'Données projet'!$E$11+1,1))-AVERAGE(OFFSET($H$3,0,0,'Données projet'!$E$11+1,1))</f>
        <v>414.9045204114143</v>
      </c>
      <c r="BJ24" s="62">
        <f t="shared" si="38"/>
        <v>260.29028006191834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6.5</v>
      </c>
      <c r="N25" s="14">
        <f>IF('Données projet'!$A$36&gt;35,N24+M25-V24,IF(A25&lt;'Données projet'!$A$36,$K$205^A25,IF(A25='Données projet'!$A$36,'Données projet'!$B$36,N24+M25-V24)))</f>
        <v>98</v>
      </c>
      <c r="O25" s="14">
        <f>N25*VLOOKUP('Données projet'!$B$9,Paramètres!$A$1:$I$89,3,0)*VLOOKUP('Données projet'!$B$9,Paramètres!$A$1:$I$89,5,0)</f>
        <v>45.864000000000004</v>
      </c>
      <c r="P25" s="14">
        <f t="shared" si="33"/>
        <v>13.540311673175401</v>
      </c>
      <c r="Q25" s="22">
        <f t="shared" si="2"/>
        <v>103.46250949744717</v>
      </c>
      <c r="R25" s="62">
        <f t="shared" si="0"/>
        <v>324.64342340091559</v>
      </c>
      <c r="S25" s="62">
        <f ca="1">AVERAGE(OFFSET($R$3,0,0,'Données projet'!$E$9+1,1))-AVERAGE(OFFSET($H$3,0,0,'Données projet'!$E$9+1,1))</f>
        <v>189.27804790161417</v>
      </c>
      <c r="T25" s="62">
        <f t="shared" si="34"/>
        <v>212.39018594432073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0.98459231051080254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0.98459231051080254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48.135359999999999</v>
      </c>
      <c r="AK25" s="14">
        <f t="shared" si="35"/>
        <v>14.131148275361113</v>
      </c>
      <c r="AL25" s="22">
        <f t="shared" si="4"/>
        <v>108.4475019129206</v>
      </c>
      <c r="AM25" s="62">
        <f t="shared" si="5"/>
        <v>329.62841581638901</v>
      </c>
      <c r="AN25" s="62">
        <f ca="1">AVERAGE(OFFSET($AM$3,0,0,'Données projet'!$E$10+1,1))-AVERAGE(OFFSET($H$3,0,0,'Données projet'!$E$10+1,1))</f>
        <v>398.11190027805549</v>
      </c>
      <c r="AO25" s="62">
        <f t="shared" si="36"/>
        <v>250.47702091764884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5.6</v>
      </c>
      <c r="BD25" s="13">
        <f>IF('Données projet'!$A$88&gt;35,BD24+BC25-BL24,IF(A25&lt;'Données projet'!$A$88,$BA$205^A25,IF(A25='Données projet'!$A$88,'Données projet'!$B$88,BD24+BC25-BL24)))</f>
        <v>53.2</v>
      </c>
      <c r="BE25" s="14">
        <f>BD25*VLOOKUP('Données projet'!$B$11,Paramètres!$A$1:$I$89,3,0)*VLOOKUP('Données projet'!$B$11,Paramètres!$A$1:$I$89,5,0)</f>
        <v>50.625119999999995</v>
      </c>
      <c r="BF25" s="14">
        <f t="shared" si="37"/>
        <v>14.77508270228409</v>
      </c>
      <c r="BG25" s="22">
        <f t="shared" si="7"/>
        <v>113.90535303981146</v>
      </c>
      <c r="BH25" s="62">
        <f t="shared" si="8"/>
        <v>335.08626694327984</v>
      </c>
      <c r="BI25" s="62">
        <f ca="1">AVERAGE(OFFSET($BH$3,0,0,'Données projet'!$E$11+1,1))-AVERAGE(OFFSET($H$3,0,0,'Données projet'!$E$11+1,1))</f>
        <v>414.9045204114143</v>
      </c>
      <c r="BJ25" s="62">
        <f t="shared" si="38"/>
        <v>260.29028006191834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6.5</v>
      </c>
      <c r="N26" s="14">
        <f>IF('Données projet'!$A$36&gt;35,N25+M26-V25,IF(A26&lt;'Données projet'!$A$36,$K$205^A26,IF(A26='Données projet'!$A$36,'Données projet'!$B$36,N25+M26-V25)))</f>
        <v>104.5</v>
      </c>
      <c r="O26" s="14">
        <f>N26*VLOOKUP('Données projet'!$B$9,Paramètres!$A$1:$I$89,3,0)*VLOOKUP('Données projet'!$B$9,Paramètres!$A$1:$I$89,5,0)</f>
        <v>48.905999999999999</v>
      </c>
      <c r="P26" s="14">
        <f t="shared" si="33"/>
        <v>14.330866650402026</v>
      </c>
      <c r="Q26" s="22">
        <f t="shared" si="2"/>
        <v>110.13754274945018</v>
      </c>
      <c r="R26" s="62">
        <f t="shared" si="0"/>
        <v>333.62273945899665</v>
      </c>
      <c r="S26" s="62">
        <f ca="1">AVERAGE(OFFSET($R$3,0,0,'Données projet'!$E$9+1,1))-AVERAGE(OFFSET($H$3,0,0,'Données projet'!$E$9+1,1))</f>
        <v>189.27804790161417</v>
      </c>
      <c r="T26" s="62">
        <f t="shared" si="34"/>
        <v>212.39018594432073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0.9652850558436965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0.9652850558436965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53.202240000000003</v>
      </c>
      <c r="AK26" s="14">
        <f t="shared" si="35"/>
        <v>15.437740642425908</v>
      </c>
      <c r="AL26" s="22">
        <f t="shared" si="4"/>
        <v>119.54796628555846</v>
      </c>
      <c r="AM26" s="62">
        <f t="shared" si="5"/>
        <v>343.03316299510493</v>
      </c>
      <c r="AN26" s="62">
        <f ca="1">AVERAGE(OFFSET($AM$3,0,0,'Données projet'!$E$10+1,1))-AVERAGE(OFFSET($H$3,0,0,'Données projet'!$E$10+1,1))</f>
        <v>398.11190027805549</v>
      </c>
      <c r="AO26" s="62">
        <f t="shared" si="36"/>
        <v>250.47702091764884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5.6</v>
      </c>
      <c r="BD26" s="13">
        <f>IF('Données projet'!$A$88&gt;35,BD25+BC26-BL25,IF(A26&lt;'Données projet'!$A$88,$BA$205^A26,IF(A26='Données projet'!$A$88,'Données projet'!$B$88,BD25+BC26-BL25)))</f>
        <v>58.800000000000004</v>
      </c>
      <c r="BE26" s="14">
        <f>BD26*VLOOKUP('Données projet'!$B$11,Paramètres!$A$1:$I$89,3,0)*VLOOKUP('Données projet'!$B$11,Paramètres!$A$1:$I$89,5,0)</f>
        <v>55.954080000000005</v>
      </c>
      <c r="BF26" s="14">
        <f t="shared" si="37"/>
        <v>16.141214449356298</v>
      </c>
      <c r="BG26" s="22">
        <f t="shared" si="7"/>
        <v>125.56597116596221</v>
      </c>
      <c r="BH26" s="62">
        <f t="shared" si="8"/>
        <v>349.05116787550872</v>
      </c>
      <c r="BI26" s="62">
        <f ca="1">AVERAGE(OFFSET($BH$3,0,0,'Données projet'!$E$11+1,1))-AVERAGE(OFFSET($H$3,0,0,'Données projet'!$E$11+1,1))</f>
        <v>414.9045204114143</v>
      </c>
      <c r="BJ26" s="62">
        <f t="shared" si="38"/>
        <v>260.29028006191834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6.5</v>
      </c>
      <c r="N27" s="14">
        <f>IF('Données projet'!$A$36&gt;35,N26+M27-V26,IF(A27&lt;'Données projet'!$A$36,$K$205^A27,IF(A27='Données projet'!$A$36,'Données projet'!$B$36,N26+M27-V26)))</f>
        <v>111</v>
      </c>
      <c r="O27" s="14">
        <f>N27*VLOOKUP('Données projet'!$B$9,Paramètres!$A$1:$I$89,3,0)*VLOOKUP('Données projet'!$B$9,Paramètres!$A$1:$I$89,5,0)</f>
        <v>51.948</v>
      </c>
      <c r="P27" s="14">
        <f t="shared" si="33"/>
        <v>15.115714645211892</v>
      </c>
      <c r="Q27" s="22">
        <f t="shared" si="2"/>
        <v>116.8026363404107</v>
      </c>
      <c r="R27" s="62">
        <f t="shared" si="0"/>
        <v>342.57334452403052</v>
      </c>
      <c r="S27" s="62">
        <f ca="1">AVERAGE(OFFSET($R$3,0,0,'Données projet'!$E$9+1,1))-AVERAGE(OFFSET($H$3,0,0,'Données projet'!$E$9+1,1))</f>
        <v>189.27804790161417</v>
      </c>
      <c r="T27" s="62">
        <f t="shared" si="34"/>
        <v>212.39018594432073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0.94635640466434989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0.94635640466434989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58.269120000000008</v>
      </c>
      <c r="AK27" s="14">
        <f t="shared" si="35"/>
        <v>16.729905486873804</v>
      </c>
      <c r="AL27" s="22">
        <f t="shared" si="4"/>
        <v>130.62330272297189</v>
      </c>
      <c r="AM27" s="62">
        <f t="shared" si="5"/>
        <v>356.39401090659169</v>
      </c>
      <c r="AN27" s="62">
        <f ca="1">AVERAGE(OFFSET($AM$3,0,0,'Données projet'!$E$10+1,1))-AVERAGE(OFFSET($H$3,0,0,'Données projet'!$E$10+1,1))</f>
        <v>398.11190027805549</v>
      </c>
      <c r="AO27" s="62">
        <f t="shared" si="36"/>
        <v>250.47702091764884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5.6</v>
      </c>
      <c r="BD27" s="13">
        <f>IF('Données projet'!$A$88&gt;35,BD26+BC27-BL26,IF(A27&lt;'Données projet'!$A$88,$BA$205^A27,IF(A27='Données projet'!$A$88,'Données projet'!$B$88,BD26+BC27-BL26)))</f>
        <v>64.400000000000006</v>
      </c>
      <c r="BE27" s="14">
        <f>BD27*VLOOKUP('Données projet'!$B$11,Paramètres!$A$1:$I$89,3,0)*VLOOKUP('Données projet'!$B$11,Paramètres!$A$1:$I$89,5,0)</f>
        <v>61.283040000000014</v>
      </c>
      <c r="BF27" s="14">
        <f t="shared" si="37"/>
        <v>17.492261234067353</v>
      </c>
      <c r="BG27" s="22">
        <f t="shared" si="7"/>
        <v>137.20031631600065</v>
      </c>
      <c r="BH27" s="62">
        <f t="shared" si="8"/>
        <v>362.97102449962046</v>
      </c>
      <c r="BI27" s="62">
        <f ca="1">AVERAGE(OFFSET($BH$3,0,0,'Données projet'!$E$11+1,1))-AVERAGE(OFFSET($H$3,0,0,'Données projet'!$E$11+1,1))</f>
        <v>414.9045204114143</v>
      </c>
      <c r="BJ27" s="62">
        <f t="shared" si="38"/>
        <v>260.29028006191834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6.5</v>
      </c>
      <c r="N28" s="14">
        <f>IF('Données projet'!$A$36&gt;35,N27+M28-V27,IF(A28&lt;'Données projet'!$A$36,$K$205^A28,IF(A28='Données projet'!$A$36,'Données projet'!$B$36,N27+M28-V27)))</f>
        <v>117.5</v>
      </c>
      <c r="O28" s="14">
        <f>N28*VLOOKUP('Données projet'!$B$9,Paramètres!$A$1:$I$89,3,0)*VLOOKUP('Données projet'!$B$9,Paramètres!$A$1:$I$89,5,0)</f>
        <v>54.989999999999995</v>
      </c>
      <c r="P28" s="14">
        <f t="shared" si="33"/>
        <v>15.895227919347008</v>
      </c>
      <c r="Q28" s="22">
        <f t="shared" si="2"/>
        <v>123.45843862619603</v>
      </c>
      <c r="R28" s="62">
        <f t="shared" si="0"/>
        <v>351.49621259252814</v>
      </c>
      <c r="S28" s="62">
        <f ca="1">AVERAGE(OFFSET($R$3,0,0,'Données projet'!$E$9+1,1))-AVERAGE(OFFSET($H$3,0,0,'Données projet'!$E$9+1,1))</f>
        <v>189.27804790161417</v>
      </c>
      <c r="T28" s="62">
        <f t="shared" si="34"/>
        <v>212.39018594432073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0.92779893278929304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0.92779893278929304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63.335999999999991</v>
      </c>
      <c r="AK28" s="14">
        <f t="shared" si="35"/>
        <v>18.009040022946227</v>
      </c>
      <c r="AL28" s="22">
        <f t="shared" si="4"/>
        <v>141.67594470663133</v>
      </c>
      <c r="AM28" s="62">
        <f t="shared" si="5"/>
        <v>369.71371867296341</v>
      </c>
      <c r="AN28" s="62">
        <f ca="1">AVERAGE(OFFSET($AM$3,0,0,'Données projet'!$E$10+1,1))-AVERAGE(OFFSET($H$3,0,0,'Données projet'!$E$10+1,1))</f>
        <v>398.11190027805549</v>
      </c>
      <c r="AO28" s="62">
        <f t="shared" si="36"/>
        <v>250.47702091764884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70</v>
      </c>
      <c r="BB28" s="13">
        <f>VLOOKUP(A28,'Données projet'!$A$87:$I$107,9,0)</f>
        <v>5.6</v>
      </c>
      <c r="BC28" s="13">
        <f t="array" ref="BC28">INDEX(BB:BB,MIN(IF(ISNUMBER(BB28:BB224),ROW(BB28:BB224),"")))</f>
        <v>5.6</v>
      </c>
      <c r="BD28" s="13">
        <f>IF('Données projet'!$A$88&gt;35,BD27+BC28-BL27,IF(A28&lt;'Données projet'!$A$88,$BA$205^A28,IF(A28='Données projet'!$A$88,'Données projet'!$B$88,BD27+BC28-BL27)))</f>
        <v>70</v>
      </c>
      <c r="BE28" s="14">
        <f>BD28*VLOOKUP('Données projet'!$B$11,Paramètres!$A$1:$I$89,3,0)*VLOOKUP('Données projet'!$B$11,Paramètres!$A$1:$I$89,5,0)</f>
        <v>66.611999999999995</v>
      </c>
      <c r="BF28" s="14">
        <f t="shared" si="37"/>
        <v>18.829683939536395</v>
      </c>
      <c r="BG28" s="22">
        <f t="shared" si="7"/>
        <v>148.81093286135922</v>
      </c>
      <c r="BH28" s="62">
        <f t="shared" si="8"/>
        <v>376.84870682769133</v>
      </c>
      <c r="BI28" s="62">
        <f ca="1">AVERAGE(OFFSET($BH$3,0,0,'Données projet'!$E$11+1,1))-AVERAGE(OFFSET($H$3,0,0,'Données projet'!$E$11+1,1))</f>
        <v>414.9045204114143</v>
      </c>
      <c r="BJ28" s="62">
        <f t="shared" si="38"/>
        <v>260.29028006191834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6.5</v>
      </c>
      <c r="N29" s="14">
        <f>IF('Données projet'!$A$36&gt;35,N28+M29-V28,IF(A29&lt;'Données projet'!$A$36,$K$205^A29,IF(A29='Données projet'!$A$36,'Données projet'!$B$36,N28+M29-V28)))</f>
        <v>124</v>
      </c>
      <c r="O29" s="14">
        <f>N29*VLOOKUP('Données projet'!$B$9,Paramètres!$A$1:$I$89,3,0)*VLOOKUP('Données projet'!$B$9,Paramètres!$A$1:$I$89,5,0)</f>
        <v>58.032000000000004</v>
      </c>
      <c r="P29" s="14">
        <f t="shared" si="33"/>
        <v>16.669735221992795</v>
      </c>
      <c r="Q29" s="22">
        <f t="shared" si="2"/>
        <v>130.10552217830414</v>
      </c>
      <c r="R29" s="62">
        <f t="shared" si="0"/>
        <v>360.39223622749432</v>
      </c>
      <c r="S29" s="62">
        <f ca="1">AVERAGE(OFFSET($R$3,0,0,'Données projet'!$E$9+1,1))-AVERAGE(OFFSET($H$3,0,0,'Données projet'!$E$9+1,1))</f>
        <v>189.27804790161417</v>
      </c>
      <c r="T29" s="62">
        <f t="shared" si="34"/>
        <v>212.39018594432073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0.90960536161876593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0.90960536161876593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69</v>
      </c>
      <c r="AJ29" s="14">
        <f>AI29*VLOOKUP('Données projet'!$B$10,Paramètres!$A$1:$I$89,3,0)*VLOOKUP('Données projet'!$B$10,Paramètres!$A$1:$I$89,5,0)</f>
        <v>62.431199999999997</v>
      </c>
      <c r="AK29" s="14">
        <f t="shared" si="35"/>
        <v>17.781524466058684</v>
      </c>
      <c r="AL29" s="22">
        <f t="shared" si="4"/>
        <v>139.70382844505221</v>
      </c>
      <c r="AM29" s="62">
        <f t="shared" si="5"/>
        <v>369.99054249424239</v>
      </c>
      <c r="AN29" s="62">
        <f ca="1">AVERAGE(OFFSET($AM$3,0,0,'Données projet'!$E$10+1,1))-AVERAGE(OFFSET($H$3,0,0,'Données projet'!$E$10+1,1))</f>
        <v>398.11190027805549</v>
      </c>
      <c r="AO29" s="62">
        <f t="shared" si="36"/>
        <v>250.47702091764884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69</v>
      </c>
      <c r="BE29" s="14">
        <f>BD29*VLOOKUP('Données projet'!$B$11,Paramètres!$A$1:$I$89,3,0)*VLOOKUP('Données projet'!$B$11,Paramètres!$A$1:$I$89,5,0)</f>
        <v>65.660399999999996</v>
      </c>
      <c r="BF29" s="14">
        <f t="shared" si="37"/>
        <v>18.591800852927584</v>
      </c>
      <c r="BG29" s="22">
        <f t="shared" si="7"/>
        <v>146.73924981884886</v>
      </c>
      <c r="BH29" s="62">
        <f t="shared" si="8"/>
        <v>377.02596386803907</v>
      </c>
      <c r="BI29" s="62">
        <f ca="1">AVERAGE(OFFSET($BH$3,0,0,'Données projet'!$E$11+1,1))-AVERAGE(OFFSET($H$3,0,0,'Données projet'!$E$11+1,1))</f>
        <v>414.9045204114143</v>
      </c>
      <c r="BJ29" s="62">
        <f t="shared" si="38"/>
        <v>260.29028006191834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6.5</v>
      </c>
      <c r="N30" s="14">
        <f>IF('Données projet'!$A$36&gt;35,N29+M30-V29,IF(A30&lt;'Données projet'!$A$36,$K$205^A30,IF(A30='Données projet'!$A$36,'Données projet'!$B$36,N29+M30-V29)))</f>
        <v>130.5</v>
      </c>
      <c r="O30" s="14">
        <f>N30*VLOOKUP('Données projet'!$B$9,Paramètres!$A$1:$I$89,3,0)*VLOOKUP('Données projet'!$B$9,Paramètres!$A$1:$I$89,5,0)</f>
        <v>61.073999999999998</v>
      </c>
      <c r="P30" s="14">
        <f t="shared" si="33"/>
        <v>17.439528890067717</v>
      </c>
      <c r="Q30" s="22">
        <f t="shared" si="2"/>
        <v>136.74439615020125</v>
      </c>
      <c r="R30" s="62">
        <f t="shared" si="0"/>
        <v>369.26223902276479</v>
      </c>
      <c r="S30" s="62">
        <f ca="1">AVERAGE(OFFSET($R$3,0,0,'Données projet'!$E$9+1,1))-AVERAGE(OFFSET($H$3,0,0,'Données projet'!$E$9+1,1))</f>
        <v>189.27804790161417</v>
      </c>
      <c r="T30" s="62">
        <f t="shared" si="34"/>
        <v>212.39018594432073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0.89176855528191012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0.89176855528191012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76</v>
      </c>
      <c r="AJ30" s="14">
        <f>AI30*VLOOKUP('Données projet'!$B$10,Paramètres!$A$1:$I$89,3,0)*VLOOKUP('Données projet'!$B$10,Paramètres!$A$1:$I$89,5,0)</f>
        <v>68.764799999999994</v>
      </c>
      <c r="AK30" s="14">
        <f t="shared" si="35"/>
        <v>19.366396769521369</v>
      </c>
      <c r="AL30" s="22">
        <f t="shared" si="4"/>
        <v>153.49516770691636</v>
      </c>
      <c r="AM30" s="62">
        <f t="shared" si="5"/>
        <v>386.0130105794799</v>
      </c>
      <c r="AN30" s="62">
        <f ca="1">AVERAGE(OFFSET($AM$3,0,0,'Données projet'!$E$10+1,1))-AVERAGE(OFFSET($H$3,0,0,'Données projet'!$E$10+1,1))</f>
        <v>398.11190027805549</v>
      </c>
      <c r="AO30" s="62">
        <f t="shared" si="36"/>
        <v>250.47702091764884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76</v>
      </c>
      <c r="BE30" s="14">
        <f>BD30*VLOOKUP('Données projet'!$B$11,Paramètres!$A$1:$I$89,3,0)*VLOOKUP('Données projet'!$B$11,Paramètres!$A$1:$I$89,5,0)</f>
        <v>72.321600000000004</v>
      </c>
      <c r="BF30" s="14">
        <f t="shared" si="37"/>
        <v>20.248893319861061</v>
      </c>
      <c r="BG30" s="22">
        <f t="shared" si="7"/>
        <v>161.22694253209136</v>
      </c>
      <c r="BH30" s="62">
        <f t="shared" si="8"/>
        <v>393.74478540465486</v>
      </c>
      <c r="BI30" s="62">
        <f ca="1">AVERAGE(OFFSET($BH$3,0,0,'Données projet'!$E$11+1,1))-AVERAGE(OFFSET($H$3,0,0,'Données projet'!$E$11+1,1))</f>
        <v>414.9045204114143</v>
      </c>
      <c r="BJ30" s="62">
        <f t="shared" si="38"/>
        <v>260.29028006191834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6.5</v>
      </c>
      <c r="N31" s="14">
        <f>IF('Données projet'!$A$36&gt;35,N30+M31-V30,IF(A31&lt;'Données projet'!$A$36,$K$205^A31,IF(A31='Données projet'!$A$36,'Données projet'!$B$36,N30+M31-V30)))</f>
        <v>137</v>
      </c>
      <c r="O31" s="14">
        <f>N31*VLOOKUP('Données projet'!$B$9,Paramètres!$A$1:$I$89,3,0)*VLOOKUP('Données projet'!$B$9,Paramètres!$A$1:$I$89,5,0)</f>
        <v>64.116</v>
      </c>
      <c r="P31" s="14">
        <f t="shared" si="33"/>
        <v>18.204870493705258</v>
      </c>
      <c r="Q31" s="22">
        <f t="shared" si="2"/>
        <v>143.37551610986998</v>
      </c>
      <c r="R31" s="62">
        <f t="shared" si="0"/>
        <v>378.10698553185409</v>
      </c>
      <c r="S31" s="62">
        <f ca="1">AVERAGE(OFFSET($R$3,0,0,'Données projet'!$E$9+1,1))-AVERAGE(OFFSET($H$3,0,0,'Données projet'!$E$9+1,1))</f>
        <v>189.27804790161417</v>
      </c>
      <c r="T31" s="62">
        <f t="shared" si="34"/>
        <v>212.39018594432073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0.87428151783794239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0.87428151783794239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83</v>
      </c>
      <c r="AJ31" s="14">
        <f>AI31*VLOOKUP('Données projet'!$B$10,Paramètres!$A$1:$I$89,3,0)*VLOOKUP('Données projet'!$B$10,Paramètres!$A$1:$I$89,5,0)</f>
        <v>75.098399999999998</v>
      </c>
      <c r="AK31" s="14">
        <f t="shared" si="35"/>
        <v>20.934343091450742</v>
      </c>
      <c r="AL31" s="22">
        <f t="shared" si="4"/>
        <v>167.25702755094335</v>
      </c>
      <c r="AM31" s="62">
        <f t="shared" si="5"/>
        <v>401.98849697292746</v>
      </c>
      <c r="AN31" s="62">
        <f ca="1">AVERAGE(OFFSET($AM$3,0,0,'Données projet'!$E$10+1,1))-AVERAGE(OFFSET($H$3,0,0,'Données projet'!$E$10+1,1))</f>
        <v>398.11190027805549</v>
      </c>
      <c r="AO31" s="62">
        <f t="shared" si="36"/>
        <v>250.47702091764884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83</v>
      </c>
      <c r="BE31" s="14">
        <f>BD31*VLOOKUP('Données projet'!$B$11,Paramètres!$A$1:$I$89,3,0)*VLOOKUP('Données projet'!$B$11,Paramètres!$A$1:$I$89,5,0)</f>
        <v>78.982799999999997</v>
      </c>
      <c r="BF31" s="14">
        <f t="shared" si="37"/>
        <v>21.888288514633821</v>
      </c>
      <c r="BG31" s="22">
        <f t="shared" si="7"/>
        <v>175.68381249632054</v>
      </c>
      <c r="BH31" s="62">
        <f t="shared" si="8"/>
        <v>410.41528191830463</v>
      </c>
      <c r="BI31" s="62">
        <f ca="1">AVERAGE(OFFSET($BH$3,0,0,'Données projet'!$E$11+1,1))-AVERAGE(OFFSET($H$3,0,0,'Données projet'!$E$11+1,1))</f>
        <v>414.9045204114143</v>
      </c>
      <c r="BJ31" s="62">
        <f t="shared" si="38"/>
        <v>260.29028006191834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6.5</v>
      </c>
      <c r="N32" s="14">
        <f>IF('Données projet'!$A$36&gt;35,N31+M32-V31,IF(A32&lt;'Données projet'!$A$36,$K$205^A32,IF(A32='Données projet'!$A$36,'Données projet'!$B$36,N31+M32-V31)))</f>
        <v>143.5</v>
      </c>
      <c r="O32" s="14">
        <f>N32*VLOOKUP('Données projet'!$B$9,Paramètres!$A$1:$I$89,3,0)*VLOOKUP('Données projet'!$B$9,Paramètres!$A$1:$I$89,5,0)</f>
        <v>67.158000000000001</v>
      </c>
      <c r="P32" s="14">
        <f t="shared" si="33"/>
        <v>18.965995379979955</v>
      </c>
      <c r="Q32" s="22">
        <f t="shared" si="2"/>
        <v>149.99929195346508</v>
      </c>
      <c r="R32" s="62">
        <f t="shared" si="0"/>
        <v>386.92718927624094</v>
      </c>
      <c r="S32" s="62">
        <f ca="1">AVERAGE(OFFSET($R$3,0,0,'Données projet'!$E$9+1,1))-AVERAGE(OFFSET($H$3,0,0,'Données projet'!$E$9+1,1))</f>
        <v>189.27804790161417</v>
      </c>
      <c r="T32" s="62">
        <f t="shared" si="34"/>
        <v>212.39018594432073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0.85713739053221127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0.85713739053221127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90</v>
      </c>
      <c r="AJ32" s="14">
        <f>AI32*VLOOKUP('Données projet'!$B$10,Paramètres!$A$1:$I$89,3,0)*VLOOKUP('Données projet'!$B$10,Paramètres!$A$1:$I$89,5,0)</f>
        <v>81.432000000000002</v>
      </c>
      <c r="AK32" s="14">
        <f t="shared" si="35"/>
        <v>22.486953220240881</v>
      </c>
      <c r="AL32" s="22">
        <f t="shared" si="4"/>
        <v>180.99217685858619</v>
      </c>
      <c r="AM32" s="62">
        <f t="shared" si="5"/>
        <v>417.920074181362</v>
      </c>
      <c r="AN32" s="62">
        <f ca="1">AVERAGE(OFFSET($AM$3,0,0,'Données projet'!$E$10+1,1))-AVERAGE(OFFSET($H$3,0,0,'Données projet'!$E$10+1,1))</f>
        <v>398.11190027805549</v>
      </c>
      <c r="AO32" s="62">
        <f t="shared" si="36"/>
        <v>250.47702091764884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90</v>
      </c>
      <c r="BE32" s="14">
        <f>BD32*VLOOKUP('Données projet'!$B$11,Paramètres!$A$1:$I$89,3,0)*VLOOKUP('Données projet'!$B$11,Paramètres!$A$1:$I$89,5,0)</f>
        <v>85.644000000000005</v>
      </c>
      <c r="BF32" s="14">
        <f t="shared" si="37"/>
        <v>23.511648669822069</v>
      </c>
      <c r="BG32" s="22">
        <f t="shared" si="7"/>
        <v>190.1127547666068</v>
      </c>
      <c r="BH32" s="62">
        <f t="shared" si="8"/>
        <v>427.04065208938266</v>
      </c>
      <c r="BI32" s="62">
        <f ca="1">AVERAGE(OFFSET($BH$3,0,0,'Données projet'!$E$11+1,1))-AVERAGE(OFFSET($H$3,0,0,'Données projet'!$E$11+1,1))</f>
        <v>414.9045204114143</v>
      </c>
      <c r="BJ32" s="62">
        <f t="shared" si="38"/>
        <v>260.29028006191834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150</v>
      </c>
      <c r="L33" s="13">
        <f>VLOOKUP(A33,'Données projet'!$A$35:$I$55,9,0)</f>
        <v>6.5</v>
      </c>
      <c r="M33" s="13">
        <f t="array" ref="M33">INDEX(L:L,MIN(IF(ISNUMBER(L33:L229),ROW(L33:L229),"")))</f>
        <v>6.5</v>
      </c>
      <c r="N33" s="14">
        <f>IF('Données projet'!$A$36&gt;35,N32+M33-V32,IF(A33&lt;'Données projet'!$A$36,$K$205^A33,IF(A33='Données projet'!$A$36,'Données projet'!$B$36,N32+M33-V32)))</f>
        <v>150</v>
      </c>
      <c r="O33" s="14">
        <f>N33*VLOOKUP('Données projet'!$B$9,Paramètres!$A$1:$I$89,3,0)*VLOOKUP('Données projet'!$B$9,Paramètres!$A$1:$I$89,5,0)</f>
        <v>70.2</v>
      </c>
      <c r="P33" s="14">
        <f t="shared" si="33"/>
        <v>19.723116370112194</v>
      </c>
      <c r="Q33" s="22">
        <f t="shared" si="2"/>
        <v>156.61609434461207</v>
      </c>
      <c r="R33" s="62">
        <f t="shared" si="0"/>
        <v>395.72351927765408</v>
      </c>
      <c r="S33" s="62">
        <f ca="1">AVERAGE(OFFSET($R$3,0,0,'Données projet'!$E$9+1,1))-AVERAGE(OFFSET($H$3,0,0,'Données projet'!$E$9+1,1))</f>
        <v>189.27804790161417</v>
      </c>
      <c r="T33" s="62">
        <f t="shared" si="34"/>
        <v>212.39018594432073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40</v>
      </c>
      <c r="W33" s="17">
        <f>IF(ISNA(VLOOKUP(A33,'Données projet'!$A$35:$I$55,5,0)),0%,VLOOKUP(A33,'Données projet'!$A$35:$I$55,5,0)*VLOOKUP('Données projet'!$B$9,Paramètres!$A$1:$I$89,7,0))</f>
        <v>0.16500000000000001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4.9378217390677115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4.9378217390677115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97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97</v>
      </c>
      <c r="AJ33" s="14">
        <f>AI33*VLOOKUP('Données projet'!$B$10,Paramètres!$A$1:$I$89,3,0)*VLOOKUP('Données projet'!$B$10,Paramètres!$A$1:$I$89,5,0)</f>
        <v>87.765600000000006</v>
      </c>
      <c r="AK33" s="14">
        <f t="shared" si="35"/>
        <v>24.025555589247954</v>
      </c>
      <c r="AL33" s="22">
        <f t="shared" si="4"/>
        <v>194.7029293179402</v>
      </c>
      <c r="AM33" s="62">
        <f t="shared" si="5"/>
        <v>433.81035425098219</v>
      </c>
      <c r="AN33" s="62">
        <f ca="1">AVERAGE(OFFSET($AM$3,0,0,'Données projet'!$E$10+1,1))-AVERAGE(OFFSET($H$3,0,0,'Données projet'!$E$10+1,1))</f>
        <v>398.11190027805549</v>
      </c>
      <c r="AO33" s="62">
        <f t="shared" si="36"/>
        <v>250.47702091764884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97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97</v>
      </c>
      <c r="BE33" s="14">
        <f>BD33*VLOOKUP('Données projet'!$B$11,Paramètres!$A$1:$I$89,3,0)*VLOOKUP('Données projet'!$B$11,Paramètres!$A$1:$I$89,5,0)</f>
        <v>92.305199999999999</v>
      </c>
      <c r="BF33" s="14">
        <f t="shared" si="37"/>
        <v>25.12036275342183</v>
      </c>
      <c r="BG33" s="22">
        <f t="shared" si="7"/>
        <v>204.51618846220967</v>
      </c>
      <c r="BH33" s="62">
        <f t="shared" si="8"/>
        <v>443.62361339525165</v>
      </c>
      <c r="BI33" s="62">
        <f ca="1">AVERAGE(OFFSET($BH$3,0,0,'Données projet'!$E$11+1,1))-AVERAGE(OFFSET($H$3,0,0,'Données projet'!$E$11+1,1))</f>
        <v>414.9045204114143</v>
      </c>
      <c r="BJ33" s="62">
        <f t="shared" si="38"/>
        <v>260.29028006191834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21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</v>
      </c>
      <c r="N34" s="14">
        <f>IF('Données projet'!$A$36&gt;35,N33+M34-V33,IF(A34&lt;'Données projet'!$A$36,$K$205^A34,IF(A34='Données projet'!$A$36,'Données projet'!$B$36,N33+M34-V33)))</f>
        <v>117</v>
      </c>
      <c r="O34" s="14">
        <f>N34*VLOOKUP('Données projet'!$B$9,Paramètres!$A$1:$I$89,3,0)*VLOOKUP('Données projet'!$B$9,Paramètres!$A$1:$I$89,5,0)</f>
        <v>54.756</v>
      </c>
      <c r="P34" s="14">
        <f t="shared" si="33"/>
        <v>15.835447037242044</v>
      </c>
      <c r="Q34" s="22">
        <f t="shared" si="2"/>
        <v>122.94677025652992</v>
      </c>
      <c r="R34" s="62">
        <f t="shared" si="0"/>
        <v>362.99489346934746</v>
      </c>
      <c r="S34" s="62">
        <f ca="1">AVERAGE(OFFSET($R$3,0,0,'Données projet'!$E$9+1,1))-AVERAGE(OFFSET($H$3,0,0,'Données projet'!$E$9+1,1))</f>
        <v>189.27804790161417</v>
      </c>
      <c r="T34" s="62">
        <f t="shared" si="34"/>
        <v>212.39018594432073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4.8409940665384665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4.8409940665384665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76.003200000000007</v>
      </c>
      <c r="AK34" s="14">
        <f t="shared" si="35"/>
        <v>21.157049992000456</v>
      </c>
      <c r="AL34" s="22">
        <f t="shared" si="4"/>
        <v>169.22076873606747</v>
      </c>
      <c r="AM34" s="62">
        <f t="shared" si="5"/>
        <v>409.26889194888503</v>
      </c>
      <c r="AN34" s="62">
        <f ca="1">AVERAGE(OFFSET($AM$3,0,0,'Données projet'!$E$10+1,1))-AVERAGE(OFFSET($H$3,0,0,'Données projet'!$E$10+1,1))</f>
        <v>398.11190027805549</v>
      </c>
      <c r="AO34" s="62">
        <f t="shared" si="36"/>
        <v>250.47702091764884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</v>
      </c>
      <c r="BD34" s="13">
        <f>IF('Données projet'!$A$88&gt;35,BD33+BC34-BL33,IF(A34&lt;'Données projet'!$A$88,$BA$205^A34,IF(A34='Données projet'!$A$88,'Données projet'!$B$88,BD33+BC34-BL33)))</f>
        <v>84</v>
      </c>
      <c r="BE34" s="14">
        <f>BD34*VLOOKUP('Données projet'!$B$11,Paramètres!$A$1:$I$89,3,0)*VLOOKUP('Données projet'!$B$11,Paramètres!$A$1:$I$89,5,0)</f>
        <v>79.934400000000011</v>
      </c>
      <c r="BF34" s="14">
        <f t="shared" si="37"/>
        <v>22.121143821921812</v>
      </c>
      <c r="BG34" s="22">
        <f t="shared" si="7"/>
        <v>177.74673882318049</v>
      </c>
      <c r="BH34" s="62">
        <f t="shared" si="8"/>
        <v>417.79486203599805</v>
      </c>
      <c r="BI34" s="62">
        <f ca="1">AVERAGE(OFFSET($BH$3,0,0,'Données projet'!$E$11+1,1))-AVERAGE(OFFSET($H$3,0,0,'Données projet'!$E$11+1,1))</f>
        <v>414.9045204114143</v>
      </c>
      <c r="BJ34" s="62">
        <f t="shared" si="38"/>
        <v>260.29028006191834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</v>
      </c>
      <c r="N35" s="14">
        <f>IF('Données projet'!$A$36&gt;35,N34+M35-V34,IF(A35&lt;'Données projet'!$A$36,$K$205^A35,IF(A35='Données projet'!$A$36,'Données projet'!$B$36,N34+M35-V34)))</f>
        <v>124</v>
      </c>
      <c r="O35" s="14">
        <f>N35*VLOOKUP('Données projet'!$B$9,Paramètres!$A$1:$I$89,3,0)*VLOOKUP('Données projet'!$B$9,Paramètres!$A$1:$I$89,5,0)</f>
        <v>58.032000000000004</v>
      </c>
      <c r="P35" s="14">
        <f t="shared" si="33"/>
        <v>16.669735221992795</v>
      </c>
      <c r="Q35" s="22">
        <f t="shared" ref="Q35:Q66" si="53">(O35+P35)*0.475*44/12</f>
        <v>130.10552217830414</v>
      </c>
      <c r="R35" s="62">
        <f t="shared" si="0"/>
        <v>371.07802465882946</v>
      </c>
      <c r="S35" s="62">
        <f ca="1">AVERAGE(OFFSET($R$3,0,0,'Données projet'!$E$9+1,1))-AVERAGE(OFFSET($H$3,0,0,'Données projet'!$E$9+1,1))</f>
        <v>189.27804790161417</v>
      </c>
      <c r="T35" s="62">
        <f t="shared" si="34"/>
        <v>212.39018594432073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4.7460651256084718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4.7460651256084718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83.241600000000005</v>
      </c>
      <c r="AK35" s="14">
        <f t="shared" si="35"/>
        <v>22.927930643846508</v>
      </c>
      <c r="AL35" s="22">
        <f t="shared" si="4"/>
        <v>184.91193253803269</v>
      </c>
      <c r="AM35" s="62">
        <f t="shared" si="5"/>
        <v>425.88443501855801</v>
      </c>
      <c r="AN35" s="62">
        <f ca="1">AVERAGE(OFFSET($AM$3,0,0,'Données projet'!$E$10+1,1))-AVERAGE(OFFSET($H$3,0,0,'Données projet'!$E$10+1,1))</f>
        <v>398.11190027805549</v>
      </c>
      <c r="AO35" s="62">
        <f t="shared" si="36"/>
        <v>250.47702091764884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</v>
      </c>
      <c r="BD35" s="13">
        <f>IF('Données projet'!$A$88&gt;35,BD34+BC35-BL34,IF(A35&lt;'Données projet'!$A$88,$BA$205^A35,IF(A35='Données projet'!$A$88,'Données projet'!$B$88,BD34+BC35-BL34)))</f>
        <v>92</v>
      </c>
      <c r="BE35" s="14">
        <f>BD35*VLOOKUP('Données projet'!$B$11,Paramètres!$A$1:$I$89,3,0)*VLOOKUP('Données projet'!$B$11,Paramètres!$A$1:$I$89,5,0)</f>
        <v>87.547200000000004</v>
      </c>
      <c r="BF35" s="14">
        <f t="shared" si="37"/>
        <v>23.972720748088616</v>
      </c>
      <c r="BG35" s="22">
        <f t="shared" si="7"/>
        <v>194.23052863625435</v>
      </c>
      <c r="BH35" s="62">
        <f t="shared" si="8"/>
        <v>435.2030311167797</v>
      </c>
      <c r="BI35" s="62">
        <f ca="1">AVERAGE(OFFSET($BH$3,0,0,'Données projet'!$E$11+1,1))-AVERAGE(OFFSET($H$3,0,0,'Données projet'!$E$11+1,1))</f>
        <v>414.9045204114143</v>
      </c>
      <c r="BJ35" s="62">
        <f t="shared" si="38"/>
        <v>260.29028006191834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</v>
      </c>
      <c r="N36" s="14">
        <f>IF('Données projet'!$A$36&gt;35,N35+M36-V35,IF(A36&lt;'Données projet'!$A$36,$K$205^A36,IF(A36='Données projet'!$A$36,'Données projet'!$B$36,N35+M36-V35)))</f>
        <v>131</v>
      </c>
      <c r="O36" s="14">
        <f>N36*VLOOKUP('Données projet'!$B$9,Paramètres!$A$1:$I$89,3,0)*VLOOKUP('Données projet'!$B$9,Paramètres!$A$1:$I$89,5,0)</f>
        <v>61.308</v>
      </c>
      <c r="P36" s="14">
        <f t="shared" si="33"/>
        <v>17.498556232826882</v>
      </c>
      <c r="Q36" s="22">
        <f t="shared" si="53"/>
        <v>137.25475210550681</v>
      </c>
      <c r="R36" s="62">
        <f t="shared" si="0"/>
        <v>379.13559794004755</v>
      </c>
      <c r="S36" s="62">
        <f ca="1">AVERAGE(OFFSET($R$3,0,0,'Données projet'!$E$9+1,1))-AVERAGE(OFFSET($H$3,0,0,'Données projet'!$E$9+1,1))</f>
        <v>189.27804790161417</v>
      </c>
      <c r="T36" s="62">
        <f t="shared" si="34"/>
        <v>212.39018594432073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4.6529976833091773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4.6529976833091773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90.47999999999999</v>
      </c>
      <c r="AK36" s="14">
        <f t="shared" si="35"/>
        <v>24.680953573367994</v>
      </c>
      <c r="AL36" s="22">
        <f t="shared" si="4"/>
        <v>200.57199414028256</v>
      </c>
      <c r="AM36" s="62">
        <f t="shared" si="5"/>
        <v>442.45283997482329</v>
      </c>
      <c r="AN36" s="62">
        <f ca="1">AVERAGE(OFFSET($AM$3,0,0,'Données projet'!$E$10+1,1))-AVERAGE(OFFSET($H$3,0,0,'Données projet'!$E$10+1,1))</f>
        <v>398.11190027805549</v>
      </c>
      <c r="AO36" s="62">
        <f t="shared" si="36"/>
        <v>250.47702091764884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</v>
      </c>
      <c r="BD36" s="13">
        <f>IF('Données projet'!$A$88&gt;35,BD35+BC36-BL35,IF(A36&lt;'Données projet'!$A$88,$BA$205^A36,IF(A36='Données projet'!$A$88,'Données projet'!$B$88,BD35+BC36-BL35)))</f>
        <v>100</v>
      </c>
      <c r="BE36" s="14">
        <f>BD36*VLOOKUP('Données projet'!$B$11,Paramètres!$A$1:$I$89,3,0)*VLOOKUP('Données projet'!$B$11,Paramètres!$A$1:$I$89,5,0)</f>
        <v>95.16</v>
      </c>
      <c r="BF36" s="14">
        <f t="shared" si="37"/>
        <v>25.80562620332617</v>
      </c>
      <c r="BG36" s="22">
        <f t="shared" si="7"/>
        <v>210.68179897079304</v>
      </c>
      <c r="BH36" s="62">
        <f t="shared" si="8"/>
        <v>452.56264480533378</v>
      </c>
      <c r="BI36" s="62">
        <f ca="1">AVERAGE(OFFSET($BH$3,0,0,'Données projet'!$E$11+1,1))-AVERAGE(OFFSET($H$3,0,0,'Données projet'!$E$11+1,1))</f>
        <v>414.9045204114143</v>
      </c>
      <c r="BJ36" s="62">
        <f t="shared" si="38"/>
        <v>260.29028006191834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</v>
      </c>
      <c r="N37" s="14">
        <f>IF('Données projet'!$A$36&gt;35,N36+M37-V36,IF(A37&lt;'Données projet'!$A$36,$K$205^A37,IF(A37='Données projet'!$A$36,'Données projet'!$B$36,N36+M37-V36)))</f>
        <v>138</v>
      </c>
      <c r="O37" s="14">
        <f>N37*VLOOKUP('Données projet'!$B$9,Paramètres!$A$1:$I$89,3,0)*VLOOKUP('Données projet'!$B$9,Paramètres!$A$1:$I$89,5,0)</f>
        <v>64.584000000000003</v>
      </c>
      <c r="P37" s="14">
        <f t="shared" si="33"/>
        <v>18.322235519392734</v>
      </c>
      <c r="Q37" s="22">
        <f t="shared" si="53"/>
        <v>144.39502686294233</v>
      </c>
      <c r="R37" s="62">
        <f t="shared" si="0"/>
        <v>387.16845832505794</v>
      </c>
      <c r="S37" s="62">
        <f ca="1">AVERAGE(OFFSET($R$3,0,0,'Données projet'!$E$9+1,1))-AVERAGE(OFFSET($H$3,0,0,'Données projet'!$E$9+1,1))</f>
        <v>189.27804790161417</v>
      </c>
      <c r="T37" s="62">
        <f t="shared" si="34"/>
        <v>212.39018594432073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4.5617552367878371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4.5617552367878371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97.718399999999988</v>
      </c>
      <c r="AK37" s="14">
        <f t="shared" si="35"/>
        <v>26.417709819192194</v>
      </c>
      <c r="AL37" s="22">
        <f t="shared" si="4"/>
        <v>216.20372460175972</v>
      </c>
      <c r="AM37" s="62">
        <f t="shared" si="5"/>
        <v>458.97715606387533</v>
      </c>
      <c r="AN37" s="62">
        <f ca="1">AVERAGE(OFFSET($AM$3,0,0,'Données projet'!$E$10+1,1))-AVERAGE(OFFSET($H$3,0,0,'Données projet'!$E$10+1,1))</f>
        <v>398.11190027805549</v>
      </c>
      <c r="AO37" s="62">
        <f t="shared" si="36"/>
        <v>250.47702091764884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</v>
      </c>
      <c r="BD37" s="13">
        <f>IF('Données projet'!$A$88&gt;35,BD36+BC37-BL36,IF(A37&lt;'Données projet'!$A$88,$BA$205^A37,IF(A37='Données projet'!$A$88,'Données projet'!$B$88,BD36+BC37-BL36)))</f>
        <v>108</v>
      </c>
      <c r="BE37" s="14">
        <f>BD37*VLOOKUP('Données projet'!$B$11,Paramètres!$A$1:$I$89,3,0)*VLOOKUP('Données projet'!$B$11,Paramètres!$A$1:$I$89,5,0)</f>
        <v>102.77279999999999</v>
      </c>
      <c r="BF37" s="14">
        <f t="shared" si="37"/>
        <v>27.621523727415045</v>
      </c>
      <c r="BG37" s="22">
        <f t="shared" si="7"/>
        <v>227.10344715858119</v>
      </c>
      <c r="BH37" s="62">
        <f t="shared" si="8"/>
        <v>469.87687862069674</v>
      </c>
      <c r="BI37" s="62">
        <f ca="1">AVERAGE(OFFSET($BH$3,0,0,'Données projet'!$E$11+1,1))-AVERAGE(OFFSET($H$3,0,0,'Données projet'!$E$11+1,1))</f>
        <v>414.9045204114143</v>
      </c>
      <c r="BJ37" s="62">
        <f t="shared" si="38"/>
        <v>260.29028006191834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7</v>
      </c>
      <c r="N38" s="14">
        <f>IF('Données projet'!$A$36&gt;35,N37+M38-V37,IF(A38&lt;'Données projet'!$A$36,$K$205^A38,IF(A38='Données projet'!$A$36,'Données projet'!$B$36,N37+M38-V37)))</f>
        <v>145</v>
      </c>
      <c r="O38" s="14">
        <f>N38*VLOOKUP('Données projet'!$B$9,Paramètres!$A$1:$I$89,3,0)*VLOOKUP('Données projet'!$B$9,Paramètres!$A$1:$I$89,5,0)</f>
        <v>67.86</v>
      </c>
      <c r="P38" s="14">
        <f t="shared" si="33"/>
        <v>19.141063649731766</v>
      </c>
      <c r="Q38" s="22">
        <f t="shared" si="53"/>
        <v>151.52685252328283</v>
      </c>
      <c r="R38" s="62">
        <f t="shared" si="0"/>
        <v>395.17738524785733</v>
      </c>
      <c r="S38" s="62">
        <f ca="1">AVERAGE(OFFSET($R$3,0,0,'Données projet'!$E$9+1,1))-AVERAGE(OFFSET($H$3,0,0,'Données projet'!$E$9+1,1))</f>
        <v>189.27804790161417</v>
      </c>
      <c r="T38" s="62">
        <f t="shared" si="34"/>
        <v>212.39018594432073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4.4723019989903836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4.4723019989903836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104.9568</v>
      </c>
      <c r="AK38" s="14">
        <f t="shared" si="35"/>
        <v>28.139541339232373</v>
      </c>
      <c r="AL38" s="22">
        <f t="shared" si="4"/>
        <v>231.8094611658297</v>
      </c>
      <c r="AM38" s="62">
        <f t="shared" si="5"/>
        <v>475.45999389040423</v>
      </c>
      <c r="AN38" s="62">
        <f ca="1">AVERAGE(OFFSET($AM$3,0,0,'Données projet'!$E$10+1,1))-AVERAGE(OFFSET($H$3,0,0,'Données projet'!$E$10+1,1))</f>
        <v>398.11190027805549</v>
      </c>
      <c r="AO38" s="62">
        <f t="shared" si="36"/>
        <v>250.47702091764884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8</v>
      </c>
      <c r="BC38" s="13">
        <f t="array" ref="BC38">INDEX(BB:BB,MIN(IF(ISNUMBER(BB38:BB234),ROW(BB38:BB234),"")))</f>
        <v>8</v>
      </c>
      <c r="BD38" s="13">
        <f>IF('Données projet'!$A$88&gt;35,BD37+BC38-BL37,IF(A38&lt;'Données projet'!$A$88,$BA$205^A38,IF(A38='Données projet'!$A$88,'Données projet'!$B$88,BD37+BC38-BL37)))</f>
        <v>116</v>
      </c>
      <c r="BE38" s="14">
        <f>BD38*VLOOKUP('Données projet'!$B$11,Paramètres!$A$1:$I$89,3,0)*VLOOKUP('Données projet'!$B$11,Paramètres!$A$1:$I$89,5,0)</f>
        <v>110.38560000000001</v>
      </c>
      <c r="BF38" s="14">
        <f t="shared" si="37"/>
        <v>29.421816429201407</v>
      </c>
      <c r="BG38" s="22">
        <f t="shared" si="7"/>
        <v>243.49791694752579</v>
      </c>
      <c r="BH38" s="62">
        <f t="shared" si="8"/>
        <v>487.1484496721003</v>
      </c>
      <c r="BI38" s="62">
        <f ca="1">AVERAGE(OFFSET($BH$3,0,0,'Données projet'!$E$11+1,1))-AVERAGE(OFFSET($H$3,0,0,'Données projet'!$E$11+1,1))</f>
        <v>414.9045204114143</v>
      </c>
      <c r="BJ38" s="62">
        <f t="shared" si="38"/>
        <v>260.29028006191834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21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7</v>
      </c>
      <c r="N39" s="14">
        <f>IF('Données projet'!$A$36&gt;35,N38+M39-V38,IF(A39&lt;'Données projet'!$A$36,$K$205^A39,IF(A39='Données projet'!$A$36,'Données projet'!$B$36,N38+M39-V38)))</f>
        <v>152</v>
      </c>
      <c r="O39" s="14">
        <f>N39*VLOOKUP('Données projet'!$B$9,Paramètres!$A$1:$I$89,3,0)*VLOOKUP('Données projet'!$B$9,Paramètres!$A$1:$I$89,5,0)</f>
        <v>71.135999999999996</v>
      </c>
      <c r="P39" s="14">
        <f t="shared" si="33"/>
        <v>19.955301551927469</v>
      </c>
      <c r="Q39" s="22">
        <f t="shared" si="53"/>
        <v>158.65068353627368</v>
      </c>
      <c r="R39" s="62">
        <f t="shared" si="0"/>
        <v>403.1631017773081</v>
      </c>
      <c r="S39" s="62">
        <f ca="1">AVERAGE(OFFSET($R$3,0,0,'Données projet'!$E$9+1,1))-AVERAGE(OFFSET($H$3,0,0,'Données projet'!$E$9+1,1))</f>
        <v>189.27804790161417</v>
      </c>
      <c r="T39" s="62">
        <f t="shared" si="34"/>
        <v>212.39018594432073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4.3846028846250507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4.3846028846250507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103.4</v>
      </c>
      <c r="AJ39" s="14">
        <f>AI39*VLOOKUP('Données projet'!$B$10,Paramètres!$A$1:$I$89,3,0)*VLOOKUP('Données projet'!$B$10,Paramètres!$A$1:$I$89,5,0)</f>
        <v>93.556319999999999</v>
      </c>
      <c r="AK39" s="14">
        <f t="shared" si="35"/>
        <v>25.420979659258073</v>
      </c>
      <c r="AL39" s="22">
        <f t="shared" si="4"/>
        <v>207.21879690654114</v>
      </c>
      <c r="AM39" s="62">
        <f t="shared" si="5"/>
        <v>451.73121514757554</v>
      </c>
      <c r="AN39" s="62">
        <f ca="1">AVERAGE(OFFSET($AM$3,0,0,'Données projet'!$E$10+1,1))-AVERAGE(OFFSET($H$3,0,0,'Données projet'!$E$10+1,1))</f>
        <v>398.11190027805549</v>
      </c>
      <c r="AO39" s="62">
        <f t="shared" si="36"/>
        <v>250.47702091764884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103.4</v>
      </c>
      <c r="BE39" s="14">
        <f>BD39*VLOOKUP('Données projet'!$B$11,Paramètres!$A$1:$I$89,3,0)*VLOOKUP('Données projet'!$B$11,Paramètres!$A$1:$I$89,5,0)</f>
        <v>98.395440000000008</v>
      </c>
      <c r="BF39" s="14">
        <f t="shared" si="37"/>
        <v>26.57937412584554</v>
      </c>
      <c r="BG39" s="22">
        <f t="shared" si="7"/>
        <v>217.66446793584763</v>
      </c>
      <c r="BH39" s="62">
        <f t="shared" si="8"/>
        <v>462.17688617688202</v>
      </c>
      <c r="BI39" s="62">
        <f ca="1">AVERAGE(OFFSET($BH$3,0,0,'Données projet'!$E$11+1,1))-AVERAGE(OFFSET($H$3,0,0,'Données projet'!$E$11+1,1))</f>
        <v>414.9045204114143</v>
      </c>
      <c r="BJ39" s="62">
        <f t="shared" si="38"/>
        <v>260.29028006191834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7</v>
      </c>
      <c r="N40" s="14">
        <f>IF('Données projet'!$A$36&gt;35,N39+M40-V39,IF(A40&lt;'Données projet'!$A$36,$K$205^A40,IF(A40='Données projet'!$A$36,'Données projet'!$B$36,N39+M40-V39)))</f>
        <v>159</v>
      </c>
      <c r="O40" s="14">
        <f>N40*VLOOKUP('Données projet'!$B$9,Paramètres!$A$1:$I$89,3,0)*VLOOKUP('Données projet'!$B$9,Paramètres!$A$1:$I$89,5,0)</f>
        <v>74.411999999999992</v>
      </c>
      <c r="P40" s="14">
        <f t="shared" si="33"/>
        <v>20.765184762876824</v>
      </c>
      <c r="Q40" s="22">
        <f t="shared" si="53"/>
        <v>165.76693012867713</v>
      </c>
      <c r="R40" s="62">
        <f t="shared" si="0"/>
        <v>411.12628209934826</v>
      </c>
      <c r="S40" s="62">
        <f ca="1">AVERAGE(OFFSET($R$3,0,0,'Données projet'!$E$9+1,1))-AVERAGE(OFFSET($H$3,0,0,'Données projet'!$E$9+1,1))</f>
        <v>189.27804790161417</v>
      </c>
      <c r="T40" s="62">
        <f t="shared" si="34"/>
        <v>212.39018594432073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4.2986234964012437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4.2986234964012437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111.80000000000001</v>
      </c>
      <c r="AJ40" s="14">
        <f>AI40*VLOOKUP('Données projet'!$B$10,Paramètres!$A$1:$I$89,3,0)*VLOOKUP('Données projet'!$B$10,Paramètres!$A$1:$I$89,5,0)</f>
        <v>101.15664000000001</v>
      </c>
      <c r="AK40" s="14">
        <f t="shared" si="35"/>
        <v>27.237366379381644</v>
      </c>
      <c r="AL40" s="22">
        <f t="shared" si="4"/>
        <v>223.61956111075639</v>
      </c>
      <c r="AM40" s="62">
        <f t="shared" si="5"/>
        <v>468.97891308142749</v>
      </c>
      <c r="AN40" s="62">
        <f ca="1">AVERAGE(OFFSET($AM$3,0,0,'Données projet'!$E$10+1,1))-AVERAGE(OFFSET($H$3,0,0,'Données projet'!$E$10+1,1))</f>
        <v>398.11190027805549</v>
      </c>
      <c r="AO40" s="62">
        <f t="shared" si="36"/>
        <v>250.47702091764884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111.80000000000001</v>
      </c>
      <c r="BE40" s="14">
        <f>BD40*VLOOKUP('Données projet'!$B$11,Paramètres!$A$1:$I$89,3,0)*VLOOKUP('Données projet'!$B$11,Paramètres!$A$1:$I$89,5,0)</f>
        <v>106.38888000000001</v>
      </c>
      <c r="BF40" s="14">
        <f t="shared" si="37"/>
        <v>28.478530760975403</v>
      </c>
      <c r="BG40" s="22">
        <f t="shared" si="7"/>
        <v>234.89407374203219</v>
      </c>
      <c r="BH40" s="62">
        <f t="shared" si="8"/>
        <v>480.25342571270329</v>
      </c>
      <c r="BI40" s="62">
        <f ca="1">AVERAGE(OFFSET($BH$3,0,0,'Données projet'!$E$11+1,1))-AVERAGE(OFFSET($H$3,0,0,'Données projet'!$E$11+1,1))</f>
        <v>414.9045204114143</v>
      </c>
      <c r="BJ40" s="62">
        <f t="shared" si="38"/>
        <v>260.29028006191834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7</v>
      </c>
      <c r="N41" s="14">
        <f>IF('Données projet'!$A$36&gt;35,N40+M41-V40,IF(A41&lt;'Données projet'!$A$36,$K$205^A41,IF(A41='Données projet'!$A$36,'Données projet'!$B$36,N40+M41-V40)))</f>
        <v>166</v>
      </c>
      <c r="O41" s="14">
        <f>N41*VLOOKUP('Données projet'!$B$9,Paramètres!$A$1:$I$89,3,0)*VLOOKUP('Données projet'!$B$9,Paramètres!$A$1:$I$89,5,0)</f>
        <v>77.688000000000002</v>
      </c>
      <c r="P41" s="14">
        <f t="shared" si="33"/>
        <v>21.570926907728207</v>
      </c>
      <c r="Q41" s="22">
        <f t="shared" si="53"/>
        <v>172.87596436429328</v>
      </c>
      <c r="R41" s="62">
        <f t="shared" si="0"/>
        <v>419.06755765785203</v>
      </c>
      <c r="S41" s="62">
        <f ca="1">AVERAGE(OFFSET($R$3,0,0,'Données projet'!$E$9+1,1))-AVERAGE(OFFSET($H$3,0,0,'Données projet'!$E$9+1,1))</f>
        <v>189.27804790161417</v>
      </c>
      <c r="T41" s="62">
        <f t="shared" si="34"/>
        <v>212.39018594432073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4.2143301115382572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4.2143301115382572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120.20000000000002</v>
      </c>
      <c r="AJ41" s="14">
        <f>AI41*VLOOKUP('Données projet'!$B$10,Paramètres!$A$1:$I$89,3,0)*VLOOKUP('Données projet'!$B$10,Paramètres!$A$1:$I$89,5,0)</f>
        <v>108.75696000000002</v>
      </c>
      <c r="AK41" s="14">
        <f t="shared" si="35"/>
        <v>29.037921223305609</v>
      </c>
      <c r="AL41" s="22">
        <f t="shared" si="4"/>
        <v>239.99275146392395</v>
      </c>
      <c r="AM41" s="62">
        <f t="shared" si="5"/>
        <v>486.18434475748268</v>
      </c>
      <c r="AN41" s="62">
        <f ca="1">AVERAGE(OFFSET($AM$3,0,0,'Données projet'!$E$10+1,1))-AVERAGE(OFFSET($H$3,0,0,'Données projet'!$E$10+1,1))</f>
        <v>398.11190027805549</v>
      </c>
      <c r="AO41" s="62">
        <f t="shared" si="36"/>
        <v>250.47702091764884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120.20000000000002</v>
      </c>
      <c r="BE41" s="14">
        <f>BD41*VLOOKUP('Données projet'!$B$11,Paramètres!$A$1:$I$89,3,0)*VLOOKUP('Données projet'!$B$11,Paramètres!$A$1:$I$89,5,0)</f>
        <v>114.38232000000001</v>
      </c>
      <c r="BF41" s="14">
        <f t="shared" si="37"/>
        <v>30.361134085955022</v>
      </c>
      <c r="BG41" s="22">
        <f t="shared" si="7"/>
        <v>252.09484919970498</v>
      </c>
      <c r="BH41" s="62">
        <f t="shared" si="8"/>
        <v>498.28644249326373</v>
      </c>
      <c r="BI41" s="62">
        <f ca="1">AVERAGE(OFFSET($BH$3,0,0,'Données projet'!$E$11+1,1))-AVERAGE(OFFSET($H$3,0,0,'Données projet'!$E$11+1,1))</f>
        <v>414.9045204114143</v>
      </c>
      <c r="BJ41" s="62">
        <f t="shared" si="38"/>
        <v>260.29028006191834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7</v>
      </c>
      <c r="N42" s="14">
        <f>IF('Données projet'!$A$36&gt;35,N41+M42-V41,IF(A42&lt;'Données projet'!$A$36,$K$205^A42,IF(A42='Données projet'!$A$36,'Données projet'!$B$36,N41+M42-V41)))</f>
        <v>173</v>
      </c>
      <c r="O42" s="14">
        <f>N42*VLOOKUP('Données projet'!$B$9,Paramètres!$A$1:$I$89,3,0)*VLOOKUP('Données projet'!$B$9,Paramètres!$A$1:$I$89,5,0)</f>
        <v>80.963999999999999</v>
      </c>
      <c r="P42" s="14">
        <f t="shared" si="33"/>
        <v>22.37272257588274</v>
      </c>
      <c r="Q42" s="22">
        <f t="shared" si="53"/>
        <v>179.97812515299574</v>
      </c>
      <c r="R42" s="62">
        <f t="shared" si="0"/>
        <v>426.98752224310283</v>
      </c>
      <c r="S42" s="62">
        <f ca="1">AVERAGE(OFFSET($R$3,0,0,'Données projet'!$E$9+1,1))-AVERAGE(OFFSET($H$3,0,0,'Données projet'!$E$9+1,1))</f>
        <v>189.27804790161417</v>
      </c>
      <c r="T42" s="62">
        <f t="shared" si="34"/>
        <v>212.39018594432073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4.1316896685385451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4.1316896685385451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128.60000000000002</v>
      </c>
      <c r="AJ42" s="14">
        <f>AI42*VLOOKUP('Données projet'!$B$10,Paramètres!$A$1:$I$89,3,0)*VLOOKUP('Données projet'!$B$10,Paramètres!$A$1:$I$89,5,0)</f>
        <v>116.35728000000002</v>
      </c>
      <c r="AK42" s="14">
        <f t="shared" si="35"/>
        <v>30.823876427820704</v>
      </c>
      <c r="AL42" s="22">
        <f t="shared" si="4"/>
        <v>256.34051411178774</v>
      </c>
      <c r="AM42" s="62">
        <f t="shared" si="5"/>
        <v>503.34991120189488</v>
      </c>
      <c r="AN42" s="62">
        <f ca="1">AVERAGE(OFFSET($AM$3,0,0,'Données projet'!$E$10+1,1))-AVERAGE(OFFSET($H$3,0,0,'Données projet'!$E$10+1,1))</f>
        <v>398.11190027805549</v>
      </c>
      <c r="AO42" s="62">
        <f t="shared" si="36"/>
        <v>250.47702091764884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128.60000000000002</v>
      </c>
      <c r="BE42" s="14">
        <f>BD42*VLOOKUP('Données projet'!$B$11,Paramètres!$A$1:$I$89,3,0)*VLOOKUP('Données projet'!$B$11,Paramètres!$A$1:$I$89,5,0)</f>
        <v>122.37576000000003</v>
      </c>
      <c r="BF42" s="14">
        <f t="shared" si="37"/>
        <v>32.22847248868726</v>
      </c>
      <c r="BG42" s="22">
        <f t="shared" si="7"/>
        <v>269.26903825113033</v>
      </c>
      <c r="BH42" s="62">
        <f t="shared" si="8"/>
        <v>516.27843534123747</v>
      </c>
      <c r="BI42" s="62">
        <f ca="1">AVERAGE(OFFSET($BH$3,0,0,'Données projet'!$E$11+1,1))-AVERAGE(OFFSET($H$3,0,0,'Données projet'!$E$11+1,1))</f>
        <v>414.9045204114143</v>
      </c>
      <c r="BJ42" s="62">
        <f t="shared" si="38"/>
        <v>260.29028006191834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180</v>
      </c>
      <c r="L43" s="13">
        <f>VLOOKUP(A43,'Données projet'!$A$35:$I$55,9,0)</f>
        <v>7</v>
      </c>
      <c r="M43" s="13">
        <f t="array" ref="M43">INDEX(L:L,MIN(IF(ISNUMBER(L43:L239),ROW(L43:L239),"")))</f>
        <v>7</v>
      </c>
      <c r="N43" s="14">
        <f>IF('Données projet'!$A$36&gt;35,N42+M43-V42,IF(A43&lt;'Données projet'!$A$36,$K$205^A43,IF(A43='Données projet'!$A$36,'Données projet'!$B$36,N42+M43-V42)))</f>
        <v>180</v>
      </c>
      <c r="O43" s="14">
        <f>N43*VLOOKUP('Données projet'!$B$9,Paramètres!$A$1:$I$89,3,0)*VLOOKUP('Données projet'!$B$9,Paramètres!$A$1:$I$89,5,0)</f>
        <v>84.24</v>
      </c>
      <c r="P43" s="14">
        <f t="shared" si="33"/>
        <v>23.170749718409468</v>
      </c>
      <c r="Q43" s="22">
        <f t="shared" si="53"/>
        <v>187.07372242622981</v>
      </c>
      <c r="R43" s="62">
        <f t="shared" si="0"/>
        <v>434.88673624535062</v>
      </c>
      <c r="S43" s="62">
        <f ca="1">AVERAGE(OFFSET($R$3,0,0,'Données projet'!$E$9+1,1))-AVERAGE(OFFSET($H$3,0,0,'Données projet'!$E$9+1,1))</f>
        <v>189.27804790161417</v>
      </c>
      <c r="T43" s="62">
        <f t="shared" si="34"/>
        <v>212.39018594432073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50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4.0506697542203645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4.0506697542203645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137.00000000000003</v>
      </c>
      <c r="AJ43" s="14">
        <f>AI43*VLOOKUP('Données projet'!$B$10,Paramètres!$A$1:$I$89,3,0)*VLOOKUP('Données projet'!$B$10,Paramètres!$A$1:$I$89,5,0)</f>
        <v>123.95760000000001</v>
      </c>
      <c r="AK43" s="14">
        <f t="shared" si="35"/>
        <v>32.59629414926458</v>
      </c>
      <c r="AL43" s="22">
        <f t="shared" si="4"/>
        <v>272.6646989766358</v>
      </c>
      <c r="AM43" s="62">
        <f t="shared" si="5"/>
        <v>520.47771279575659</v>
      </c>
      <c r="AN43" s="62">
        <f ca="1">AVERAGE(OFFSET($AM$3,0,0,'Données projet'!$E$10+1,1))-AVERAGE(OFFSET($H$3,0,0,'Données projet'!$E$10+1,1))</f>
        <v>398.11190027805549</v>
      </c>
      <c r="AO43" s="62">
        <f t="shared" si="36"/>
        <v>250.47702091764884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137.00000000000003</v>
      </c>
      <c r="BE43" s="14">
        <f>BD43*VLOOKUP('Données projet'!$B$11,Paramètres!$A$1:$I$89,3,0)*VLOOKUP('Données projet'!$B$11,Paramètres!$A$1:$I$89,5,0)</f>
        <v>130.36920000000003</v>
      </c>
      <c r="BF43" s="14">
        <f t="shared" si="37"/>
        <v>34.081656526320486</v>
      </c>
      <c r="BG43" s="22">
        <f t="shared" si="7"/>
        <v>286.4185751166749</v>
      </c>
      <c r="BH43" s="62">
        <f t="shared" si="8"/>
        <v>534.23158893579568</v>
      </c>
      <c r="BI43" s="62">
        <f ca="1">AVERAGE(OFFSET($BH$3,0,0,'Données projet'!$E$11+1,1))-AVERAGE(OFFSET($H$3,0,0,'Données projet'!$E$11+1,1))</f>
        <v>414.9045204114143</v>
      </c>
      <c r="BJ43" s="62">
        <f t="shared" si="38"/>
        <v>260.29028006191834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21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7</v>
      </c>
      <c r="N44" s="14">
        <f>IF('Données projet'!$A$36&gt;35,N43+M44-V43,IF(A44&lt;'Données projet'!$A$36,$K$205^A44,IF(A44='Données projet'!$A$36,'Données projet'!$B$36,N43+M44-V43)))</f>
        <v>137</v>
      </c>
      <c r="O44" s="14">
        <f>N44*VLOOKUP('Données projet'!$B$9,Paramètres!$A$1:$I$89,3,0)*VLOOKUP('Données projet'!$B$9,Paramètres!$A$1:$I$89,5,0)</f>
        <v>64.116</v>
      </c>
      <c r="P44" s="14">
        <f t="shared" si="33"/>
        <v>18.204870493705258</v>
      </c>
      <c r="Q44" s="22">
        <f t="shared" si="53"/>
        <v>143.37551610986998</v>
      </c>
      <c r="R44" s="62">
        <f t="shared" si="0"/>
        <v>391.97820570437398</v>
      </c>
      <c r="S44" s="62">
        <f ca="1">AVERAGE(OFFSET($R$3,0,0,'Données projet'!$E$9+1,1))-AVERAGE(OFFSET($H$3,0,0,'Données projet'!$E$9+1,1))</f>
        <v>189.27804790161417</v>
      </c>
      <c r="T44" s="62">
        <f t="shared" si="34"/>
        <v>212.39018594432073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3.9712385910046955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3.9712385910046955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112.55712000000003</v>
      </c>
      <c r="AK44" s="14">
        <f t="shared" si="35"/>
        <v>29.932653834140599</v>
      </c>
      <c r="AL44" s="22">
        <f t="shared" si="4"/>
        <v>248.16968942779496</v>
      </c>
      <c r="AM44" s="62">
        <f t="shared" si="5"/>
        <v>496.77237902229894</v>
      </c>
      <c r="AN44" s="62">
        <f ca="1">AVERAGE(OFFSET($AM$3,0,0,'Données projet'!$E$10+1,1))-AVERAGE(OFFSET($H$3,0,0,'Données projet'!$E$10+1,1))</f>
        <v>398.11190027805549</v>
      </c>
      <c r="AO44" s="62">
        <f t="shared" si="36"/>
        <v>250.47702091764884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124.40000000000003</v>
      </c>
      <c r="BE44" s="14">
        <f>BD44*VLOOKUP('Données projet'!$B$11,Paramètres!$A$1:$I$89,3,0)*VLOOKUP('Données projet'!$B$11,Paramètres!$A$1:$I$89,5,0)</f>
        <v>118.37904000000003</v>
      </c>
      <c r="BF44" s="14">
        <f t="shared" si="37"/>
        <v>31.296638268907181</v>
      </c>
      <c r="BG44" s="22">
        <f t="shared" si="7"/>
        <v>260.68513965168</v>
      </c>
      <c r="BH44" s="62">
        <f t="shared" si="8"/>
        <v>509.28782924618395</v>
      </c>
      <c r="BI44" s="62">
        <f ca="1">AVERAGE(OFFSET($BH$3,0,0,'Données projet'!$E$11+1,1))-AVERAGE(OFFSET($H$3,0,0,'Données projet'!$E$11+1,1))</f>
        <v>414.9045204114143</v>
      </c>
      <c r="BJ44" s="62">
        <f t="shared" si="38"/>
        <v>260.29028006191834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7</v>
      </c>
      <c r="N45" s="14">
        <f>IF('Données projet'!$A$36&gt;35,N44+M45-V44,IF(A45&lt;'Données projet'!$A$36,$K$205^A45,IF(A45='Données projet'!$A$36,'Données projet'!$B$36,N44+M45-V44)))</f>
        <v>144</v>
      </c>
      <c r="O45" s="14">
        <f>N45*VLOOKUP('Données projet'!$B$9,Paramètres!$A$1:$I$89,3,0)*VLOOKUP('Données projet'!$B$9,Paramètres!$A$1:$I$89,5,0)</f>
        <v>67.391999999999996</v>
      </c>
      <c r="P45" s="14">
        <f t="shared" si="33"/>
        <v>19.02437502991798</v>
      </c>
      <c r="Q45" s="22">
        <f t="shared" si="53"/>
        <v>150.5085198437738</v>
      </c>
      <c r="R45" s="62">
        <f t="shared" si="0"/>
        <v>399.88718610440856</v>
      </c>
      <c r="S45" s="62">
        <f ca="1">AVERAGE(OFFSET($R$3,0,0,'Données projet'!$E$9+1,1))-AVERAGE(OFFSET($H$3,0,0,'Données projet'!$E$9+1,1))</f>
        <v>189.27804790161417</v>
      </c>
      <c r="T45" s="62">
        <f t="shared" si="34"/>
        <v>212.39018594432073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3.8933650244514597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3.8933650244514597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120.15744000000002</v>
      </c>
      <c r="AK45" s="14">
        <f t="shared" si="35"/>
        <v>31.711716786129845</v>
      </c>
      <c r="AL45" s="22">
        <f t="shared" si="4"/>
        <v>264.50544806917623</v>
      </c>
      <c r="AM45" s="62">
        <f t="shared" si="5"/>
        <v>513.88411432981093</v>
      </c>
      <c r="AN45" s="62">
        <f ca="1">AVERAGE(OFFSET($AM$3,0,0,'Données projet'!$E$10+1,1))-AVERAGE(OFFSET($H$3,0,0,'Données projet'!$E$10+1,1))</f>
        <v>398.11190027805549</v>
      </c>
      <c r="AO45" s="62">
        <f t="shared" si="36"/>
        <v>250.47702091764884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132.80000000000004</v>
      </c>
      <c r="BE45" s="14">
        <f>BD45*VLOOKUP('Données projet'!$B$11,Paramètres!$A$1:$I$89,3,0)*VLOOKUP('Données projet'!$B$11,Paramètres!$A$1:$I$89,5,0)</f>
        <v>126.37248000000004</v>
      </c>
      <c r="BF45" s="14">
        <f t="shared" si="37"/>
        <v>33.156770349896121</v>
      </c>
      <c r="BG45" s="22">
        <f t="shared" si="7"/>
        <v>277.84677769273577</v>
      </c>
      <c r="BH45" s="62">
        <f t="shared" si="8"/>
        <v>527.22544395337047</v>
      </c>
      <c r="BI45" s="62">
        <f ca="1">AVERAGE(OFFSET($BH$3,0,0,'Données projet'!$E$11+1,1))-AVERAGE(OFFSET($H$3,0,0,'Données projet'!$E$11+1,1))</f>
        <v>414.9045204114143</v>
      </c>
      <c r="BJ45" s="62">
        <f t="shared" si="38"/>
        <v>260.29028006191834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7</v>
      </c>
      <c r="N46" s="14">
        <f>IF('Données projet'!$A$36&gt;35,N45+M46-V45,IF(A46&lt;'Données projet'!$A$36,$K$205^A46,IF(A46='Données projet'!$A$36,'Données projet'!$B$36,N45+M46-V45)))</f>
        <v>151</v>
      </c>
      <c r="O46" s="14">
        <f>N46*VLOOKUP('Données projet'!$B$9,Paramètres!$A$1:$I$89,3,0)*VLOOKUP('Données projet'!$B$9,Paramètres!$A$1:$I$89,5,0)</f>
        <v>70.668000000000006</v>
      </c>
      <c r="P46" s="14">
        <f t="shared" si="33"/>
        <v>19.839253706984856</v>
      </c>
      <c r="Q46" s="22">
        <f t="shared" si="53"/>
        <v>157.63346687299864</v>
      </c>
      <c r="R46" s="62">
        <f t="shared" si="0"/>
        <v>407.77464833943066</v>
      </c>
      <c r="S46" s="62">
        <f ca="1">AVERAGE(OFFSET($R$3,0,0,'Données projet'!$E$9+1,1))-AVERAGE(OFFSET($H$3,0,0,'Données projet'!$E$9+1,1))</f>
        <v>189.27804790161417</v>
      </c>
      <c r="T46" s="62">
        <f t="shared" si="34"/>
        <v>212.39018594432073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3.8170185110401476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3.8170185110401476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127.75776000000003</v>
      </c>
      <c r="AK46" s="14">
        <f t="shared" si="35"/>
        <v>33.477720030956604</v>
      </c>
      <c r="AL46" s="22">
        <f t="shared" si="4"/>
        <v>280.81846105391611</v>
      </c>
      <c r="AM46" s="62">
        <f t="shared" si="5"/>
        <v>530.9596425203481</v>
      </c>
      <c r="AN46" s="62">
        <f ca="1">AVERAGE(OFFSET($AM$3,0,0,'Données projet'!$E$10+1,1))-AVERAGE(OFFSET($H$3,0,0,'Données projet'!$E$10+1,1))</f>
        <v>398.11190027805549</v>
      </c>
      <c r="AO46" s="62">
        <f t="shared" si="36"/>
        <v>250.47702091764884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141.20000000000005</v>
      </c>
      <c r="BE46" s="14">
        <f>BD46*VLOOKUP('Données projet'!$B$11,Paramètres!$A$1:$I$89,3,0)*VLOOKUP('Données projet'!$B$11,Paramètres!$A$1:$I$89,5,0)</f>
        <v>134.36592000000005</v>
      </c>
      <c r="BF46" s="14">
        <f t="shared" si="37"/>
        <v>35.003247613199107</v>
      </c>
      <c r="BG46" s="22">
        <f t="shared" si="7"/>
        <v>294.98463359298847</v>
      </c>
      <c r="BH46" s="62">
        <f t="shared" si="8"/>
        <v>545.12581505942057</v>
      </c>
      <c r="BI46" s="62">
        <f ca="1">AVERAGE(OFFSET($BH$3,0,0,'Données projet'!$E$11+1,1))-AVERAGE(OFFSET($H$3,0,0,'Données projet'!$E$11+1,1))</f>
        <v>414.9045204114143</v>
      </c>
      <c r="BJ46" s="62">
        <f t="shared" si="38"/>
        <v>260.29028006191834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7</v>
      </c>
      <c r="N47" s="14">
        <f>IF('Données projet'!$A$36&gt;35,N46+M47-V46,IF(A47&lt;'Données projet'!$A$36,$K$205^A47,IF(A47='Données projet'!$A$36,'Données projet'!$B$36,N46+M47-V46)))</f>
        <v>158</v>
      </c>
      <c r="O47" s="14">
        <f>N47*VLOOKUP('Données projet'!$B$9,Paramètres!$A$1:$I$89,3,0)*VLOOKUP('Données projet'!$B$9,Paramètres!$A$1:$I$89,5,0)</f>
        <v>73.944000000000003</v>
      </c>
      <c r="P47" s="14">
        <f t="shared" si="33"/>
        <v>20.649745460165708</v>
      </c>
      <c r="Q47" s="22">
        <f t="shared" si="53"/>
        <v>164.75077334312192</v>
      </c>
      <c r="R47" s="62">
        <f t="shared" si="0"/>
        <v>415.64124208125935</v>
      </c>
      <c r="S47" s="62">
        <f ca="1">AVERAGE(OFFSET($R$3,0,0,'Données projet'!$E$9+1,1))-AVERAGE(OFFSET($H$3,0,0,'Données projet'!$E$9+1,1))</f>
        <v>189.27804790161417</v>
      </c>
      <c r="T47" s="62">
        <f t="shared" si="34"/>
        <v>212.39018594432073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3.7421691061900559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3.7421691061900559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135.35808000000006</v>
      </c>
      <c r="AK47" s="14">
        <f t="shared" si="35"/>
        <v>35.231528980112834</v>
      </c>
      <c r="AL47" s="22">
        <f t="shared" si="4"/>
        <v>297.11023564036327</v>
      </c>
      <c r="AM47" s="62">
        <f t="shared" si="5"/>
        <v>548.0007043785007</v>
      </c>
      <c r="AN47" s="62">
        <f ca="1">AVERAGE(OFFSET($AM$3,0,0,'Données projet'!$E$10+1,1))-AVERAGE(OFFSET($H$3,0,0,'Données projet'!$E$10+1,1))</f>
        <v>398.11190027805549</v>
      </c>
      <c r="AO47" s="62">
        <f t="shared" si="36"/>
        <v>250.47702091764884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149.60000000000005</v>
      </c>
      <c r="BE47" s="14">
        <f>BD47*VLOOKUP('Données projet'!$B$11,Paramètres!$A$1:$I$89,3,0)*VLOOKUP('Données projet'!$B$11,Paramètres!$A$1:$I$89,5,0)</f>
        <v>142.35936000000004</v>
      </c>
      <c r="BF47" s="14">
        <f t="shared" si="37"/>
        <v>36.836974905762489</v>
      </c>
      <c r="BG47" s="22">
        <f t="shared" si="7"/>
        <v>312.10028329420305</v>
      </c>
      <c r="BH47" s="62">
        <f t="shared" si="8"/>
        <v>562.99075203234042</v>
      </c>
      <c r="BI47" s="62">
        <f ca="1">AVERAGE(OFFSET($BH$3,0,0,'Données projet'!$E$11+1,1))-AVERAGE(OFFSET($H$3,0,0,'Données projet'!$E$11+1,1))</f>
        <v>414.9045204114143</v>
      </c>
      <c r="BJ47" s="62">
        <f t="shared" si="38"/>
        <v>260.29028006191834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7</v>
      </c>
      <c r="N48" s="14">
        <f>IF('Données projet'!$A$36&gt;35,N47+M48-V47,IF(A48&lt;'Données projet'!$A$36,$K$205^A48,IF(A48='Données projet'!$A$36,'Données projet'!$B$36,N47+M48-V47)))</f>
        <v>165</v>
      </c>
      <c r="O48" s="14">
        <f>N48*VLOOKUP('Données projet'!$B$9,Paramètres!$A$1:$I$89,3,0)*VLOOKUP('Données projet'!$B$9,Paramètres!$A$1:$I$89,5,0)</f>
        <v>77.22</v>
      </c>
      <c r="P48" s="14">
        <f t="shared" si="33"/>
        <v>21.456066856215884</v>
      </c>
      <c r="Q48" s="22">
        <f t="shared" si="53"/>
        <v>171.86081644124263</v>
      </c>
      <c r="R48" s="62">
        <f t="shared" si="0"/>
        <v>423.48757399207676</v>
      </c>
      <c r="S48" s="62">
        <f ca="1">AVERAGE(OFFSET($R$3,0,0,'Données projet'!$E$9+1,1))-AVERAGE(OFFSET($H$3,0,0,'Données projet'!$E$9+1,1))</f>
        <v>189.27804790161417</v>
      </c>
      <c r="T48" s="62">
        <f t="shared" si="34"/>
        <v>212.39018594432073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3.6687874525154456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3.6687874525154456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142.95840000000004</v>
      </c>
      <c r="AK48" s="14">
        <f t="shared" si="35"/>
        <v>36.973906370811264</v>
      </c>
      <c r="AL48" s="22">
        <f t="shared" si="4"/>
        <v>313.38210026249641</v>
      </c>
      <c r="AM48" s="62">
        <f t="shared" si="5"/>
        <v>565.00885781333056</v>
      </c>
      <c r="AN48" s="62">
        <f ca="1">AVERAGE(OFFSET($AM$3,0,0,'Données projet'!$E$10+1,1))-AVERAGE(OFFSET($H$3,0,0,'Données projet'!$E$10+1,1))</f>
        <v>398.11190027805549</v>
      </c>
      <c r="AO48" s="62">
        <f t="shared" si="36"/>
        <v>250.47702091764884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158.00000000000006</v>
      </c>
      <c r="BE48" s="14">
        <f>BD48*VLOOKUP('Données projet'!$B$11,Paramètres!$A$1:$I$89,3,0)*VLOOKUP('Données projet'!$B$11,Paramètres!$A$1:$I$89,5,0)</f>
        <v>150.35280000000006</v>
      </c>
      <c r="BF48" s="14">
        <f t="shared" si="37"/>
        <v>38.658749721546236</v>
      </c>
      <c r="BG48" s="22">
        <f t="shared" si="7"/>
        <v>329.19511576502646</v>
      </c>
      <c r="BH48" s="62">
        <f t="shared" si="8"/>
        <v>580.82187331586056</v>
      </c>
      <c r="BI48" s="62">
        <f ca="1">AVERAGE(OFFSET($BH$3,0,0,'Données projet'!$E$11+1,1))-AVERAGE(OFFSET($H$3,0,0,'Données projet'!$E$11+1,1))</f>
        <v>414.9045204114143</v>
      </c>
      <c r="BJ48" s="62">
        <f t="shared" si="38"/>
        <v>260.29028006191834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21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7</v>
      </c>
      <c r="N49" s="14">
        <f>IF('Données projet'!$A$36&gt;35,N48+M49-V48,IF(A49&lt;'Données projet'!$A$36,$K$205^A49,IF(A49='Données projet'!$A$36,'Données projet'!$B$36,N48+M49-V48)))</f>
        <v>172</v>
      </c>
      <c r="O49" s="14">
        <f>N49*VLOOKUP('Données projet'!$B$9,Paramètres!$A$1:$I$89,3,0)*VLOOKUP('Données projet'!$B$9,Paramètres!$A$1:$I$89,5,0)</f>
        <v>80.495999999999995</v>
      </c>
      <c r="P49" s="14">
        <f t="shared" si="33"/>
        <v>22.258415047134118</v>
      </c>
      <c r="Q49" s="22">
        <f t="shared" si="53"/>
        <v>178.96393954042523</v>
      </c>
      <c r="R49" s="62">
        <f t="shared" si="0"/>
        <v>431.31421293915088</v>
      </c>
      <c r="S49" s="62">
        <f ca="1">AVERAGE(OFFSET($R$3,0,0,'Données projet'!$E$9+1,1))-AVERAGE(OFFSET($H$3,0,0,'Données projet'!$E$9+1,1))</f>
        <v>189.27804790161417</v>
      </c>
      <c r="T49" s="62">
        <f t="shared" si="34"/>
        <v>212.39018594432073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3.5968447683110054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3.5968447683110054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145.20000000000005</v>
      </c>
      <c r="AJ49" s="14">
        <f>AI49*VLOOKUP('Données projet'!$B$10,Paramètres!$A$1:$I$89,3,0)*VLOOKUP('Données projet'!$B$10,Paramètres!$A$1:$I$89,5,0)</f>
        <v>131.37696000000003</v>
      </c>
      <c r="AK49" s="14">
        <f t="shared" si="35"/>
        <v>34.314338988223334</v>
      </c>
      <c r="AL49" s="22">
        <f t="shared" si="4"/>
        <v>288.57901240448905</v>
      </c>
      <c r="AM49" s="62">
        <f t="shared" si="5"/>
        <v>540.92928580321473</v>
      </c>
      <c r="AN49" s="62">
        <f ca="1">AVERAGE(OFFSET($AM$3,0,0,'Données projet'!$E$10+1,1))-AVERAGE(OFFSET($H$3,0,0,'Données projet'!$E$10+1,1))</f>
        <v>398.11190027805549</v>
      </c>
      <c r="AO49" s="62">
        <f t="shared" si="36"/>
        <v>250.47702091764884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145.20000000000005</v>
      </c>
      <c r="BE49" s="14">
        <f>BD49*VLOOKUP('Données projet'!$B$11,Paramètres!$A$1:$I$89,3,0)*VLOOKUP('Données projet'!$B$11,Paramètres!$A$1:$I$89,5,0)</f>
        <v>138.17232000000004</v>
      </c>
      <c r="BF49" s="14">
        <f t="shared" si="37"/>
        <v>35.877989993863793</v>
      </c>
      <c r="BG49" s="22">
        <f t="shared" si="7"/>
        <v>303.13762323931286</v>
      </c>
      <c r="BH49" s="62">
        <f t="shared" si="8"/>
        <v>555.48789663803848</v>
      </c>
      <c r="BI49" s="62">
        <f ca="1">AVERAGE(OFFSET($BH$3,0,0,'Données projet'!$E$11+1,1))-AVERAGE(OFFSET($H$3,0,0,'Données projet'!$E$11+1,1))</f>
        <v>414.9045204114143</v>
      </c>
      <c r="BJ49" s="62">
        <f t="shared" si="38"/>
        <v>260.29028006191834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7</v>
      </c>
      <c r="N50" s="14">
        <f>IF('Données projet'!$A$36&gt;35,N49+M50-V49,IF(A50&lt;'Données projet'!$A$36,$K$205^A50,IF(A50='Données projet'!$A$36,'Données projet'!$B$36,N49+M50-V49)))</f>
        <v>179</v>
      </c>
      <c r="O50" s="14">
        <f>N50*VLOOKUP('Données projet'!$B$9,Paramètres!$A$1:$I$89,3,0)*VLOOKUP('Données projet'!$B$9,Paramètres!$A$1:$I$89,5,0)</f>
        <v>83.772000000000006</v>
      </c>
      <c r="P50" s="14">
        <f t="shared" si="33"/>
        <v>23.056970229527074</v>
      </c>
      <c r="Q50" s="22">
        <f t="shared" si="53"/>
        <v>186.06045648309296</v>
      </c>
      <c r="R50" s="62">
        <f t="shared" si="0"/>
        <v>439.12169434728833</v>
      </c>
      <c r="S50" s="62">
        <f ca="1">AVERAGE(OFFSET($R$3,0,0,'Données projet'!$E$9+1,1))-AVERAGE(OFFSET($H$3,0,0,'Données projet'!$E$9+1,1))</f>
        <v>189.27804790161417</v>
      </c>
      <c r="T50" s="62">
        <f t="shared" si="34"/>
        <v>212.39018594432073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3.5263128362631098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3.5263128362631098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153.40000000000003</v>
      </c>
      <c r="AJ50" s="14">
        <f>AI50*VLOOKUP('Données projet'!$B$10,Paramètres!$A$1:$I$89,3,0)*VLOOKUP('Données projet'!$B$10,Paramètres!$A$1:$I$89,5,0)</f>
        <v>138.79632000000001</v>
      </c>
      <c r="AK50" s="14">
        <f t="shared" si="35"/>
        <v>36.021120886354588</v>
      </c>
      <c r="AL50" s="22">
        <f t="shared" si="4"/>
        <v>304.47370954373423</v>
      </c>
      <c r="AM50" s="62">
        <f t="shared" si="5"/>
        <v>557.53494740792962</v>
      </c>
      <c r="AN50" s="62">
        <f ca="1">AVERAGE(OFFSET($AM$3,0,0,'Données projet'!$E$10+1,1))-AVERAGE(OFFSET($H$3,0,0,'Données projet'!$E$10+1,1))</f>
        <v>398.11190027805549</v>
      </c>
      <c r="AO50" s="62">
        <f t="shared" si="36"/>
        <v>250.47702091764884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153.40000000000003</v>
      </c>
      <c r="BE50" s="14">
        <f>BD50*VLOOKUP('Données projet'!$B$11,Paramètres!$A$1:$I$89,3,0)*VLOOKUP('Données projet'!$B$11,Paramètres!$A$1:$I$89,5,0)</f>
        <v>145.97544000000002</v>
      </c>
      <c r="BF50" s="14">
        <f t="shared" si="37"/>
        <v>37.662547285900686</v>
      </c>
      <c r="BG50" s="22">
        <f t="shared" si="7"/>
        <v>319.83616118961032</v>
      </c>
      <c r="BH50" s="62">
        <f t="shared" si="8"/>
        <v>572.89739905380566</v>
      </c>
      <c r="BI50" s="62">
        <f ca="1">AVERAGE(OFFSET($BH$3,0,0,'Données projet'!$E$11+1,1))-AVERAGE(OFFSET($H$3,0,0,'Données projet'!$E$11+1,1))</f>
        <v>414.9045204114143</v>
      </c>
      <c r="BJ50" s="62">
        <f t="shared" si="38"/>
        <v>260.29028006191834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7</v>
      </c>
      <c r="N51" s="14">
        <f>IF('Données projet'!$A$36&gt;35,N50+M51-V50,IF(A51&lt;'Données projet'!$A$36,$K$205^A51,IF(A51='Données projet'!$A$36,'Données projet'!$B$36,N50+M51-V50)))</f>
        <v>186</v>
      </c>
      <c r="O51" s="14">
        <f>N51*VLOOKUP('Données projet'!$B$9,Paramètres!$A$1:$I$89,3,0)*VLOOKUP('Données projet'!$B$9,Paramètres!$A$1:$I$89,5,0)</f>
        <v>87.048000000000002</v>
      </c>
      <c r="P51" s="14">
        <f t="shared" si="33"/>
        <v>23.851897708444891</v>
      </c>
      <c r="Q51" s="22">
        <f t="shared" si="53"/>
        <v>193.15065517554152</v>
      </c>
      <c r="R51" s="62">
        <f t="shared" si="0"/>
        <v>446.91052386120919</v>
      </c>
      <c r="S51" s="62">
        <f ca="1">AVERAGE(OFFSET($R$3,0,0,'Données projet'!$E$9+1,1))-AVERAGE(OFFSET($H$3,0,0,'Données projet'!$E$9+1,1))</f>
        <v>189.27804790161417</v>
      </c>
      <c r="T51" s="62">
        <f t="shared" si="34"/>
        <v>212.39018594432073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3.4571639923824424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3.4571639923824424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161.60000000000002</v>
      </c>
      <c r="AJ51" s="14">
        <f>AI51*VLOOKUP('Données projet'!$B$10,Paramètres!$A$1:$I$89,3,0)*VLOOKUP('Données projet'!$B$10,Paramètres!$A$1:$I$89,5,0)</f>
        <v>146.21568000000002</v>
      </c>
      <c r="AK51" s="14">
        <f t="shared" si="35"/>
        <v>37.717310552893402</v>
      </c>
      <c r="AL51" s="22">
        <f t="shared" si="4"/>
        <v>320.34995854628937</v>
      </c>
      <c r="AM51" s="62">
        <f t="shared" si="5"/>
        <v>574.10982723195707</v>
      </c>
      <c r="AN51" s="62">
        <f ca="1">AVERAGE(OFFSET($AM$3,0,0,'Données projet'!$E$10+1,1))-AVERAGE(OFFSET($H$3,0,0,'Données projet'!$E$10+1,1))</f>
        <v>398.11190027805549</v>
      </c>
      <c r="AO51" s="62">
        <f t="shared" si="36"/>
        <v>250.47702091764884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161.60000000000002</v>
      </c>
      <c r="BE51" s="14">
        <f>BD51*VLOOKUP('Données projet'!$B$11,Paramètres!$A$1:$I$89,3,0)*VLOOKUP('Données projet'!$B$11,Paramètres!$A$1:$I$89,5,0)</f>
        <v>153.77856000000003</v>
      </c>
      <c r="BF51" s="14">
        <f t="shared" si="37"/>
        <v>39.436029674841947</v>
      </c>
      <c r="BG51" s="22">
        <f t="shared" si="7"/>
        <v>336.51541035034978</v>
      </c>
      <c r="BH51" s="62">
        <f t="shared" si="8"/>
        <v>590.27527903601754</v>
      </c>
      <c r="BI51" s="62">
        <f ca="1">AVERAGE(OFFSET($BH$3,0,0,'Données projet'!$E$11+1,1))-AVERAGE(OFFSET($H$3,0,0,'Données projet'!$E$11+1,1))</f>
        <v>414.9045204114143</v>
      </c>
      <c r="BJ51" s="62">
        <f t="shared" si="38"/>
        <v>260.29028006191834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7</v>
      </c>
      <c r="N52" s="14">
        <f>IF('Données projet'!$A$36&gt;35,N51+M52-V51,IF(A52&lt;'Données projet'!$A$36,$K$205^A52,IF(A52='Données projet'!$A$36,'Données projet'!$B$36,N51+M52-V51)))</f>
        <v>193</v>
      </c>
      <c r="O52" s="14">
        <f>N52*VLOOKUP('Données projet'!$B$9,Paramètres!$A$1:$I$89,3,0)*VLOOKUP('Données projet'!$B$9,Paramètres!$A$1:$I$89,5,0)</f>
        <v>90.324000000000012</v>
      </c>
      <c r="P52" s="14">
        <f t="shared" si="33"/>
        <v>24.643349641795833</v>
      </c>
      <c r="Q52" s="22">
        <f t="shared" si="53"/>
        <v>200.23480062612774</v>
      </c>
      <c r="R52" s="62">
        <f t="shared" si="0"/>
        <v>454.68118045041967</v>
      </c>
      <c r="S52" s="62">
        <f ca="1">AVERAGE(OFFSET($R$3,0,0,'Données projet'!$E$9+1,1))-AVERAGE(OFFSET($H$3,0,0,'Données projet'!$E$9+1,1))</f>
        <v>189.27804790161417</v>
      </c>
      <c r="T52" s="62">
        <f t="shared" si="34"/>
        <v>212.39018594432073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3.389371115153645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3.389371115153645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169.8</v>
      </c>
      <c r="AJ52" s="14">
        <f>AI52*VLOOKUP('Données projet'!$B$10,Paramètres!$A$1:$I$89,3,0)*VLOOKUP('Données projet'!$B$10,Paramètres!$A$1:$I$89,5,0)</f>
        <v>153.63504</v>
      </c>
      <c r="AK52" s="14">
        <f t="shared" si="35"/>
        <v>39.403506785222667</v>
      </c>
      <c r="AL52" s="22">
        <f t="shared" si="4"/>
        <v>336.20880231759617</v>
      </c>
      <c r="AM52" s="62">
        <f t="shared" si="5"/>
        <v>590.65518214188819</v>
      </c>
      <c r="AN52" s="62">
        <f ca="1">AVERAGE(OFFSET($AM$3,0,0,'Données projet'!$E$10+1,1))-AVERAGE(OFFSET($H$3,0,0,'Données projet'!$E$10+1,1))</f>
        <v>398.11190027805549</v>
      </c>
      <c r="AO52" s="62">
        <f t="shared" si="36"/>
        <v>250.47702091764884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169.8</v>
      </c>
      <c r="BE52" s="14">
        <f>BD52*VLOOKUP('Données projet'!$B$11,Paramètres!$A$1:$I$89,3,0)*VLOOKUP('Données projet'!$B$11,Paramètres!$A$1:$I$89,5,0)</f>
        <v>161.58168000000001</v>
      </c>
      <c r="BF52" s="14">
        <f t="shared" si="37"/>
        <v>41.199063244334951</v>
      </c>
      <c r="BG52" s="22">
        <f t="shared" si="7"/>
        <v>353.17646115055004</v>
      </c>
      <c r="BH52" s="62">
        <f t="shared" si="8"/>
        <v>607.62284097484201</v>
      </c>
      <c r="BI52" s="62">
        <f ca="1">AVERAGE(OFFSET($BH$3,0,0,'Données projet'!$E$11+1,1))-AVERAGE(OFFSET($H$3,0,0,'Données projet'!$E$11+1,1))</f>
        <v>414.9045204114143</v>
      </c>
      <c r="BJ52" s="62">
        <f t="shared" si="38"/>
        <v>260.29028006191834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200</v>
      </c>
      <c r="L53" s="13">
        <f>VLOOKUP(A53,'Données projet'!$A$35:$I$55,9,0)</f>
        <v>7</v>
      </c>
      <c r="M53" s="13">
        <f t="array" ref="M53">INDEX(L:L,MIN(IF(ISNUMBER(L53:L249),ROW(L53:L249),"")))</f>
        <v>7</v>
      </c>
      <c r="N53" s="14">
        <f>IF('Données projet'!$A$36&gt;35,N52+M53-V52,IF(A53&lt;'Données projet'!$A$36,$K$205^A53,IF(A53='Données projet'!$A$36,'Données projet'!$B$36,N52+M53-V52)))</f>
        <v>200</v>
      </c>
      <c r="O53" s="14">
        <f>N53*VLOOKUP('Données projet'!$B$9,Paramètres!$A$1:$I$89,3,0)*VLOOKUP('Données projet'!$B$9,Paramètres!$A$1:$I$89,5,0)</f>
        <v>93.600000000000009</v>
      </c>
      <c r="P53" s="14">
        <f t="shared" si="33"/>
        <v>25.431466524572937</v>
      </c>
      <c r="Q53" s="22">
        <f t="shared" si="53"/>
        <v>207.31313753029789</v>
      </c>
      <c r="R53" s="62">
        <f t="shared" si="0"/>
        <v>462.43411905976802</v>
      </c>
      <c r="S53" s="62">
        <f ca="1">AVERAGE(OFFSET($R$3,0,0,'Données projet'!$E$9+1,1))-AVERAGE(OFFSET($H$3,0,0,'Données projet'!$E$9+1,1))</f>
        <v>189.27804790161417</v>
      </c>
      <c r="T53" s="62">
        <f t="shared" si="34"/>
        <v>212.39018594432073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60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3.3229076148977321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3.3229076148977321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178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178</v>
      </c>
      <c r="AJ53" s="14">
        <f>AI53*VLOOKUP('Données projet'!$B$10,Paramètres!$A$1:$I$89,3,0)*VLOOKUP('Données projet'!$B$10,Paramètres!$A$1:$I$89,5,0)</f>
        <v>161.05439999999999</v>
      </c>
      <c r="AK53" s="14">
        <f t="shared" si="35"/>
        <v>41.080247278685491</v>
      </c>
      <c r="AL53" s="22">
        <f t="shared" si="4"/>
        <v>352.05117734371055</v>
      </c>
      <c r="AM53" s="62">
        <f t="shared" si="5"/>
        <v>607.17215887318071</v>
      </c>
      <c r="AN53" s="62">
        <f ca="1">AVERAGE(OFFSET($AM$3,0,0,'Données projet'!$E$10+1,1))-AVERAGE(OFFSET($H$3,0,0,'Données projet'!$E$10+1,1))</f>
        <v>398.11190027805549</v>
      </c>
      <c r="AO53" s="62">
        <f t="shared" si="36"/>
        <v>250.47702091764884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178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178</v>
      </c>
      <c r="BE53" s="14">
        <f>BD53*VLOOKUP('Données projet'!$B$11,Paramètres!$A$1:$I$89,3,0)*VLOOKUP('Données projet'!$B$11,Paramètres!$A$1:$I$89,5,0)</f>
        <v>169.38480000000001</v>
      </c>
      <c r="BF53" s="14">
        <f t="shared" si="37"/>
        <v>42.952210191662466</v>
      </c>
      <c r="BG53" s="22">
        <f t="shared" si="7"/>
        <v>369.82029275047876</v>
      </c>
      <c r="BH53" s="62">
        <f t="shared" si="8"/>
        <v>624.94127427994886</v>
      </c>
      <c r="BI53" s="62">
        <f ca="1">AVERAGE(OFFSET($BH$3,0,0,'Données projet'!$E$11+1,1))-AVERAGE(OFFSET($H$3,0,0,'Données projet'!$E$11+1,1))</f>
        <v>414.9045204114143</v>
      </c>
      <c r="BJ53" s="62">
        <f t="shared" si="38"/>
        <v>260.29028006191834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21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148</v>
      </c>
      <c r="O54" s="14">
        <f>N54*VLOOKUP('Données projet'!$B$9,Paramètres!$A$1:$I$89,3,0)*VLOOKUP('Données projet'!$B$9,Paramètres!$A$1:$I$89,5,0)</f>
        <v>69.26400000000001</v>
      </c>
      <c r="P54" s="14">
        <f t="shared" si="33"/>
        <v>19.490570545800445</v>
      </c>
      <c r="Q54" s="22">
        <f t="shared" si="53"/>
        <v>154.58087703393579</v>
      </c>
      <c r="R54" s="62">
        <f t="shared" si="0"/>
        <v>410.36475743718262</v>
      </c>
      <c r="S54" s="62">
        <f ca="1">AVERAGE(OFFSET($R$3,0,0,'Données projet'!$E$9+1,1))-AVERAGE(OFFSET($H$3,0,0,'Données projet'!$E$9+1,1))</f>
        <v>189.27804790161417</v>
      </c>
      <c r="T54" s="62">
        <f t="shared" si="34"/>
        <v>212.39018594432073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3.2577474233431056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3.2577474233431056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149.29199999999997</v>
      </c>
      <c r="AK54" s="14">
        <f t="shared" si="35"/>
        <v>38.417645803815411</v>
      </c>
      <c r="AL54" s="22">
        <f t="shared" si="4"/>
        <v>326.9276331083118</v>
      </c>
      <c r="AM54" s="62">
        <f t="shared" si="5"/>
        <v>582.71151351155868</v>
      </c>
      <c r="AN54" s="62">
        <f ca="1">AVERAGE(OFFSET($AM$3,0,0,'Données projet'!$E$10+1,1))-AVERAGE(OFFSET($H$3,0,0,'Données projet'!$E$10+1,1))</f>
        <v>398.11190027805549</v>
      </c>
      <c r="AO54" s="62">
        <f t="shared" si="36"/>
        <v>250.47702091764884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165</v>
      </c>
      <c r="BE54" s="14">
        <f>BD54*VLOOKUP('Données projet'!$B$11,Paramètres!$A$1:$I$89,3,0)*VLOOKUP('Données projet'!$B$11,Paramètres!$A$1:$I$89,5,0)</f>
        <v>157.01399999999998</v>
      </c>
      <c r="BF54" s="14">
        <f t="shared" si="37"/>
        <v>40.168278112836184</v>
      </c>
      <c r="BG54" s="22">
        <f t="shared" si="7"/>
        <v>343.42580104652302</v>
      </c>
      <c r="BH54" s="62">
        <f t="shared" si="8"/>
        <v>599.20968144976985</v>
      </c>
      <c r="BI54" s="62">
        <f ca="1">AVERAGE(OFFSET($BH$3,0,0,'Données projet'!$E$11+1,1))-AVERAGE(OFFSET($H$3,0,0,'Données projet'!$E$11+1,1))</f>
        <v>414.9045204114143</v>
      </c>
      <c r="BJ54" s="62">
        <f t="shared" si="38"/>
        <v>260.29028006191834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156</v>
      </c>
      <c r="O55" s="14">
        <f>N55*VLOOKUP('Données projet'!$B$9,Paramètres!$A$1:$I$89,3,0)*VLOOKUP('Données projet'!$B$9,Paramètres!$A$1:$I$89,5,0)</f>
        <v>73.007999999999996</v>
      </c>
      <c r="P55" s="14">
        <f t="shared" si="33"/>
        <v>20.418611018263636</v>
      </c>
      <c r="Q55" s="22">
        <f t="shared" si="53"/>
        <v>162.7180141901425</v>
      </c>
      <c r="R55" s="62">
        <f t="shared" si="0"/>
        <v>419.15329365372588</v>
      </c>
      <c r="S55" s="62">
        <f ca="1">AVERAGE(OFFSET($R$3,0,0,'Données projet'!$E$9+1,1))-AVERAGE(OFFSET($H$3,0,0,'Données projet'!$E$9+1,1))</f>
        <v>189.27804790161417</v>
      </c>
      <c r="T55" s="62">
        <f t="shared" si="34"/>
        <v>212.39018594432073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3.1938649834010726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3.1938649834010726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156.53039999999999</v>
      </c>
      <c r="AK55" s="14">
        <f t="shared" si="35"/>
        <v>40.058941713182037</v>
      </c>
      <c r="AL55" s="22">
        <f t="shared" si="4"/>
        <v>342.393103483792</v>
      </c>
      <c r="AM55" s="62">
        <f t="shared" si="5"/>
        <v>598.8283829473753</v>
      </c>
      <c r="AN55" s="62">
        <f ca="1">AVERAGE(OFFSET($AM$3,0,0,'Données projet'!$E$10+1,1))-AVERAGE(OFFSET($H$3,0,0,'Données projet'!$E$10+1,1))</f>
        <v>398.11190027805549</v>
      </c>
      <c r="AO55" s="62">
        <f t="shared" si="36"/>
        <v>250.47702091764884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173</v>
      </c>
      <c r="BE55" s="14">
        <f>BD55*VLOOKUP('Données projet'!$B$11,Paramètres!$A$1:$I$89,3,0)*VLOOKUP('Données projet'!$B$11,Paramètres!$A$1:$I$89,5,0)</f>
        <v>164.6268</v>
      </c>
      <c r="BF55" s="14">
        <f t="shared" si="37"/>
        <v>41.884365321551833</v>
      </c>
      <c r="BG55" s="22">
        <f t="shared" si="7"/>
        <v>359.67361293503609</v>
      </c>
      <c r="BH55" s="62">
        <f t="shared" si="8"/>
        <v>616.10889239861945</v>
      </c>
      <c r="BI55" s="62">
        <f ca="1">AVERAGE(OFFSET($BH$3,0,0,'Données projet'!$E$11+1,1))-AVERAGE(OFFSET($H$3,0,0,'Données projet'!$E$11+1,1))</f>
        <v>414.9045204114143</v>
      </c>
      <c r="BJ55" s="62">
        <f t="shared" si="38"/>
        <v>260.29028006191834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164</v>
      </c>
      <c r="O56" s="14">
        <f>N56*VLOOKUP('Données projet'!$B$9,Paramètres!$A$1:$I$89,3,0)*VLOOKUP('Données projet'!$B$9,Paramètres!$A$1:$I$89,5,0)</f>
        <v>76.751999999999995</v>
      </c>
      <c r="P56" s="14">
        <f t="shared" si="33"/>
        <v>21.341125747045119</v>
      </c>
      <c r="Q56" s="22">
        <f t="shared" si="53"/>
        <v>170.84552734277023</v>
      </c>
      <c r="R56" s="62">
        <f t="shared" si="0"/>
        <v>427.92090554930348</v>
      </c>
      <c r="S56" s="62">
        <f ca="1">AVERAGE(OFFSET($R$3,0,0,'Données projet'!$E$9+1,1))-AVERAGE(OFFSET($H$3,0,0,'Données projet'!$E$9+1,1))</f>
        <v>189.27804790161417</v>
      </c>
      <c r="T56" s="62">
        <f t="shared" si="34"/>
        <v>212.39018594432073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3.1312352391418621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3.1312352391418621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163.7688</v>
      </c>
      <c r="AK56" s="14">
        <f t="shared" si="35"/>
        <v>41.691423503509803</v>
      </c>
      <c r="AL56" s="22">
        <f t="shared" si="4"/>
        <v>357.84322260194625</v>
      </c>
      <c r="AM56" s="62">
        <f t="shared" si="5"/>
        <v>614.91860080847948</v>
      </c>
      <c r="AN56" s="62">
        <f ca="1">AVERAGE(OFFSET($AM$3,0,0,'Données projet'!$E$10+1,1))-AVERAGE(OFFSET($H$3,0,0,'Données projet'!$E$10+1,1))</f>
        <v>398.11190027805549</v>
      </c>
      <c r="AO56" s="62">
        <f t="shared" si="36"/>
        <v>250.47702091764884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181</v>
      </c>
      <c r="BE56" s="14">
        <f>BD56*VLOOKUP('Données projet'!$B$11,Paramètres!$A$1:$I$89,3,0)*VLOOKUP('Données projet'!$B$11,Paramètres!$A$1:$I$89,5,0)</f>
        <v>172.2396</v>
      </c>
      <c r="BF56" s="14">
        <f t="shared" si="37"/>
        <v>43.591236765546341</v>
      </c>
      <c r="BG56" s="22">
        <f t="shared" si="7"/>
        <v>375.9053740333265</v>
      </c>
      <c r="BH56" s="62">
        <f t="shared" si="8"/>
        <v>632.98075223985973</v>
      </c>
      <c r="BI56" s="62">
        <f ca="1">AVERAGE(OFFSET($BH$3,0,0,'Données projet'!$E$11+1,1))-AVERAGE(OFFSET($H$3,0,0,'Données projet'!$E$11+1,1))</f>
        <v>414.9045204114143</v>
      </c>
      <c r="BJ56" s="62">
        <f t="shared" si="38"/>
        <v>260.29028006191834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172</v>
      </c>
      <c r="O57" s="14">
        <f>N57*VLOOKUP('Données projet'!$B$9,Paramètres!$A$1:$I$89,3,0)*VLOOKUP('Données projet'!$B$9,Paramètres!$A$1:$I$89,5,0)</f>
        <v>80.495999999999995</v>
      </c>
      <c r="P57" s="14">
        <f t="shared" si="33"/>
        <v>22.258415047134118</v>
      </c>
      <c r="Q57" s="22">
        <f t="shared" si="53"/>
        <v>178.96393954042523</v>
      </c>
      <c r="R57" s="62">
        <f t="shared" si="0"/>
        <v>436.66831220776453</v>
      </c>
      <c r="S57" s="62">
        <f ca="1">AVERAGE(OFFSET($R$3,0,0,'Données projet'!$E$9+1,1))-AVERAGE(OFFSET($H$3,0,0,'Données projet'!$E$9+1,1))</f>
        <v>189.27804790161417</v>
      </c>
      <c r="T57" s="62">
        <f t="shared" si="34"/>
        <v>212.39018594432073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3.0698336259672026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3.0698336259672026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171.00719999999998</v>
      </c>
      <c r="AK57" s="14">
        <f t="shared" si="35"/>
        <v>43.315525267338089</v>
      </c>
      <c r="AL57" s="22">
        <f t="shared" si="4"/>
        <v>373.27874650728046</v>
      </c>
      <c r="AM57" s="62">
        <f t="shared" si="5"/>
        <v>630.98311917461979</v>
      </c>
      <c r="AN57" s="62">
        <f ca="1">AVERAGE(OFFSET($AM$3,0,0,'Données projet'!$E$10+1,1))-AVERAGE(OFFSET($H$3,0,0,'Données projet'!$E$10+1,1))</f>
        <v>398.11190027805549</v>
      </c>
      <c r="AO57" s="62">
        <f t="shared" si="36"/>
        <v>250.47702091764884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189</v>
      </c>
      <c r="BE57" s="14">
        <f>BD57*VLOOKUP('Données projet'!$B$11,Paramètres!$A$1:$I$89,3,0)*VLOOKUP('Données projet'!$B$11,Paramètres!$A$1:$I$89,5,0)</f>
        <v>179.85239999999999</v>
      </c>
      <c r="BF57" s="14">
        <f t="shared" si="37"/>
        <v>45.289346318280131</v>
      </c>
      <c r="BG57" s="22">
        <f t="shared" si="7"/>
        <v>392.12187483767121</v>
      </c>
      <c r="BH57" s="62">
        <f t="shared" si="8"/>
        <v>649.82624750501054</v>
      </c>
      <c r="BI57" s="62">
        <f ca="1">AVERAGE(OFFSET($BH$3,0,0,'Données projet'!$E$11+1,1))-AVERAGE(OFFSET($H$3,0,0,'Données projet'!$E$11+1,1))</f>
        <v>414.9045204114143</v>
      </c>
      <c r="BJ57" s="62">
        <f t="shared" si="38"/>
        <v>260.29028006191834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180</v>
      </c>
      <c r="O58" s="14">
        <f>N58*VLOOKUP('Données projet'!$B$9,Paramètres!$A$1:$I$89,3,0)*VLOOKUP('Données projet'!$B$9,Paramètres!$A$1:$I$89,5,0)</f>
        <v>84.24</v>
      </c>
      <c r="P58" s="14">
        <f t="shared" si="33"/>
        <v>23.170749718409468</v>
      </c>
      <c r="Q58" s="22">
        <f t="shared" si="53"/>
        <v>187.07372242622981</v>
      </c>
      <c r="R58" s="62">
        <f t="shared" si="0"/>
        <v>445.39617790670115</v>
      </c>
      <c r="S58" s="62">
        <f ca="1">AVERAGE(OFFSET($R$3,0,0,'Données projet'!$E$9+1,1))-AVERAGE(OFFSET($H$3,0,0,'Données projet'!$E$9+1,1))</f>
        <v>189.27804790161417</v>
      </c>
      <c r="T58" s="62">
        <f t="shared" si="34"/>
        <v>212.39018594432073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3.0096360609756121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3.0096360609756121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178.2456</v>
      </c>
      <c r="AK58" s="14">
        <f t="shared" si="35"/>
        <v>44.931642269910427</v>
      </c>
      <c r="AL58" s="22">
        <f t="shared" si="4"/>
        <v>388.70036362009404</v>
      </c>
      <c r="AM58" s="62">
        <f t="shared" si="5"/>
        <v>647.02281910056536</v>
      </c>
      <c r="AN58" s="62">
        <f ca="1">AVERAGE(OFFSET($AM$3,0,0,'Données projet'!$E$10+1,1))-AVERAGE(OFFSET($H$3,0,0,'Données projet'!$E$10+1,1))</f>
        <v>398.11190027805549</v>
      </c>
      <c r="AO58" s="62">
        <f t="shared" si="36"/>
        <v>250.47702091764884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197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197</v>
      </c>
      <c r="BE58" s="14">
        <f>BD58*VLOOKUP('Données projet'!$B$11,Paramètres!$A$1:$I$89,3,0)*VLOOKUP('Données projet'!$B$11,Paramètres!$A$1:$I$89,5,0)</f>
        <v>187.46520000000001</v>
      </c>
      <c r="BF58" s="14">
        <f t="shared" si="37"/>
        <v>46.979107256618605</v>
      </c>
      <c r="BG58" s="22">
        <f t="shared" si="7"/>
        <v>408.32383513861078</v>
      </c>
      <c r="BH58" s="62">
        <f t="shared" si="8"/>
        <v>666.64629061908215</v>
      </c>
      <c r="BI58" s="62">
        <f ca="1">AVERAGE(OFFSET($BH$3,0,0,'Données projet'!$E$11+1,1))-AVERAGE(OFFSET($H$3,0,0,'Données projet'!$E$11+1,1))</f>
        <v>414.9045204114143</v>
      </c>
      <c r="BJ58" s="62">
        <f t="shared" si="38"/>
        <v>260.29028006191834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21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8</v>
      </c>
      <c r="N59" s="14">
        <f>IF('Données projet'!$A$36&gt;35,N58+M59-V58,IF(A59&lt;'Données projet'!$A$36,$K$205^A59,IF(A59='Données projet'!$A$36,'Données projet'!$B$36,N58+M59-V58)))</f>
        <v>188</v>
      </c>
      <c r="O59" s="14">
        <f>N59*VLOOKUP('Données projet'!$B$9,Paramètres!$A$1:$I$89,3,0)*VLOOKUP('Données projet'!$B$9,Paramètres!$A$1:$I$89,5,0)</f>
        <v>87.983999999999995</v>
      </c>
      <c r="P59" s="14">
        <f t="shared" si="33"/>
        <v>24.078375128721785</v>
      </c>
      <c r="Q59" s="22">
        <f t="shared" si="53"/>
        <v>195.17530334919044</v>
      </c>
      <c r="R59" s="62">
        <f t="shared" si="0"/>
        <v>454.10511928781216</v>
      </c>
      <c r="S59" s="62">
        <f ca="1">AVERAGE(OFFSET($R$3,0,0,'Données projet'!$E$9+1,1))-AVERAGE(OFFSET($H$3,0,0,'Données projet'!$E$9+1,1))</f>
        <v>189.27804790161417</v>
      </c>
      <c r="T59" s="62">
        <f t="shared" si="34"/>
        <v>212.39018594432073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2.9506189335166177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2.9506189335166177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183.6</v>
      </c>
      <c r="AJ59" s="14">
        <f>AI59*VLOOKUP('Données projet'!$B$10,Paramètres!$A$1:$I$89,3,0)*VLOOKUP('Données projet'!$B$10,Paramètres!$A$1:$I$89,5,0)</f>
        <v>166.12127999999998</v>
      </c>
      <c r="AK59" s="14">
        <f t="shared" si="35"/>
        <v>42.220155874487318</v>
      </c>
      <c r="AL59" s="22">
        <f t="shared" si="4"/>
        <v>362.8613341480654</v>
      </c>
      <c r="AM59" s="62">
        <f t="shared" si="5"/>
        <v>621.79115008668714</v>
      </c>
      <c r="AN59" s="62">
        <f ca="1">AVERAGE(OFFSET($AM$3,0,0,'Données projet'!$E$10+1,1))-AVERAGE(OFFSET($H$3,0,0,'Données projet'!$E$10+1,1))</f>
        <v>398.11190027805549</v>
      </c>
      <c r="AO59" s="62">
        <f t="shared" si="36"/>
        <v>250.47702091764884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183.6</v>
      </c>
      <c r="BE59" s="14">
        <f>BD59*VLOOKUP('Données projet'!$B$11,Paramètres!$A$1:$I$89,3,0)*VLOOKUP('Données projet'!$B$11,Paramètres!$A$1:$I$89,5,0)</f>
        <v>174.71376000000001</v>
      </c>
      <c r="BF59" s="14">
        <f t="shared" si="37"/>
        <v>44.144062647515817</v>
      </c>
      <c r="BG59" s="22">
        <f t="shared" si="7"/>
        <v>381.17737444442338</v>
      </c>
      <c r="BH59" s="62">
        <f t="shared" si="8"/>
        <v>640.10719038304512</v>
      </c>
      <c r="BI59" s="62">
        <f ca="1">AVERAGE(OFFSET($BH$3,0,0,'Données projet'!$E$11+1,1))-AVERAGE(OFFSET($H$3,0,0,'Données projet'!$E$11+1,1))</f>
        <v>414.9045204114143</v>
      </c>
      <c r="BJ59" s="62">
        <f t="shared" si="38"/>
        <v>260.29028006191834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8</v>
      </c>
      <c r="N60" s="14">
        <f>IF('Données projet'!$A$36&gt;35,N59+M60-V59,IF(A60&lt;'Données projet'!$A$36,$K$205^A60,IF(A60='Données projet'!$A$36,'Données projet'!$B$36,N59+M60-V59)))</f>
        <v>196</v>
      </c>
      <c r="O60" s="14">
        <f>N60*VLOOKUP('Données projet'!$B$9,Paramètres!$A$1:$I$89,3,0)*VLOOKUP('Données projet'!$B$9,Paramètres!$A$1:$I$89,5,0)</f>
        <v>91.728000000000009</v>
      </c>
      <c r="P60" s="14">
        <f t="shared" si="33"/>
        <v>24.981514582386563</v>
      </c>
      <c r="Q60" s="22">
        <f t="shared" si="53"/>
        <v>203.26907123098991</v>
      </c>
      <c r="R60" s="62">
        <f t="shared" si="0"/>
        <v>462.79571128166765</v>
      </c>
      <c r="S60" s="62">
        <f ca="1">AVERAGE(OFFSET($R$3,0,0,'Données projet'!$E$9+1,1))-AVERAGE(OFFSET($H$3,0,0,'Données projet'!$E$9+1,1))</f>
        <v>189.27804790161417</v>
      </c>
      <c r="T60" s="62">
        <f t="shared" si="34"/>
        <v>212.39018594432073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2.8927590959302005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2.8927590959302005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191.2</v>
      </c>
      <c r="AJ60" s="14">
        <f>AI60*VLOOKUP('Données projet'!$B$10,Paramètres!$A$1:$I$89,3,0)*VLOOKUP('Données projet'!$B$10,Paramètres!$A$1:$I$89,5,0)</f>
        <v>172.99775999999997</v>
      </c>
      <c r="AK60" s="14">
        <f t="shared" si="35"/>
        <v>43.760737531919609</v>
      </c>
      <c r="AL60" s="22">
        <f t="shared" si="4"/>
        <v>377.52104986809326</v>
      </c>
      <c r="AM60" s="62">
        <f t="shared" si="5"/>
        <v>637.04768991877097</v>
      </c>
      <c r="AN60" s="62">
        <f ca="1">AVERAGE(OFFSET($AM$3,0,0,'Données projet'!$E$10+1,1))-AVERAGE(OFFSET($H$3,0,0,'Données projet'!$E$10+1,1))</f>
        <v>398.11190027805549</v>
      </c>
      <c r="AO60" s="62">
        <f t="shared" si="36"/>
        <v>250.47702091764884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191.2</v>
      </c>
      <c r="BE60" s="14">
        <f>BD60*VLOOKUP('Données projet'!$B$11,Paramètres!$A$1:$I$89,3,0)*VLOOKUP('Données projet'!$B$11,Paramètres!$A$1:$I$89,5,0)</f>
        <v>181.94592</v>
      </c>
      <c r="BF60" s="14">
        <f t="shared" si="37"/>
        <v>45.754846212632849</v>
      </c>
      <c r="BG60" s="22">
        <f t="shared" si="7"/>
        <v>396.57883448700221</v>
      </c>
      <c r="BH60" s="62">
        <f t="shared" si="8"/>
        <v>656.10547453767992</v>
      </c>
      <c r="BI60" s="62">
        <f ca="1">AVERAGE(OFFSET($BH$3,0,0,'Données projet'!$E$11+1,1))-AVERAGE(OFFSET($H$3,0,0,'Données projet'!$E$11+1,1))</f>
        <v>414.9045204114143</v>
      </c>
      <c r="BJ60" s="62">
        <f t="shared" si="38"/>
        <v>260.29028006191834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8</v>
      </c>
      <c r="N61" s="14">
        <f>IF('Données projet'!$A$36&gt;35,N60+M61-V60,IF(A61&lt;'Données projet'!$A$36,$K$205^A61,IF(A61='Données projet'!$A$36,'Données projet'!$B$36,N60+M61-V60)))</f>
        <v>204</v>
      </c>
      <c r="O61" s="14">
        <f>N61*VLOOKUP('Données projet'!$B$9,Paramètres!$A$1:$I$89,3,0)*VLOOKUP('Données projet'!$B$9,Paramètres!$A$1:$I$89,5,0)</f>
        <v>95.471999999999994</v>
      </c>
      <c r="P61" s="14">
        <f t="shared" si="33"/>
        <v>25.880372123231169</v>
      </c>
      <c r="Q61" s="22">
        <f t="shared" si="53"/>
        <v>211.35538144796092</v>
      </c>
      <c r="R61" s="62">
        <f t="shared" si="0"/>
        <v>471.46849204664932</v>
      </c>
      <c r="S61" s="62">
        <f ca="1">AVERAGE(OFFSET($R$3,0,0,'Données projet'!$E$9+1,1))-AVERAGE(OFFSET($H$3,0,0,'Données projet'!$E$9+1,1))</f>
        <v>189.27804790161417</v>
      </c>
      <c r="T61" s="62">
        <f t="shared" si="34"/>
        <v>212.39018594432073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2.836033854467837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2.836033854467837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198.79999999999998</v>
      </c>
      <c r="AJ61" s="14">
        <f>AI61*VLOOKUP('Données projet'!$B$10,Paramètres!$A$1:$I$89,3,0)*VLOOKUP('Données projet'!$B$10,Paramètres!$A$1:$I$89,5,0)</f>
        <v>179.87423999999999</v>
      </c>
      <c r="AK61" s="14">
        <f t="shared" si="35"/>
        <v>45.294205745553846</v>
      </c>
      <c r="AL61" s="22">
        <f t="shared" si="4"/>
        <v>392.16837634017293</v>
      </c>
      <c r="AM61" s="62">
        <f t="shared" si="5"/>
        <v>652.28148693886135</v>
      </c>
      <c r="AN61" s="62">
        <f ca="1">AVERAGE(OFFSET($AM$3,0,0,'Données projet'!$E$10+1,1))-AVERAGE(OFFSET($H$3,0,0,'Données projet'!$E$10+1,1))</f>
        <v>398.11190027805549</v>
      </c>
      <c r="AO61" s="62">
        <f t="shared" si="36"/>
        <v>250.47702091764884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198.79999999999998</v>
      </c>
      <c r="BE61" s="14">
        <f>BD61*VLOOKUP('Données projet'!$B$11,Paramètres!$A$1:$I$89,3,0)*VLOOKUP('Données projet'!$B$11,Paramètres!$A$1:$I$89,5,0)</f>
        <v>189.17807999999999</v>
      </c>
      <c r="BF61" s="14">
        <f t="shared" si="37"/>
        <v>47.358192185392497</v>
      </c>
      <c r="BG61" s="22">
        <f t="shared" si="7"/>
        <v>411.96734072289183</v>
      </c>
      <c r="BH61" s="62">
        <f t="shared" si="8"/>
        <v>672.08045132158031</v>
      </c>
      <c r="BI61" s="62">
        <f ca="1">AVERAGE(OFFSET($BH$3,0,0,'Données projet'!$E$11+1,1))-AVERAGE(OFFSET($H$3,0,0,'Données projet'!$E$11+1,1))</f>
        <v>414.9045204114143</v>
      </c>
      <c r="BJ61" s="62">
        <f t="shared" si="38"/>
        <v>260.29028006191834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8</v>
      </c>
      <c r="N62" s="14">
        <f>IF('Données projet'!$A$36&gt;35,N61+M62-V61,IF(A62&lt;'Données projet'!$A$36,$K$205^A62,IF(A62='Données projet'!$A$36,'Données projet'!$B$36,N61+M62-V61)))</f>
        <v>212</v>
      </c>
      <c r="O62" s="14">
        <f>N62*VLOOKUP('Données projet'!$B$9,Paramètres!$A$1:$I$89,3,0)*VLOOKUP('Données projet'!$B$9,Paramètres!$A$1:$I$89,5,0)</f>
        <v>99.215999999999994</v>
      </c>
      <c r="P62" s="14">
        <f t="shared" si="33"/>
        <v>26.775134885576414</v>
      </c>
      <c r="Q62" s="22">
        <f t="shared" si="53"/>
        <v>219.43455992571219</v>
      </c>
      <c r="R62" s="62">
        <f t="shared" si="0"/>
        <v>480.123967119555</v>
      </c>
      <c r="S62" s="62">
        <f ca="1">AVERAGE(OFFSET($R$3,0,0,'Données projet'!$E$9+1,1))-AVERAGE(OFFSET($H$3,0,0,'Données projet'!$E$9+1,1))</f>
        <v>189.27804790161417</v>
      </c>
      <c r="T62" s="62">
        <f t="shared" si="34"/>
        <v>212.39018594432073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2.7804209603915693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2.7804209603915693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206.39999999999998</v>
      </c>
      <c r="AJ62" s="14">
        <f>AI62*VLOOKUP('Données projet'!$B$10,Paramètres!$A$1:$I$89,3,0)*VLOOKUP('Données projet'!$B$10,Paramètres!$A$1:$I$89,5,0)</f>
        <v>186.75071999999997</v>
      </c>
      <c r="AK62" s="14">
        <f t="shared" si="35"/>
        <v>46.820863587839391</v>
      </c>
      <c r="AL62" s="22">
        <f t="shared" si="4"/>
        <v>406.80384141548689</v>
      </c>
      <c r="AM62" s="62">
        <f t="shared" si="5"/>
        <v>667.49324860932961</v>
      </c>
      <c r="AN62" s="62">
        <f ca="1">AVERAGE(OFFSET($AM$3,0,0,'Données projet'!$E$10+1,1))-AVERAGE(OFFSET($H$3,0,0,'Données projet'!$E$10+1,1))</f>
        <v>398.11190027805549</v>
      </c>
      <c r="AO62" s="62">
        <f t="shared" si="36"/>
        <v>250.47702091764884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206.39999999999998</v>
      </c>
      <c r="BE62" s="14">
        <f>BD62*VLOOKUP('Données projet'!$B$11,Paramètres!$A$1:$I$89,3,0)*VLOOKUP('Données projet'!$B$11,Paramètres!$A$1:$I$89,5,0)</f>
        <v>196.41023999999999</v>
      </c>
      <c r="BF62" s="14">
        <f t="shared" si="37"/>
        <v>48.954417448783772</v>
      </c>
      <c r="BG62" s="22">
        <f t="shared" si="7"/>
        <v>427.34344505663171</v>
      </c>
      <c r="BH62" s="62">
        <f t="shared" si="8"/>
        <v>688.03285225047443</v>
      </c>
      <c r="BI62" s="62">
        <f ca="1">AVERAGE(OFFSET($BH$3,0,0,'Données projet'!$E$11+1,1))-AVERAGE(OFFSET($H$3,0,0,'Données projet'!$E$11+1,1))</f>
        <v>414.9045204114143</v>
      </c>
      <c r="BJ62" s="62">
        <f t="shared" si="38"/>
        <v>260.29028006191834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220</v>
      </c>
      <c r="L63" s="13">
        <f>VLOOKUP(A63,'Données projet'!$A$35:$I$55,9,0)</f>
        <v>8</v>
      </c>
      <c r="M63" s="13">
        <f t="array" ref="M63">INDEX(L:L,MIN(IF(ISNUMBER(L63:L259),ROW(L63:L259),"")))</f>
        <v>8</v>
      </c>
      <c r="N63" s="14">
        <f>IF('Données projet'!$A$36&gt;35,N62+M63-V62,IF(A63&lt;'Données projet'!$A$36,$K$205^A63,IF(A63='Données projet'!$A$36,'Données projet'!$B$36,N62+M63-V62)))</f>
        <v>220</v>
      </c>
      <c r="O63" s="14">
        <f>N63*VLOOKUP('Données projet'!$B$9,Paramètres!$A$1:$I$89,3,0)*VLOOKUP('Données projet'!$B$9,Paramètres!$A$1:$I$89,5,0)</f>
        <v>102.96000000000001</v>
      </c>
      <c r="P63" s="14">
        <f t="shared" si="33"/>
        <v>27.665975080374633</v>
      </c>
      <c r="Q63" s="22">
        <f t="shared" si="53"/>
        <v>227.50690659831915</v>
      </c>
      <c r="R63" s="62">
        <f t="shared" si="0"/>
        <v>488.76261292979666</v>
      </c>
      <c r="S63" s="62">
        <f ca="1">AVERAGE(OFFSET($R$3,0,0,'Données projet'!$E$9+1,1))-AVERAGE(OFFSET($H$3,0,0,'Données projet'!$E$9+1,1))</f>
        <v>189.27804790161417</v>
      </c>
      <c r="T63" s="62">
        <f t="shared" si="34"/>
        <v>212.39018594432073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70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2.7258986012476214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2.7258986012476214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213.99999999999997</v>
      </c>
      <c r="AJ63" s="14">
        <f>AI63*VLOOKUP('Données projet'!$B$10,Paramètres!$A$1:$I$89,3,0)*VLOOKUP('Données projet'!$B$10,Paramètres!$A$1:$I$89,5,0)</f>
        <v>193.62719999999996</v>
      </c>
      <c r="AK63" s="14">
        <f t="shared" si="35"/>
        <v>48.340990547231193</v>
      </c>
      <c r="AL63" s="22">
        <f t="shared" si="4"/>
        <v>421.42793186976087</v>
      </c>
      <c r="AM63" s="62">
        <f t="shared" si="5"/>
        <v>682.68363820123841</v>
      </c>
      <c r="AN63" s="62">
        <f ca="1">AVERAGE(OFFSET($AM$3,0,0,'Données projet'!$E$10+1,1))-AVERAGE(OFFSET($H$3,0,0,'Données projet'!$E$10+1,1))</f>
        <v>398.11190027805549</v>
      </c>
      <c r="AO63" s="62">
        <f t="shared" si="36"/>
        <v>250.47702091764884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214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213.99999999999997</v>
      </c>
      <c r="BE63" s="14">
        <f>BD63*VLOOKUP('Données projet'!$B$11,Paramètres!$A$1:$I$89,3,0)*VLOOKUP('Données projet'!$B$11,Paramètres!$A$1:$I$89,5,0)</f>
        <v>203.64239999999998</v>
      </c>
      <c r="BF63" s="14">
        <f t="shared" si="37"/>
        <v>50.543814227115405</v>
      </c>
      <c r="BG63" s="22">
        <f t="shared" si="7"/>
        <v>442.70765644555928</v>
      </c>
      <c r="BH63" s="62">
        <f t="shared" si="8"/>
        <v>703.96336277703676</v>
      </c>
      <c r="BI63" s="62">
        <f ca="1">AVERAGE(OFFSET($BH$3,0,0,'Données projet'!$E$11+1,1))-AVERAGE(OFFSET($H$3,0,0,'Données projet'!$E$11+1,1))</f>
        <v>414.9045204114143</v>
      </c>
      <c r="BJ63" s="62">
        <f t="shared" si="38"/>
        <v>260.29028006191834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21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7.5</v>
      </c>
      <c r="N64" s="14">
        <f>IF('Données projet'!$A$36&gt;35,N63+M64-V63,IF(A64&lt;'Données projet'!$A$36,$K$205^A64,IF(A64='Données projet'!$A$36,'Données projet'!$B$36,N63+M64-V63)))</f>
        <v>157.5</v>
      </c>
      <c r="O64" s="14">
        <f>N64*VLOOKUP('Données projet'!$B$9,Paramètres!$A$1:$I$89,3,0)*VLOOKUP('Données projet'!$B$9,Paramètres!$A$1:$I$89,5,0)</f>
        <v>73.709999999999994</v>
      </c>
      <c r="P64" s="14">
        <f t="shared" si="33"/>
        <v>20.591993942534767</v>
      </c>
      <c r="Q64" s="22">
        <f t="shared" si="53"/>
        <v>164.24263944991469</v>
      </c>
      <c r="R64" s="62">
        <f t="shared" si="0"/>
        <v>426.05482089504403</v>
      </c>
      <c r="S64" s="62">
        <f ca="1">AVERAGE(OFFSET($R$3,0,0,'Données projet'!$E$9+1,1))-AVERAGE(OFFSET($H$3,0,0,'Données projet'!$E$9+1,1))</f>
        <v>189.27804790161417</v>
      </c>
      <c r="T64" s="62">
        <f t="shared" si="34"/>
        <v>212.39018594432073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2.6724453923111309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2.6724453923111309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181.14095999999995</v>
      </c>
      <c r="AK64" s="14">
        <f t="shared" si="35"/>
        <v>45.575935320610945</v>
      </c>
      <c r="AL64" s="22">
        <f t="shared" si="4"/>
        <v>394.86525935006392</v>
      </c>
      <c r="AM64" s="62">
        <f t="shared" si="5"/>
        <v>656.67744079519321</v>
      </c>
      <c r="AN64" s="62">
        <f ca="1">AVERAGE(OFFSET($AM$3,0,0,'Données projet'!$E$10+1,1))-AVERAGE(OFFSET($H$3,0,0,'Données projet'!$E$10+1,1))</f>
        <v>398.11190027805549</v>
      </c>
      <c r="AO64" s="62">
        <f t="shared" si="36"/>
        <v>250.47702091764884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200.19999999999996</v>
      </c>
      <c r="BE64" s="14">
        <f>BD64*VLOOKUP('Données projet'!$B$11,Paramètres!$A$1:$I$89,3,0)*VLOOKUP('Données projet'!$B$11,Paramètres!$A$1:$I$89,5,0)</f>
        <v>190.51031999999995</v>
      </c>
      <c r="BF64" s="14">
        <f t="shared" si="37"/>
        <v>47.652759738576151</v>
      </c>
      <c r="BG64" s="22">
        <f t="shared" si="7"/>
        <v>414.80069721135334</v>
      </c>
      <c r="BH64" s="62">
        <f t="shared" si="8"/>
        <v>676.61287865648274</v>
      </c>
      <c r="BI64" s="62">
        <f ca="1">AVERAGE(OFFSET($BH$3,0,0,'Données projet'!$E$11+1,1))-AVERAGE(OFFSET($H$3,0,0,'Données projet'!$E$11+1,1))</f>
        <v>414.9045204114143</v>
      </c>
      <c r="BJ64" s="62">
        <f t="shared" si="38"/>
        <v>260.29028006191834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7.5</v>
      </c>
      <c r="N65" s="14">
        <f>IF('Données projet'!$A$36&gt;35,N64+M65-V64,IF(A65&lt;'Données projet'!$A$36,$K$205^A65,IF(A65='Données projet'!$A$36,'Données projet'!$B$36,N64+M65-V64)))</f>
        <v>165</v>
      </c>
      <c r="O65" s="14">
        <f>N65*VLOOKUP('Données projet'!$B$9,Paramètres!$A$1:$I$89,3,0)*VLOOKUP('Données projet'!$B$9,Paramètres!$A$1:$I$89,5,0)</f>
        <v>77.22</v>
      </c>
      <c r="P65" s="14">
        <f t="shared" si="33"/>
        <v>21.456066856215884</v>
      </c>
      <c r="Q65" s="22">
        <f t="shared" si="53"/>
        <v>171.86081644124263</v>
      </c>
      <c r="R65" s="62">
        <f t="shared" si="0"/>
        <v>434.21981940089393</v>
      </c>
      <c r="S65" s="62">
        <f ca="1">AVERAGE(OFFSET($R$3,0,0,'Données projet'!$E$9+1,1))-AVERAGE(OFFSET($H$3,0,0,'Données projet'!$E$9+1,1))</f>
        <v>189.27804790161417</v>
      </c>
      <c r="T65" s="62">
        <f t="shared" si="34"/>
        <v>212.39018594432073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2.6200403681986466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2.6200403681986466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187.65551999999994</v>
      </c>
      <c r="AK65" s="14">
        <f t="shared" si="35"/>
        <v>47.021247649900147</v>
      </c>
      <c r="AL65" s="22">
        <f t="shared" si="4"/>
        <v>408.72870365690932</v>
      </c>
      <c r="AM65" s="62">
        <f t="shared" si="5"/>
        <v>671.08770661656058</v>
      </c>
      <c r="AN65" s="62">
        <f ca="1">AVERAGE(OFFSET($AM$3,0,0,'Données projet'!$E$10+1,1))-AVERAGE(OFFSET($H$3,0,0,'Données projet'!$E$10+1,1))</f>
        <v>398.11190027805549</v>
      </c>
      <c r="AO65" s="62">
        <f t="shared" si="36"/>
        <v>250.47702091764884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207.39999999999995</v>
      </c>
      <c r="BE65" s="14">
        <f>BD65*VLOOKUP('Données projet'!$B$11,Paramètres!$A$1:$I$89,3,0)*VLOOKUP('Données projet'!$B$11,Paramètres!$A$1:$I$89,5,0)</f>
        <v>197.36183999999994</v>
      </c>
      <c r="BF65" s="14">
        <f t="shared" si="37"/>
        <v>49.163932700585988</v>
      </c>
      <c r="BG65" s="22">
        <f t="shared" si="7"/>
        <v>429.36572078685384</v>
      </c>
      <c r="BH65" s="62">
        <f t="shared" si="8"/>
        <v>691.72472374650511</v>
      </c>
      <c r="BI65" s="62">
        <f ca="1">AVERAGE(OFFSET($BH$3,0,0,'Données projet'!$E$11+1,1))-AVERAGE(OFFSET($H$3,0,0,'Données projet'!$E$11+1,1))</f>
        <v>414.9045204114143</v>
      </c>
      <c r="BJ65" s="62">
        <f t="shared" si="38"/>
        <v>260.29028006191834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7.5</v>
      </c>
      <c r="N66" s="14">
        <f>IF('Données projet'!$A$36&gt;35,N65+M66-V65,IF(A66&lt;'Données projet'!$A$36,$K$205^A66,IF(A66='Données projet'!$A$36,'Données projet'!$B$36,N65+M66-V65)))</f>
        <v>172.5</v>
      </c>
      <c r="O66" s="14">
        <f>N66*VLOOKUP('Données projet'!$B$9,Paramètres!$A$1:$I$89,3,0)*VLOOKUP('Données projet'!$B$9,Paramètres!$A$1:$I$89,5,0)</f>
        <v>80.72999999999999</v>
      </c>
      <c r="P66" s="14">
        <f t="shared" si="33"/>
        <v>22.315578453114171</v>
      </c>
      <c r="Q66" s="22">
        <f t="shared" si="53"/>
        <v>179.47104913917383</v>
      </c>
      <c r="R66" s="62">
        <f t="shared" si="0"/>
        <v>442.36738748257994</v>
      </c>
      <c r="S66" s="62">
        <f ca="1">AVERAGE(OFFSET($R$3,0,0,'Données projet'!$E$9+1,1))-AVERAGE(OFFSET($H$3,0,0,'Données projet'!$E$9+1,1))</f>
        <v>189.27804790161417</v>
      </c>
      <c r="T66" s="62">
        <f t="shared" si="34"/>
        <v>212.39018594432073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2.5686629746451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2.5686629746451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194.17007999999996</v>
      </c>
      <c r="AK66" s="14">
        <f t="shared" si="35"/>
        <v>48.460730182351035</v>
      </c>
      <c r="AL66" s="22">
        <f t="shared" si="4"/>
        <v>422.5819944009279</v>
      </c>
      <c r="AM66" s="62">
        <f t="shared" si="5"/>
        <v>685.47833274433401</v>
      </c>
      <c r="AN66" s="62">
        <f ca="1">AVERAGE(OFFSET($AM$3,0,0,'Données projet'!$E$10+1,1))-AVERAGE(OFFSET($H$3,0,0,'Données projet'!$E$10+1,1))</f>
        <v>398.11190027805549</v>
      </c>
      <c r="AO66" s="62">
        <f t="shared" si="36"/>
        <v>250.47702091764884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214.59999999999994</v>
      </c>
      <c r="BE66" s="14">
        <f>BD66*VLOOKUP('Données projet'!$B$11,Paramètres!$A$1:$I$89,3,0)*VLOOKUP('Données projet'!$B$11,Paramètres!$A$1:$I$89,5,0)</f>
        <v>204.21335999999994</v>
      </c>
      <c r="BF66" s="14">
        <f t="shared" si="37"/>
        <v>50.669010210991836</v>
      </c>
      <c r="BG66" s="22">
        <f t="shared" si="7"/>
        <v>443.9201281174773</v>
      </c>
      <c r="BH66" s="62">
        <f t="shared" si="8"/>
        <v>706.81646646088348</v>
      </c>
      <c r="BI66" s="62">
        <f ca="1">AVERAGE(OFFSET($BH$3,0,0,'Données projet'!$E$11+1,1))-AVERAGE(OFFSET($H$3,0,0,'Données projet'!$E$11+1,1))</f>
        <v>414.9045204114143</v>
      </c>
      <c r="BJ66" s="62">
        <f t="shared" si="38"/>
        <v>260.29028006191834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7.5</v>
      </c>
      <c r="N67" s="14">
        <f>IF('Données projet'!$A$36&gt;35,N66+M67-V66,IF(A67&lt;'Données projet'!$A$36,$K$205^A67,IF(A67='Données projet'!$A$36,'Données projet'!$B$36,N66+M67-V66)))</f>
        <v>180</v>
      </c>
      <c r="O67" s="14">
        <f>N67*VLOOKUP('Données projet'!$B$9,Paramètres!$A$1:$I$89,3,0)*VLOOKUP('Données projet'!$B$9,Paramètres!$A$1:$I$89,5,0)</f>
        <v>84.24</v>
      </c>
      <c r="P67" s="14">
        <f t="shared" si="33"/>
        <v>23.170749718409468</v>
      </c>
      <c r="Q67" s="22">
        <f t="shared" ref="Q67:Q98" si="54">(O67+P67)*0.475*44/12</f>
        <v>187.07372242622981</v>
      </c>
      <c r="R67" s="62">
        <f t="shared" ref="R67:R130" si="55">Q67+(I67+J67)*44/12</f>
        <v>450.49807458578459</v>
      </c>
      <c r="S67" s="62">
        <f ca="1">AVERAGE(OFFSET($R$3,0,0,'Données projet'!$E$9+1,1))-AVERAGE(OFFSET($H$3,0,0,'Données projet'!$E$9+1,1))</f>
        <v>189.27804790161417</v>
      </c>
      <c r="T67" s="62">
        <f t="shared" si="34"/>
        <v>212.39018594432073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2.5182930604420224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2.5182930604420224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200.68463999999992</v>
      </c>
      <c r="AK67" s="14">
        <f t="shared" si="35"/>
        <v>49.894600936700193</v>
      </c>
      <c r="AL67" s="22">
        <f t="shared" si="4"/>
        <v>436.42551129808606</v>
      </c>
      <c r="AM67" s="62">
        <f t="shared" si="5"/>
        <v>699.84986345764082</v>
      </c>
      <c r="AN67" s="62">
        <f ca="1">AVERAGE(OFFSET($AM$3,0,0,'Données projet'!$E$10+1,1))-AVERAGE(OFFSET($H$3,0,0,'Données projet'!$E$10+1,1))</f>
        <v>398.11190027805549</v>
      </c>
      <c r="AO67" s="62">
        <f t="shared" si="36"/>
        <v>250.47702091764884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221.79999999999993</v>
      </c>
      <c r="BE67" s="14">
        <f>BD67*VLOOKUP('Données projet'!$B$11,Paramètres!$A$1:$I$89,3,0)*VLOOKUP('Données projet'!$B$11,Paramètres!$A$1:$I$89,5,0)</f>
        <v>211.06487999999993</v>
      </c>
      <c r="BF67" s="14">
        <f t="shared" si="37"/>
        <v>52.168220223304395</v>
      </c>
      <c r="BG67" s="22">
        <f t="shared" si="7"/>
        <v>458.46431622225504</v>
      </c>
      <c r="BH67" s="62">
        <f t="shared" si="8"/>
        <v>721.88866838180979</v>
      </c>
      <c r="BI67" s="62">
        <f ca="1">AVERAGE(OFFSET($BH$3,0,0,'Données projet'!$E$11+1,1))-AVERAGE(OFFSET($H$3,0,0,'Données projet'!$E$11+1,1))</f>
        <v>414.9045204114143</v>
      </c>
      <c r="BJ67" s="62">
        <f t="shared" si="38"/>
        <v>260.29028006191834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7.5</v>
      </c>
      <c r="N68" s="14">
        <f>IF('Données projet'!$A$36&gt;35,N67+M68-V67,IF(A68&lt;'Données projet'!$A$36,$K$205^A68,IF(A68='Données projet'!$A$36,'Données projet'!$B$36,N67+M68-V67)))</f>
        <v>187.5</v>
      </c>
      <c r="O68" s="14">
        <f>N68*VLOOKUP('Données projet'!$B$9,Paramètres!$A$1:$I$89,3,0)*VLOOKUP('Données projet'!$B$9,Paramètres!$A$1:$I$89,5,0)</f>
        <v>87.75</v>
      </c>
      <c r="P68" s="14">
        <f t="shared" si="33"/>
        <v>24.021782179979688</v>
      </c>
      <c r="Q68" s="22">
        <f t="shared" si="54"/>
        <v>194.66918729679796</v>
      </c>
      <c r="R68" s="62">
        <f t="shared" si="55"/>
        <v>458.61239341325313</v>
      </c>
      <c r="S68" s="62">
        <f ca="1">AVERAGE(OFFSET($R$3,0,0,'Données projet'!$E$9+1,1))-AVERAGE(OFFSET($H$3,0,0,'Données projet'!$E$9+1,1))</f>
        <v>189.27804790161417</v>
      </c>
      <c r="T68" s="62">
        <f t="shared" si="34"/>
        <v>212.39018594432073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2.4689108695338531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2.4689108695338531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207.19919999999991</v>
      </c>
      <c r="AK68" s="14">
        <f t="shared" si="35"/>
        <v>51.3230629736655</v>
      </c>
      <c r="AL68" s="22">
        <f t="shared" ref="AL68:AL131" si="58">(AJ68+AK68)*0.475*44/12</f>
        <v>450.25960801246725</v>
      </c>
      <c r="AM68" s="62">
        <f t="shared" ref="AM68:AM131" si="59">AL68+(AD68+AE68)*44/12</f>
        <v>714.20281412892245</v>
      </c>
      <c r="AN68" s="62">
        <f ca="1">AVERAGE(OFFSET($AM$3,0,0,'Données projet'!$E$10+1,1))-AVERAGE(OFFSET($H$3,0,0,'Données projet'!$E$10+1,1))</f>
        <v>398.11190027805549</v>
      </c>
      <c r="AO68" s="62">
        <f t="shared" si="36"/>
        <v>250.47702091764884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228.99999999999991</v>
      </c>
      <c r="BE68" s="14">
        <f>BD68*VLOOKUP('Données projet'!$B$11,Paramètres!$A$1:$I$89,3,0)*VLOOKUP('Données projet'!$B$11,Paramètres!$A$1:$I$89,5,0)</f>
        <v>217.91639999999992</v>
      </c>
      <c r="BF68" s="14">
        <f t="shared" si="37"/>
        <v>53.661775051402536</v>
      </c>
      <c r="BG68" s="22">
        <f t="shared" ref="BG68:BG131" si="61">(BE68+BF68)*0.475*44/12</f>
        <v>472.99865488119258</v>
      </c>
      <c r="BH68" s="62">
        <f t="shared" ref="BH68:BH131" si="62">BG68+(AY68+AZ68)*44/12</f>
        <v>736.94186099764784</v>
      </c>
      <c r="BI68" s="62">
        <f ca="1">AVERAGE(OFFSET($BH$3,0,0,'Données projet'!$E$11+1,1))-AVERAGE(OFFSET($H$3,0,0,'Données projet'!$E$11+1,1))</f>
        <v>414.9045204114143</v>
      </c>
      <c r="BJ68" s="62">
        <f t="shared" si="38"/>
        <v>260.29028006191834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21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7.5</v>
      </c>
      <c r="N69" s="14">
        <f>IF('Données projet'!$A$36&gt;35,N68+M69-V68,IF(A69&lt;'Données projet'!$A$36,$K$205^A69,IF(A69='Données projet'!$A$36,'Données projet'!$B$36,N68+M69-V68)))</f>
        <v>195</v>
      </c>
      <c r="O69" s="14">
        <f>N69*VLOOKUP('Données projet'!$B$9,Paramètres!$A$1:$I$89,3,0)*VLOOKUP('Données projet'!$B$9,Paramètres!$A$1:$I$89,5,0)</f>
        <v>91.26</v>
      </c>
      <c r="P69" s="14">
        <f t="shared" ref="P69:P132" si="87">EXP(-1.0587+0.8836*LN(O69)+0.284)</f>
        <v>24.868860330902777</v>
      </c>
      <c r="Q69" s="22">
        <f t="shared" si="54"/>
        <v>202.25776507632233</v>
      </c>
      <c r="R69" s="62">
        <f t="shared" si="55"/>
        <v>466.71082419350944</v>
      </c>
      <c r="S69" s="62">
        <f ca="1">AVERAGE(OFFSET($R$3,0,0,'Données projet'!$E$9+1,1))-AVERAGE(OFFSET($H$3,0,0,'Données projet'!$E$9+1,1))</f>
        <v>189.27804790161417</v>
      </c>
      <c r="T69" s="62">
        <f t="shared" ref="T69:T132" si="88">$T$3</f>
        <v>212.39018594432073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2.4204970332692306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2.4204970332692306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214.79999999999993</v>
      </c>
      <c r="AJ69" s="14">
        <f>AI69*VLOOKUP('Données projet'!$B$10,Paramètres!$A$1:$I$89,3,0)*VLOOKUP('Données projet'!$B$10,Paramètres!$A$1:$I$89,5,0)</f>
        <v>194.35103999999993</v>
      </c>
      <c r="AK69" s="14">
        <f t="shared" ref="AK69:AK132" si="89">EXP(-1.0587+0.8836*LN(AJ69)+0.284)</f>
        <v>48.500634729810159</v>
      </c>
      <c r="AL69" s="22">
        <f t="shared" si="58"/>
        <v>422.96666682108594</v>
      </c>
      <c r="AM69" s="62">
        <f t="shared" si="59"/>
        <v>687.41972593827302</v>
      </c>
      <c r="AN69" s="62">
        <f ca="1">AVERAGE(OFFSET($AM$3,0,0,'Données projet'!$E$10+1,1))-AVERAGE(OFFSET($H$3,0,0,'Données projet'!$E$10+1,1))</f>
        <v>398.11190027805549</v>
      </c>
      <c r="AO69" s="62">
        <f t="shared" ref="AO69:AO132" si="90">$AO$3</f>
        <v>250.47702091764884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214.79999999999993</v>
      </c>
      <c r="BE69" s="14">
        <f>BD69*VLOOKUP('Données projet'!$B$11,Paramètres!$A$1:$I$89,3,0)*VLOOKUP('Données projet'!$B$11,Paramètres!$A$1:$I$89,5,0)</f>
        <v>204.40367999999995</v>
      </c>
      <c r="BF69" s="14">
        <f t="shared" ref="BF69:BF132" si="91">EXP(-1.0587+0.8836*LN(BE69)+0.284)</f>
        <v>50.710733146553501</v>
      </c>
      <c r="BG69" s="22">
        <f t="shared" si="61"/>
        <v>444.32426956358057</v>
      </c>
      <c r="BH69" s="62">
        <f t="shared" si="62"/>
        <v>708.7773286807676</v>
      </c>
      <c r="BI69" s="62">
        <f ca="1">AVERAGE(OFFSET($BH$3,0,0,'Données projet'!$E$11+1,1))-AVERAGE(OFFSET($H$3,0,0,'Données projet'!$E$11+1,1))</f>
        <v>414.9045204114143</v>
      </c>
      <c r="BJ69" s="62">
        <f t="shared" ref="BJ69:BJ132" si="92">$BJ$3</f>
        <v>260.29028006191834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7.5</v>
      </c>
      <c r="N70" s="14">
        <f>IF('Données projet'!$A$36&gt;35,N69+M70-V69,IF(A70&lt;'Données projet'!$A$36,$K$205^A70,IF(A70='Données projet'!$A$36,'Données projet'!$B$36,N69+M70-V69)))</f>
        <v>202.5</v>
      </c>
      <c r="O70" s="14">
        <f>N70*VLOOKUP('Données projet'!$B$9,Paramètres!$A$1:$I$89,3,0)*VLOOKUP('Données projet'!$B$9,Paramètres!$A$1:$I$89,5,0)</f>
        <v>94.77</v>
      </c>
      <c r="P70" s="14">
        <f t="shared" si="87"/>
        <v>25.712153668783351</v>
      </c>
      <c r="Q70" s="22">
        <f t="shared" si="54"/>
        <v>209.839750973131</v>
      </c>
      <c r="R70" s="62">
        <f t="shared" si="55"/>
        <v>474.79381828134791</v>
      </c>
      <c r="S70" s="62">
        <f ca="1">AVERAGE(OFFSET($R$3,0,0,'Données projet'!$E$9+1,1))-AVERAGE(OFFSET($H$3,0,0,'Données projet'!$E$9+1,1))</f>
        <v>189.27804790161417</v>
      </c>
      <c r="T70" s="62">
        <f t="shared" si="88"/>
        <v>212.39018594432073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2.3730325628042332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2.3730325628042332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221.59999999999994</v>
      </c>
      <c r="AJ70" s="14">
        <f>AI70*VLOOKUP('Données projet'!$B$10,Paramètres!$A$1:$I$89,3,0)*VLOOKUP('Données projet'!$B$10,Paramètres!$A$1:$I$89,5,0)</f>
        <v>200.50367999999995</v>
      </c>
      <c r="AK70" s="14">
        <f t="shared" si="89"/>
        <v>49.854845135229887</v>
      </c>
      <c r="AL70" s="22">
        <f t="shared" si="58"/>
        <v>436.04109794385857</v>
      </c>
      <c r="AM70" s="62">
        <f t="shared" si="59"/>
        <v>700.99516525207548</v>
      </c>
      <c r="AN70" s="62">
        <f ca="1">AVERAGE(OFFSET($AM$3,0,0,'Données projet'!$E$10+1,1))-AVERAGE(OFFSET($H$3,0,0,'Données projet'!$E$10+1,1))</f>
        <v>398.11190027805549</v>
      </c>
      <c r="AO70" s="62">
        <f t="shared" si="90"/>
        <v>250.47702091764884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221.59999999999994</v>
      </c>
      <c r="BE70" s="14">
        <f>BD70*VLOOKUP('Données projet'!$B$11,Paramètres!$A$1:$I$89,3,0)*VLOOKUP('Données projet'!$B$11,Paramètres!$A$1:$I$89,5,0)</f>
        <v>210.87455999999995</v>
      </c>
      <c r="BF70" s="14">
        <f t="shared" si="91"/>
        <v>52.126652811854591</v>
      </c>
      <c r="BG70" s="22">
        <f t="shared" si="61"/>
        <v>458.06044564731332</v>
      </c>
      <c r="BH70" s="62">
        <f t="shared" si="62"/>
        <v>723.01451295553022</v>
      </c>
      <c r="BI70" s="62">
        <f ca="1">AVERAGE(OFFSET($BH$3,0,0,'Données projet'!$E$11+1,1))-AVERAGE(OFFSET($H$3,0,0,'Données projet'!$E$11+1,1))</f>
        <v>414.9045204114143</v>
      </c>
      <c r="BJ70" s="62">
        <f t="shared" si="92"/>
        <v>260.29028006191834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7.5</v>
      </c>
      <c r="N71" s="14">
        <f>IF('Données projet'!$A$36&gt;35,N70+M71-V70,IF(A71&lt;'Données projet'!$A$36,$K$205^A71,IF(A71='Données projet'!$A$36,'Données projet'!$B$36,N70+M71-V70)))</f>
        <v>210</v>
      </c>
      <c r="O71" s="14">
        <f>N71*VLOOKUP('Données projet'!$B$9,Paramètres!$A$1:$I$89,3,0)*VLOOKUP('Données projet'!$B$9,Paramètres!$A$1:$I$89,5,0)</f>
        <v>98.28</v>
      </c>
      <c r="P71" s="14">
        <f t="shared" si="87"/>
        <v>26.551818424463473</v>
      </c>
      <c r="Q71" s="22">
        <f t="shared" si="54"/>
        <v>217.41541708927389</v>
      </c>
      <c r="R71" s="62">
        <f t="shared" si="55"/>
        <v>482.86180121649272</v>
      </c>
      <c r="S71" s="62">
        <f ca="1">AVERAGE(OFFSET($R$3,0,0,'Données projet'!$E$9+1,1))-AVERAGE(OFFSET($H$3,0,0,'Données projet'!$E$9+1,1))</f>
        <v>189.27804790161417</v>
      </c>
      <c r="T71" s="62">
        <f t="shared" si="88"/>
        <v>212.39018594432073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2.326498841654586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2.326498841654586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228.39999999999995</v>
      </c>
      <c r="AJ71" s="14">
        <f>AI71*VLOOKUP('Données projet'!$B$10,Paramètres!$A$1:$I$89,3,0)*VLOOKUP('Données projet'!$B$10,Paramètres!$A$1:$I$89,5,0)</f>
        <v>206.65631999999994</v>
      </c>
      <c r="AK71" s="14">
        <f t="shared" si="89"/>
        <v>51.20422634371338</v>
      </c>
      <c r="AL71" s="22">
        <f t="shared" si="58"/>
        <v>449.10711821530072</v>
      </c>
      <c r="AM71" s="62">
        <f t="shared" si="59"/>
        <v>714.55350234251955</v>
      </c>
      <c r="AN71" s="62">
        <f ca="1">AVERAGE(OFFSET($AM$3,0,0,'Données projet'!$E$10+1,1))-AVERAGE(OFFSET($H$3,0,0,'Données projet'!$E$10+1,1))</f>
        <v>398.11190027805549</v>
      </c>
      <c r="AO71" s="62">
        <f t="shared" si="90"/>
        <v>250.47702091764884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228.39999999999995</v>
      </c>
      <c r="BE71" s="14">
        <f>BD71*VLOOKUP('Données projet'!$B$11,Paramètres!$A$1:$I$89,3,0)*VLOOKUP('Données projet'!$B$11,Paramètres!$A$1:$I$89,5,0)</f>
        <v>217.34543999999994</v>
      </c>
      <c r="BF71" s="14">
        <f t="shared" si="91"/>
        <v>53.537523221233471</v>
      </c>
      <c r="BG71" s="22">
        <f t="shared" si="61"/>
        <v>471.78782761031488</v>
      </c>
      <c r="BH71" s="62">
        <f t="shared" si="62"/>
        <v>737.23421173753377</v>
      </c>
      <c r="BI71" s="62">
        <f ca="1">AVERAGE(OFFSET($BH$3,0,0,'Données projet'!$E$11+1,1))-AVERAGE(OFFSET($H$3,0,0,'Données projet'!$E$11+1,1))</f>
        <v>414.9045204114143</v>
      </c>
      <c r="BJ71" s="62">
        <f t="shared" si="92"/>
        <v>260.29028006191834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7.5</v>
      </c>
      <c r="N72" s="14">
        <f>IF('Données projet'!$A$36&gt;35,N71+M72-V71,IF(A72&lt;'Données projet'!$A$36,$K$205^A72,IF(A72='Données projet'!$A$36,'Données projet'!$B$36,N71+M72-V71)))</f>
        <v>217.5</v>
      </c>
      <c r="O72" s="14">
        <f>N72*VLOOKUP('Données projet'!$B$9,Paramètres!$A$1:$I$89,3,0)*VLOOKUP('Données projet'!$B$9,Paramètres!$A$1:$I$89,5,0)</f>
        <v>101.79</v>
      </c>
      <c r="P72" s="14">
        <f t="shared" si="87"/>
        <v>27.38799903683508</v>
      </c>
      <c r="Q72" s="22">
        <f t="shared" si="54"/>
        <v>224.98501498915439</v>
      </c>
      <c r="R72" s="62">
        <f t="shared" si="55"/>
        <v>490.91517533922092</v>
      </c>
      <c r="S72" s="62">
        <f ca="1">AVERAGE(OFFSET($R$3,0,0,'Données projet'!$E$9+1,1))-AVERAGE(OFFSET($H$3,0,0,'Données projet'!$E$9+1,1))</f>
        <v>189.27804790161417</v>
      </c>
      <c r="T72" s="62">
        <f t="shared" si="88"/>
        <v>212.39018594432073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2.2808776183939159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2.2808776183939159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235.19999999999996</v>
      </c>
      <c r="AJ72" s="14">
        <f>AI72*VLOOKUP('Données projet'!$B$10,Paramètres!$A$1:$I$89,3,0)*VLOOKUP('Données projet'!$B$10,Paramètres!$A$1:$I$89,5,0)</f>
        <v>212.80895999999996</v>
      </c>
      <c r="AK72" s="14">
        <f t="shared" si="89"/>
        <v>52.548938637485847</v>
      </c>
      <c r="AL72" s="22">
        <f t="shared" si="58"/>
        <v>462.16500679362099</v>
      </c>
      <c r="AM72" s="62">
        <f t="shared" si="59"/>
        <v>728.0951671436876</v>
      </c>
      <c r="AN72" s="62">
        <f ca="1">AVERAGE(OFFSET($AM$3,0,0,'Données projet'!$E$10+1,1))-AVERAGE(OFFSET($H$3,0,0,'Données projet'!$E$10+1,1))</f>
        <v>398.11190027805549</v>
      </c>
      <c r="AO72" s="62">
        <f t="shared" si="90"/>
        <v>250.47702091764884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235.19999999999996</v>
      </c>
      <c r="BE72" s="14">
        <f>BD72*VLOOKUP('Données projet'!$B$11,Paramètres!$A$1:$I$89,3,0)*VLOOKUP('Données projet'!$B$11,Paramètres!$A$1:$I$89,5,0)</f>
        <v>223.81631999999999</v>
      </c>
      <c r="BF72" s="14">
        <f t="shared" si="91"/>
        <v>54.94351196072666</v>
      </c>
      <c r="BG72" s="22">
        <f t="shared" si="61"/>
        <v>485.50670733159899</v>
      </c>
      <c r="BH72" s="62">
        <f t="shared" si="62"/>
        <v>751.43686768166549</v>
      </c>
      <c r="BI72" s="62">
        <f ca="1">AVERAGE(OFFSET($BH$3,0,0,'Données projet'!$E$11+1,1))-AVERAGE(OFFSET($H$3,0,0,'Données projet'!$E$11+1,1))</f>
        <v>414.9045204114143</v>
      </c>
      <c r="BJ72" s="62">
        <f t="shared" si="92"/>
        <v>260.29028006191834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225</v>
      </c>
      <c r="L73" s="13">
        <f>VLOOKUP(A73,'Données projet'!$A$35:$I$55,9,0)</f>
        <v>7.5</v>
      </c>
      <c r="M73" s="13">
        <f t="array" ref="M73">INDEX(L:L,MIN(IF(ISNUMBER(L73:L269),ROW(L73:L269),"")))</f>
        <v>7.5</v>
      </c>
      <c r="N73" s="14">
        <f>IF('Données projet'!$A$36&gt;35,N72+M73-V72,IF(A73&lt;'Données projet'!$A$36,$K$205^A73,IF(A73='Données projet'!$A$36,'Données projet'!$B$36,N72+M73-V72)))</f>
        <v>225</v>
      </c>
      <c r="O73" s="14">
        <f>N73*VLOOKUP('Données projet'!$B$9,Paramètres!$A$1:$I$89,3,0)*VLOOKUP('Données projet'!$B$9,Paramètres!$A$1:$I$89,5,0)</f>
        <v>105.3</v>
      </c>
      <c r="P73" s="14">
        <f t="shared" si="87"/>
        <v>28.220829418515034</v>
      </c>
      <c r="Q73" s="22">
        <f t="shared" si="54"/>
        <v>232.54877790391367</v>
      </c>
      <c r="R73" s="62">
        <f t="shared" si="55"/>
        <v>498.95432204092316</v>
      </c>
      <c r="S73" s="62">
        <f ca="1">AVERAGE(OFFSET($R$3,0,0,'Données projet'!$E$9+1,1))-AVERAGE(OFFSET($H$3,0,0,'Données projet'!$E$9+1,1))</f>
        <v>189.27804790161417</v>
      </c>
      <c r="T73" s="62">
        <f t="shared" si="88"/>
        <v>212.39018594432073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80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2.2361509994951891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2.2361509994951891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241.99999999999997</v>
      </c>
      <c r="AJ73" s="14">
        <f>AI73*VLOOKUP('Données projet'!$B$10,Paramètres!$A$1:$I$89,3,0)*VLOOKUP('Données projet'!$B$10,Paramètres!$A$1:$I$89,5,0)</f>
        <v>218.96159999999998</v>
      </c>
      <c r="AK73" s="14">
        <f t="shared" si="89"/>
        <v>53.88913250370743</v>
      </c>
      <c r="AL73" s="22">
        <f t="shared" si="58"/>
        <v>475.21502577729035</v>
      </c>
      <c r="AM73" s="62">
        <f t="shared" si="59"/>
        <v>741.62056991429984</v>
      </c>
      <c r="AN73" s="62">
        <f ca="1">AVERAGE(OFFSET($AM$3,0,0,'Données projet'!$E$10+1,1))-AVERAGE(OFFSET($H$3,0,0,'Données projet'!$E$10+1,1))</f>
        <v>398.11190027805549</v>
      </c>
      <c r="AO73" s="62">
        <f t="shared" si="90"/>
        <v>250.47702091764884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242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241.99999999999997</v>
      </c>
      <c r="BE73" s="14">
        <f>BD73*VLOOKUP('Données projet'!$B$11,Paramètres!$A$1:$I$89,3,0)*VLOOKUP('Données projet'!$B$11,Paramètres!$A$1:$I$89,5,0)</f>
        <v>230.28719999999998</v>
      </c>
      <c r="BF73" s="14">
        <f t="shared" si="91"/>
        <v>56.344776374959956</v>
      </c>
      <c r="BG73" s="22">
        <f t="shared" si="61"/>
        <v>499.2173588530552</v>
      </c>
      <c r="BH73" s="62">
        <f t="shared" si="62"/>
        <v>765.62290299006463</v>
      </c>
      <c r="BI73" s="62">
        <f ca="1">AVERAGE(OFFSET($BH$3,0,0,'Données projet'!$E$11+1,1))-AVERAGE(OFFSET($H$3,0,0,'Données projet'!$E$11+1,1))</f>
        <v>414.9045204114143</v>
      </c>
      <c r="BJ73" s="62">
        <f t="shared" si="92"/>
        <v>260.29028006191834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21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7.7</v>
      </c>
      <c r="N74" s="14">
        <f>IF('Données projet'!$A$36&gt;35,N73+M74-V73,IF(A74&lt;'Données projet'!$A$36,$K$205^A74,IF(A74='Données projet'!$A$36,'Données projet'!$B$36,N73+M74-V73)))</f>
        <v>152.69999999999999</v>
      </c>
      <c r="O74" s="14">
        <f>N74*VLOOKUP('Données projet'!$B$9,Paramètres!$A$1:$I$89,3,0)*VLOOKUP('Données projet'!$B$9,Paramètres!$A$1:$I$89,5,0)</f>
        <v>71.4636</v>
      </c>
      <c r="P74" s="14">
        <f t="shared" si="87"/>
        <v>20.036482147907392</v>
      </c>
      <c r="Q74" s="22">
        <f t="shared" si="54"/>
        <v>159.36264307427203</v>
      </c>
      <c r="R74" s="62">
        <f t="shared" si="55"/>
        <v>426.23532415232</v>
      </c>
      <c r="S74" s="62">
        <f ca="1">AVERAGE(OFFSET($R$3,0,0,'Données projet'!$E$9+1,1))-AVERAGE(OFFSET($H$3,0,0,'Données projet'!$E$9+1,1))</f>
        <v>189.27804790161417</v>
      </c>
      <c r="T74" s="62">
        <f t="shared" si="88"/>
        <v>212.39018594432073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2.1923014423125227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2.1923014423125227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227.19999999999996</v>
      </c>
      <c r="AJ74" s="14">
        <f>AI74*VLOOKUP('Données projet'!$B$10,Paramètres!$A$1:$I$89,3,0)*VLOOKUP('Données projet'!$B$10,Paramètres!$A$1:$I$89,5,0)</f>
        <v>205.57055999999997</v>
      </c>
      <c r="AK74" s="14">
        <f t="shared" si="89"/>
        <v>50.966443946767392</v>
      </c>
      <c r="AL74" s="22">
        <f t="shared" si="58"/>
        <v>446.80194854061978</v>
      </c>
      <c r="AM74" s="62">
        <f t="shared" si="59"/>
        <v>713.67462961866772</v>
      </c>
      <c r="AN74" s="62">
        <f ca="1">AVERAGE(OFFSET($AM$3,0,0,'Données projet'!$E$10+1,1))-AVERAGE(OFFSET($H$3,0,0,'Données projet'!$E$10+1,1))</f>
        <v>398.11190027805549</v>
      </c>
      <c r="AO74" s="62">
        <f t="shared" si="90"/>
        <v>250.47702091764884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227.19999999999996</v>
      </c>
      <c r="BE74" s="14">
        <f>BD74*VLOOKUP('Données projet'!$B$11,Paramètres!$A$1:$I$89,3,0)*VLOOKUP('Données projet'!$B$11,Paramètres!$A$1:$I$89,5,0)</f>
        <v>216.20351999999997</v>
      </c>
      <c r="BF74" s="14">
        <f t="shared" si="91"/>
        <v>53.288905450648613</v>
      </c>
      <c r="BG74" s="22">
        <f t="shared" si="61"/>
        <v>469.36597432654622</v>
      </c>
      <c r="BH74" s="62">
        <f t="shared" si="62"/>
        <v>736.23865540459417</v>
      </c>
      <c r="BI74" s="62">
        <f ca="1">AVERAGE(OFFSET($BH$3,0,0,'Données projet'!$E$11+1,1))-AVERAGE(OFFSET($H$3,0,0,'Données projet'!$E$11+1,1))</f>
        <v>414.9045204114143</v>
      </c>
      <c r="BJ74" s="62">
        <f t="shared" si="92"/>
        <v>260.29028006191834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7.7</v>
      </c>
      <c r="N75" s="14">
        <f>IF('Données projet'!$A$36&gt;35,N74+M75-V74,IF(A75&lt;'Données projet'!$A$36,$K$205^A75,IF(A75='Données projet'!$A$36,'Données projet'!$B$36,N74+M75-V74)))</f>
        <v>160.39999999999998</v>
      </c>
      <c r="O75" s="14">
        <f>N75*VLOOKUP('Données projet'!$B$9,Paramètres!$A$1:$I$89,3,0)*VLOOKUP('Données projet'!$B$9,Paramètres!$A$1:$I$89,5,0)</f>
        <v>75.0672</v>
      </c>
      <c r="P75" s="14">
        <f t="shared" si="87"/>
        <v>20.926657992619532</v>
      </c>
      <c r="Q75" s="22">
        <f t="shared" si="54"/>
        <v>167.18930267047901</v>
      </c>
      <c r="R75" s="62">
        <f t="shared" si="55"/>
        <v>434.52101690800009</v>
      </c>
      <c r="S75" s="62">
        <f ca="1">AVERAGE(OFFSET($R$3,0,0,'Données projet'!$E$9+1,1))-AVERAGE(OFFSET($H$3,0,0,'Données projet'!$E$9+1,1))</f>
        <v>189.27804790161417</v>
      </c>
      <c r="T75" s="62">
        <f t="shared" si="88"/>
        <v>212.39018594432073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2.1493117482006192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2.1493117482006192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233.39999999999995</v>
      </c>
      <c r="AJ75" s="14">
        <f>AI75*VLOOKUP('Données projet'!$B$10,Paramètres!$A$1:$I$89,3,0)*VLOOKUP('Données projet'!$B$10,Paramètres!$A$1:$I$89,5,0)</f>
        <v>211.18031999999994</v>
      </c>
      <c r="AK75" s="14">
        <f t="shared" si="89"/>
        <v>52.193431117443019</v>
      </c>
      <c r="AL75" s="22">
        <f t="shared" si="58"/>
        <v>458.70928319621316</v>
      </c>
      <c r="AM75" s="62">
        <f t="shared" si="59"/>
        <v>726.04099743373422</v>
      </c>
      <c r="AN75" s="62">
        <f ca="1">AVERAGE(OFFSET($AM$3,0,0,'Données projet'!$E$10+1,1))-AVERAGE(OFFSET($H$3,0,0,'Données projet'!$E$10+1,1))</f>
        <v>398.11190027805549</v>
      </c>
      <c r="AO75" s="62">
        <f t="shared" si="90"/>
        <v>250.47702091764884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233.39999999999995</v>
      </c>
      <c r="BE75" s="14">
        <f>BD75*VLOOKUP('Données projet'!$B$11,Paramètres!$A$1:$I$89,3,0)*VLOOKUP('Données projet'!$B$11,Paramètres!$A$1:$I$89,5,0)</f>
        <v>222.10343999999995</v>
      </c>
      <c r="BF75" s="14">
        <f t="shared" si="91"/>
        <v>54.571804516465022</v>
      </c>
      <c r="BG75" s="22">
        <f t="shared" si="61"/>
        <v>481.87605086617651</v>
      </c>
      <c r="BH75" s="62">
        <f t="shared" si="62"/>
        <v>749.20776510369762</v>
      </c>
      <c r="BI75" s="62">
        <f ca="1">AVERAGE(OFFSET($BH$3,0,0,'Données projet'!$E$11+1,1))-AVERAGE(OFFSET($H$3,0,0,'Données projet'!$E$11+1,1))</f>
        <v>414.9045204114143</v>
      </c>
      <c r="BJ75" s="62">
        <f t="shared" si="92"/>
        <v>260.29028006191834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7.7</v>
      </c>
      <c r="N76" s="14">
        <f>IF('Données projet'!$A$36&gt;35,N75+M76-V75,IF(A76&lt;'Données projet'!$A$36,$K$205^A76,IF(A76='Données projet'!$A$36,'Données projet'!$B$36,N75+M76-V75)))</f>
        <v>168.09999999999997</v>
      </c>
      <c r="O76" s="14">
        <f>N76*VLOOKUP('Données projet'!$B$9,Paramètres!$A$1:$I$89,3,0)*VLOOKUP('Données projet'!$B$9,Paramètres!$A$1:$I$89,5,0)</f>
        <v>78.670799999999986</v>
      </c>
      <c r="P76" s="14">
        <f t="shared" si="87"/>
        <v>21.811871589005307</v>
      </c>
      <c r="Q76" s="22">
        <f t="shared" si="54"/>
        <v>175.00731968418424</v>
      </c>
      <c r="R76" s="62">
        <f t="shared" si="55"/>
        <v>442.790103882106</v>
      </c>
      <c r="S76" s="62">
        <f ca="1">AVERAGE(OFFSET($R$3,0,0,'Données projet'!$E$9+1,1))-AVERAGE(OFFSET($H$3,0,0,'Données projet'!$E$9+1,1))</f>
        <v>189.27804790161417</v>
      </c>
      <c r="T76" s="62">
        <f t="shared" si="88"/>
        <v>212.39018594432073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2.1071650557691259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2.1071650557691259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239.59999999999994</v>
      </c>
      <c r="AJ76" s="14">
        <f>AI76*VLOOKUP('Données projet'!$B$10,Paramètres!$A$1:$I$89,3,0)*VLOOKUP('Données projet'!$B$10,Paramètres!$A$1:$I$89,5,0)</f>
        <v>216.79007999999996</v>
      </c>
      <c r="AK76" s="14">
        <f t="shared" si="89"/>
        <v>53.416629794462551</v>
      </c>
      <c r="AL76" s="22">
        <f t="shared" si="58"/>
        <v>470.61001955868886</v>
      </c>
      <c r="AM76" s="62">
        <f t="shared" si="59"/>
        <v>738.39280375661065</v>
      </c>
      <c r="AN76" s="62">
        <f ca="1">AVERAGE(OFFSET($AM$3,0,0,'Données projet'!$E$10+1,1))-AVERAGE(OFFSET($H$3,0,0,'Données projet'!$E$10+1,1))</f>
        <v>398.11190027805549</v>
      </c>
      <c r="AO76" s="62">
        <f t="shared" si="90"/>
        <v>250.47702091764884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239.59999999999994</v>
      </c>
      <c r="BE76" s="14">
        <f>BD76*VLOOKUP('Données projet'!$B$11,Paramètres!$A$1:$I$89,3,0)*VLOOKUP('Données projet'!$B$11,Paramètres!$A$1:$I$89,5,0)</f>
        <v>228.00335999999993</v>
      </c>
      <c r="BF76" s="14">
        <f t="shared" si="91"/>
        <v>55.850742452867522</v>
      </c>
      <c r="BG76" s="22">
        <f t="shared" si="61"/>
        <v>494.37922843874412</v>
      </c>
      <c r="BH76" s="62">
        <f t="shared" si="62"/>
        <v>762.16201263666585</v>
      </c>
      <c r="BI76" s="62">
        <f ca="1">AVERAGE(OFFSET($BH$3,0,0,'Données projet'!$E$11+1,1))-AVERAGE(OFFSET($H$3,0,0,'Données projet'!$E$11+1,1))</f>
        <v>414.9045204114143</v>
      </c>
      <c r="BJ76" s="62">
        <f t="shared" si="92"/>
        <v>260.29028006191834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7.7</v>
      </c>
      <c r="N77" s="14">
        <f>IF('Données projet'!$A$36&gt;35,N76+M77-V76,IF(A77&lt;'Données projet'!$A$36,$K$205^A77,IF(A77='Données projet'!$A$36,'Données projet'!$B$36,N76+M77-V76)))</f>
        <v>175.79999999999995</v>
      </c>
      <c r="O77" s="14">
        <f>N77*VLOOKUP('Données projet'!$B$9,Paramètres!$A$1:$I$89,3,0)*VLOOKUP('Données projet'!$B$9,Paramètres!$A$1:$I$89,5,0)</f>
        <v>82.274399999999986</v>
      </c>
      <c r="P77" s="14">
        <f t="shared" si="87"/>
        <v>22.69237620170853</v>
      </c>
      <c r="Q77" s="22">
        <f t="shared" si="54"/>
        <v>182.81713521797565</v>
      </c>
      <c r="R77" s="62">
        <f t="shared" si="55"/>
        <v>451.04316432092651</v>
      </c>
      <c r="S77" s="62">
        <f ca="1">AVERAGE(OFFSET($R$3,0,0,'Données projet'!$E$9+1,1))-AVERAGE(OFFSET($H$3,0,0,'Données projet'!$E$9+1,1))</f>
        <v>189.27804790161417</v>
      </c>
      <c r="T77" s="62">
        <f t="shared" si="88"/>
        <v>212.39018594432073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2.0658448342692699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2.0658448342692699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245.79999999999993</v>
      </c>
      <c r="AJ77" s="14">
        <f>AI77*VLOOKUP('Données projet'!$B$10,Paramètres!$A$1:$I$89,3,0)*VLOOKUP('Données projet'!$B$10,Paramètres!$A$1:$I$89,5,0)</f>
        <v>222.3998399999999</v>
      </c>
      <c r="AK77" s="14">
        <f t="shared" si="89"/>
        <v>54.636149281681448</v>
      </c>
      <c r="AL77" s="22">
        <f t="shared" si="58"/>
        <v>482.50434799892832</v>
      </c>
      <c r="AM77" s="62">
        <f t="shared" si="59"/>
        <v>750.73037710187918</v>
      </c>
      <c r="AN77" s="62">
        <f ca="1">AVERAGE(OFFSET($AM$3,0,0,'Données projet'!$E$10+1,1))-AVERAGE(OFFSET($H$3,0,0,'Données projet'!$E$10+1,1))</f>
        <v>398.11190027805549</v>
      </c>
      <c r="AO77" s="62">
        <f t="shared" si="90"/>
        <v>250.47702091764884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245.79999999999993</v>
      </c>
      <c r="BE77" s="14">
        <f>BD77*VLOOKUP('Données projet'!$B$11,Paramètres!$A$1:$I$89,3,0)*VLOOKUP('Données projet'!$B$11,Paramètres!$A$1:$I$89,5,0)</f>
        <v>233.90327999999994</v>
      </c>
      <c r="BF77" s="14">
        <f t="shared" si="91"/>
        <v>57.125833544518095</v>
      </c>
      <c r="BG77" s="22">
        <f t="shared" si="61"/>
        <v>506.87570609003552</v>
      </c>
      <c r="BH77" s="62">
        <f t="shared" si="62"/>
        <v>775.10173519298633</v>
      </c>
      <c r="BI77" s="62">
        <f ca="1">AVERAGE(OFFSET($BH$3,0,0,'Données projet'!$E$11+1,1))-AVERAGE(OFFSET($H$3,0,0,'Données projet'!$E$11+1,1))</f>
        <v>414.9045204114143</v>
      </c>
      <c r="BJ77" s="62">
        <f t="shared" si="92"/>
        <v>260.29028006191834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7.7</v>
      </c>
      <c r="N78" s="14">
        <f>IF('Données projet'!$A$36&gt;35,N77+M78-V77,IF(A78&lt;'Données projet'!$A$36,$K$205^A78,IF(A78='Données projet'!$A$36,'Données projet'!$B$36,N77+M78-V77)))</f>
        <v>183.49999999999994</v>
      </c>
      <c r="O78" s="14">
        <f>N78*VLOOKUP('Données projet'!$B$9,Paramètres!$A$1:$I$89,3,0)*VLOOKUP('Données projet'!$B$9,Paramètres!$A$1:$I$89,5,0)</f>
        <v>85.877999999999972</v>
      </c>
      <c r="P78" s="14">
        <f t="shared" si="87"/>
        <v>23.568401654986531</v>
      </c>
      <c r="Q78" s="22">
        <f t="shared" si="54"/>
        <v>190.61914954910148</v>
      </c>
      <c r="R78" s="62">
        <f t="shared" si="55"/>
        <v>459.28073424892625</v>
      </c>
      <c r="S78" s="62">
        <f ca="1">AVERAGE(OFFSET($R$3,0,0,'Données projet'!$E$9+1,1))-AVERAGE(OFFSET($H$3,0,0,'Données projet'!$E$9+1,1))</f>
        <v>189.27804790161417</v>
      </c>
      <c r="T78" s="62">
        <f t="shared" si="88"/>
        <v>212.39018594432073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2.0253348771101796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2.0253348771101796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251.99999999999991</v>
      </c>
      <c r="AJ78" s="14">
        <f>AI78*VLOOKUP('Données projet'!$B$10,Paramètres!$A$1:$I$89,3,0)*VLOOKUP('Données projet'!$B$10,Paramètres!$A$1:$I$89,5,0)</f>
        <v>228.00959999999992</v>
      </c>
      <c r="AK78" s="14">
        <f t="shared" si="89"/>
        <v>55.852093054619829</v>
      </c>
      <c r="AL78" s="22">
        <f t="shared" si="58"/>
        <v>494.3924487367961</v>
      </c>
      <c r="AM78" s="62">
        <f t="shared" si="59"/>
        <v>763.0540334366209</v>
      </c>
      <c r="AN78" s="62">
        <f ca="1">AVERAGE(OFFSET($AM$3,0,0,'Données projet'!$E$10+1,1))-AVERAGE(OFFSET($H$3,0,0,'Données projet'!$E$10+1,1))</f>
        <v>398.11190027805549</v>
      </c>
      <c r="AO78" s="62">
        <f t="shared" si="90"/>
        <v>250.47702091764884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252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251.99999999999991</v>
      </c>
      <c r="BE78" s="14">
        <f>BD78*VLOOKUP('Données projet'!$B$11,Paramètres!$A$1:$I$89,3,0)*VLOOKUP('Données projet'!$B$11,Paramètres!$A$1:$I$89,5,0)</f>
        <v>239.80319999999992</v>
      </c>
      <c r="BF78" s="14">
        <f t="shared" si="91"/>
        <v>58.397185982155214</v>
      </c>
      <c r="BG78" s="22">
        <f t="shared" si="61"/>
        <v>519.36567225225349</v>
      </c>
      <c r="BH78" s="62">
        <f t="shared" si="62"/>
        <v>788.02725695207823</v>
      </c>
      <c r="BI78" s="62">
        <f ca="1">AVERAGE(OFFSET($BH$3,0,0,'Données projet'!$E$11+1,1))-AVERAGE(OFFSET($H$3,0,0,'Données projet'!$E$11+1,1))</f>
        <v>414.9045204114143</v>
      </c>
      <c r="BJ78" s="62">
        <f t="shared" si="92"/>
        <v>260.29028006191834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21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7.7</v>
      </c>
      <c r="N79" s="14">
        <f>IF('Données projet'!$A$36&gt;35,N78+M79-V78,IF(A79&lt;'Données projet'!$A$36,$K$205^A79,IF(A79='Données projet'!$A$36,'Données projet'!$B$36,N78+M79-V78)))</f>
        <v>191.19999999999993</v>
      </c>
      <c r="O79" s="14">
        <f>N79*VLOOKUP('Données projet'!$B$9,Paramètres!$A$1:$I$89,3,0)*VLOOKUP('Données projet'!$B$9,Paramètres!$A$1:$I$89,5,0)</f>
        <v>89.481599999999972</v>
      </c>
      <c r="P79" s="14">
        <f t="shared" si="87"/>
        <v>24.440157394260027</v>
      </c>
      <c r="Q79" s="22">
        <f t="shared" si="54"/>
        <v>198.41372746166948</v>
      </c>
      <c r="R79" s="62">
        <f t="shared" si="55"/>
        <v>467.50331184251888</v>
      </c>
      <c r="S79" s="62">
        <f ca="1">AVERAGE(OFFSET($R$3,0,0,'Données projet'!$E$9+1,1))-AVERAGE(OFFSET($H$3,0,0,'Données projet'!$E$9+1,1))</f>
        <v>189.27804790161417</v>
      </c>
      <c r="T79" s="62">
        <f t="shared" si="88"/>
        <v>212.39018594432073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1.9856192955023451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1.9856192955023451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236.99999999999989</v>
      </c>
      <c r="AJ79" s="14">
        <f>AI79*VLOOKUP('Données projet'!$B$10,Paramètres!$A$1:$I$89,3,0)*VLOOKUP('Données projet'!$B$10,Paramètres!$A$1:$I$89,5,0)</f>
        <v>214.43759999999989</v>
      </c>
      <c r="AK79" s="14">
        <f t="shared" si="89"/>
        <v>52.904129603372375</v>
      </c>
      <c r="AL79" s="22">
        <f t="shared" si="58"/>
        <v>465.62017905920658</v>
      </c>
      <c r="AM79" s="62">
        <f t="shared" si="59"/>
        <v>734.70976344005601</v>
      </c>
      <c r="AN79" s="62">
        <f ca="1">AVERAGE(OFFSET($AM$3,0,0,'Données projet'!$E$10+1,1))-AVERAGE(OFFSET($H$3,0,0,'Données projet'!$E$10+1,1))</f>
        <v>398.11190027805549</v>
      </c>
      <c r="AO79" s="62">
        <f t="shared" si="90"/>
        <v>250.47702091764884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236.99999999999989</v>
      </c>
      <c r="BE79" s="14">
        <f>BD79*VLOOKUP('Données projet'!$B$11,Paramètres!$A$1:$I$89,3,0)*VLOOKUP('Données projet'!$B$11,Paramètres!$A$1:$I$89,5,0)</f>
        <v>225.52919999999992</v>
      </c>
      <c r="BF79" s="14">
        <f t="shared" si="91"/>
        <v>55.314888425951921</v>
      </c>
      <c r="BG79" s="22">
        <f t="shared" si="61"/>
        <v>489.13678734186618</v>
      </c>
      <c r="BH79" s="62">
        <f t="shared" si="62"/>
        <v>758.22637172271561</v>
      </c>
      <c r="BI79" s="62">
        <f ca="1">AVERAGE(OFFSET($BH$3,0,0,'Données projet'!$E$11+1,1))-AVERAGE(OFFSET($H$3,0,0,'Données projet'!$E$11+1,1))</f>
        <v>414.9045204114143</v>
      </c>
      <c r="BJ79" s="62">
        <f t="shared" si="92"/>
        <v>260.29028006191834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7.7</v>
      </c>
      <c r="N80" s="14">
        <f>IF('Données projet'!$A$36&gt;35,N79+M80-V79,IF(A80&lt;'Données projet'!$A$36,$K$205^A80,IF(A80='Données projet'!$A$36,'Données projet'!$B$36,N79+M80-V79)))</f>
        <v>198.89999999999992</v>
      </c>
      <c r="O80" s="14">
        <f>N80*VLOOKUP('Données projet'!$B$9,Paramètres!$A$1:$I$89,3,0)*VLOOKUP('Données projet'!$B$9,Paramètres!$A$1:$I$89,5,0)</f>
        <v>93.085199999999972</v>
      </c>
      <c r="P80" s="14">
        <f t="shared" si="87"/>
        <v>25.307835040599706</v>
      </c>
      <c r="Q80" s="22">
        <f t="shared" si="54"/>
        <v>206.20120269571109</v>
      </c>
      <c r="R80" s="62">
        <f t="shared" si="55"/>
        <v>475.71136191998335</v>
      </c>
      <c r="S80" s="62">
        <f ca="1">AVERAGE(OFFSET($R$3,0,0,'Données projet'!$E$9+1,1))-AVERAGE(OFFSET($H$3,0,0,'Données projet'!$E$9+1,1))</f>
        <v>189.27804790161417</v>
      </c>
      <c r="T80" s="62">
        <f t="shared" si="88"/>
        <v>212.39018594432073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1.9466825122257274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1.9466825122257274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242.99999999999989</v>
      </c>
      <c r="AJ80" s="14">
        <f>AI80*VLOOKUP('Données projet'!$B$10,Paramètres!$A$1:$I$89,3,0)*VLOOKUP('Données projet'!$B$10,Paramètres!$A$1:$I$89,5,0)</f>
        <v>219.86639999999989</v>
      </c>
      <c r="AK80" s="14">
        <f t="shared" si="89"/>
        <v>54.085847394182416</v>
      </c>
      <c r="AL80" s="22">
        <f t="shared" si="58"/>
        <v>477.13349754486745</v>
      </c>
      <c r="AM80" s="62">
        <f t="shared" si="59"/>
        <v>746.64365676913974</v>
      </c>
      <c r="AN80" s="62">
        <f ca="1">AVERAGE(OFFSET($AM$3,0,0,'Données projet'!$E$10+1,1))-AVERAGE(OFFSET($H$3,0,0,'Données projet'!$E$10+1,1))</f>
        <v>398.11190027805549</v>
      </c>
      <c r="AO80" s="62">
        <f t="shared" si="90"/>
        <v>250.47702091764884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242.99999999999989</v>
      </c>
      <c r="BE80" s="14">
        <f>BD80*VLOOKUP('Données projet'!$B$11,Paramètres!$A$1:$I$89,3,0)*VLOOKUP('Données projet'!$B$11,Paramètres!$A$1:$I$89,5,0)</f>
        <v>231.23879999999991</v>
      </c>
      <c r="BF80" s="14">
        <f t="shared" si="91"/>
        <v>56.55045525673966</v>
      </c>
      <c r="BG80" s="22">
        <f t="shared" si="61"/>
        <v>501.23295290548805</v>
      </c>
      <c r="BH80" s="62">
        <f t="shared" si="62"/>
        <v>770.74311212976033</v>
      </c>
      <c r="BI80" s="62">
        <f ca="1">AVERAGE(OFFSET($BH$3,0,0,'Données projet'!$E$11+1,1))-AVERAGE(OFFSET($H$3,0,0,'Données projet'!$E$11+1,1))</f>
        <v>414.9045204114143</v>
      </c>
      <c r="BJ80" s="62">
        <f t="shared" si="92"/>
        <v>260.29028006191834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7.7</v>
      </c>
      <c r="N81" s="14">
        <f>IF('Données projet'!$A$36&gt;35,N80+M81-V80,IF(A81&lt;'Données projet'!$A$36,$K$205^A81,IF(A81='Données projet'!$A$36,'Données projet'!$B$36,N80+M81-V80)))</f>
        <v>206.59999999999991</v>
      </c>
      <c r="O81" s="14">
        <f>N81*VLOOKUP('Données projet'!$B$9,Paramètres!$A$1:$I$89,3,0)*VLOOKUP('Données projet'!$B$9,Paramètres!$A$1:$I$89,5,0)</f>
        <v>96.688799999999958</v>
      </c>
      <c r="P81" s="14">
        <f t="shared" si="87"/>
        <v>26.171610538519055</v>
      </c>
      <c r="Q81" s="22">
        <f t="shared" si="54"/>
        <v>213.98188168792061</v>
      </c>
      <c r="R81" s="62">
        <f t="shared" si="55"/>
        <v>483.9053197223468</v>
      </c>
      <c r="S81" s="62">
        <f ca="1">AVERAGE(OFFSET($R$3,0,0,'Données projet'!$E$9+1,1))-AVERAGE(OFFSET($H$3,0,0,'Données projet'!$E$9+1,1))</f>
        <v>189.27804790161417</v>
      </c>
      <c r="T81" s="62">
        <f t="shared" si="88"/>
        <v>212.39018594432073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1.9085092555200713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1.9085092555200713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248.99999999999989</v>
      </c>
      <c r="AJ81" s="14">
        <f>AI81*VLOOKUP('Données projet'!$B$10,Paramètres!$A$1:$I$89,3,0)*VLOOKUP('Données projet'!$B$10,Paramètres!$A$1:$I$89,5,0)</f>
        <v>225.29519999999991</v>
      </c>
      <c r="AK81" s="14">
        <f t="shared" si="89"/>
        <v>55.264173352293078</v>
      </c>
      <c r="AL81" s="22">
        <f t="shared" si="58"/>
        <v>488.64090858857691</v>
      </c>
      <c r="AM81" s="62">
        <f t="shared" si="59"/>
        <v>758.56434662300308</v>
      </c>
      <c r="AN81" s="62">
        <f ca="1">AVERAGE(OFFSET($AM$3,0,0,'Données projet'!$E$10+1,1))-AVERAGE(OFFSET($H$3,0,0,'Données projet'!$E$10+1,1))</f>
        <v>398.11190027805549</v>
      </c>
      <c r="AO81" s="62">
        <f t="shared" si="90"/>
        <v>250.47702091764884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248.99999999999989</v>
      </c>
      <c r="BE81" s="14">
        <f>BD81*VLOOKUP('Données projet'!$B$11,Paramètres!$A$1:$I$89,3,0)*VLOOKUP('Données projet'!$B$11,Paramètres!$A$1:$I$89,5,0)</f>
        <v>236.94839999999991</v>
      </c>
      <c r="BF81" s="14">
        <f t="shared" si="91"/>
        <v>57.782475694292401</v>
      </c>
      <c r="BG81" s="22">
        <f t="shared" si="61"/>
        <v>513.32294183422573</v>
      </c>
      <c r="BH81" s="62">
        <f t="shared" si="62"/>
        <v>783.24637986865196</v>
      </c>
      <c r="BI81" s="62">
        <f ca="1">AVERAGE(OFFSET($BH$3,0,0,'Données projet'!$E$11+1,1))-AVERAGE(OFFSET($H$3,0,0,'Données projet'!$E$11+1,1))</f>
        <v>414.9045204114143</v>
      </c>
      <c r="BJ81" s="62">
        <f t="shared" si="92"/>
        <v>260.29028006191834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7.7</v>
      </c>
      <c r="N82" s="14">
        <f>IF('Données projet'!$A$36&gt;35,N81+M82-V81,IF(A82&lt;'Données projet'!$A$36,$K$205^A82,IF(A82='Données projet'!$A$36,'Données projet'!$B$36,N81+M82-V81)))</f>
        <v>214.2999999999999</v>
      </c>
      <c r="O82" s="14">
        <f>N82*VLOOKUP('Données projet'!$B$9,Paramètres!$A$1:$I$89,3,0)*VLOOKUP('Données projet'!$B$9,Paramètres!$A$1:$I$89,5,0)</f>
        <v>100.29239999999994</v>
      </c>
      <c r="P82" s="14">
        <f t="shared" si="87"/>
        <v>27.031645974571337</v>
      </c>
      <c r="Q82" s="22">
        <f t="shared" si="54"/>
        <v>221.75604673904499</v>
      </c>
      <c r="R82" s="62">
        <f t="shared" si="55"/>
        <v>492.08559412022191</v>
      </c>
      <c r="S82" s="62">
        <f ca="1">AVERAGE(OFFSET($R$3,0,0,'Données projet'!$E$9+1,1))-AVERAGE(OFFSET($H$3,0,0,'Données projet'!$E$9+1,1))</f>
        <v>189.27804790161417</v>
      </c>
      <c r="T82" s="62">
        <f t="shared" si="88"/>
        <v>212.39018594432073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1.8710845530950257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1.8710845530950257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254.99999999999989</v>
      </c>
      <c r="AJ82" s="14">
        <f>AI82*VLOOKUP('Données projet'!$B$10,Paramètres!$A$1:$I$89,3,0)*VLOOKUP('Données projet'!$B$10,Paramètres!$A$1:$I$89,5,0)</f>
        <v>230.72399999999988</v>
      </c>
      <c r="AK82" s="14">
        <f t="shared" si="89"/>
        <v>56.439198612082045</v>
      </c>
      <c r="AL82" s="22">
        <f t="shared" si="58"/>
        <v>500.14257091604264</v>
      </c>
      <c r="AM82" s="62">
        <f t="shared" si="59"/>
        <v>770.47211829721959</v>
      </c>
      <c r="AN82" s="62">
        <f ca="1">AVERAGE(OFFSET($AM$3,0,0,'Données projet'!$E$10+1,1))-AVERAGE(OFFSET($H$3,0,0,'Données projet'!$E$10+1,1))</f>
        <v>398.11190027805549</v>
      </c>
      <c r="AO82" s="62">
        <f t="shared" si="90"/>
        <v>250.47702091764884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254.99999999999989</v>
      </c>
      <c r="BE82" s="14">
        <f>BD82*VLOOKUP('Données projet'!$B$11,Paramètres!$A$1:$I$89,3,0)*VLOOKUP('Données projet'!$B$11,Paramètres!$A$1:$I$89,5,0)</f>
        <v>242.6579999999999</v>
      </c>
      <c r="BF82" s="14">
        <f t="shared" si="91"/>
        <v>59.011045025839607</v>
      </c>
      <c r="BG82" s="22">
        <f t="shared" si="61"/>
        <v>525.40692008667054</v>
      </c>
      <c r="BH82" s="62">
        <f t="shared" si="62"/>
        <v>795.73646746784743</v>
      </c>
      <c r="BI82" s="62">
        <f ca="1">AVERAGE(OFFSET($BH$3,0,0,'Données projet'!$E$11+1,1))-AVERAGE(OFFSET($H$3,0,0,'Données projet'!$E$11+1,1))</f>
        <v>414.9045204114143</v>
      </c>
      <c r="BJ82" s="62">
        <f t="shared" si="92"/>
        <v>260.29028006191834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222</v>
      </c>
      <c r="L83" s="13">
        <f>VLOOKUP(A83,'Données projet'!$A$35:$I$55,9,0)</f>
        <v>7.7</v>
      </c>
      <c r="M83" s="13">
        <f t="array" ref="M83">INDEX(L:L,MIN(IF(ISNUMBER(L83:L279),ROW(L83:L279),"")))</f>
        <v>7.7</v>
      </c>
      <c r="N83" s="14">
        <f>IF('Données projet'!$A$36&gt;35,N82+M83-V82,IF(A83&lt;'Données projet'!$A$36,$K$205^A83,IF(A83='Données projet'!$A$36,'Données projet'!$B$36,N82+M83-V82)))</f>
        <v>221.99999999999989</v>
      </c>
      <c r="O83" s="14">
        <f>N83*VLOOKUP('Données projet'!$B$9,Paramètres!$A$1:$I$89,3,0)*VLOOKUP('Données projet'!$B$9,Paramètres!$A$1:$I$89,5,0)</f>
        <v>103.89599999999994</v>
      </c>
      <c r="P83" s="14">
        <f t="shared" si="87"/>
        <v>27.888091127225799</v>
      </c>
      <c r="Q83" s="22">
        <f t="shared" si="54"/>
        <v>229.52395871325146</v>
      </c>
      <c r="R83" s="62">
        <f t="shared" si="55"/>
        <v>500.25257035193761</v>
      </c>
      <c r="S83" s="62">
        <f ca="1">AVERAGE(OFFSET($R$3,0,0,'Données projet'!$E$9+1,1))-AVERAGE(OFFSET($H$3,0,0,'Données projet'!$E$9+1,1))</f>
        <v>189.27804790161417</v>
      </c>
      <c r="T83" s="62">
        <f t="shared" si="88"/>
        <v>212.39018594432073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222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1.8343937262577208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1.8343937262577208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261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260.99999999999989</v>
      </c>
      <c r="AJ83" s="14">
        <f>AI83*VLOOKUP('Données projet'!$B$10,Paramètres!$A$1:$I$89,3,0)*VLOOKUP('Données projet'!$B$10,Paramètres!$A$1:$I$89,5,0)</f>
        <v>236.15279999999987</v>
      </c>
      <c r="AK83" s="14">
        <f t="shared" si="89"/>
        <v>57.61100977459931</v>
      </c>
      <c r="AL83" s="22">
        <f t="shared" si="58"/>
        <v>511.63863535742689</v>
      </c>
      <c r="AM83" s="62">
        <f t="shared" si="59"/>
        <v>782.36724699611295</v>
      </c>
      <c r="AN83" s="62">
        <f ca="1">AVERAGE(OFFSET($AM$3,0,0,'Données projet'!$E$10+1,1))-AVERAGE(OFFSET($H$3,0,0,'Données projet'!$E$10+1,1))</f>
        <v>398.11190027805549</v>
      </c>
      <c r="AO83" s="62">
        <f t="shared" si="90"/>
        <v>250.47702091764884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261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260.99999999999989</v>
      </c>
      <c r="BE83" s="14">
        <f>BD83*VLOOKUP('Données projet'!$B$11,Paramètres!$A$1:$I$89,3,0)*VLOOKUP('Données projet'!$B$11,Paramètres!$A$1:$I$89,5,0)</f>
        <v>248.3675999999999</v>
      </c>
      <c r="BF83" s="14">
        <f t="shared" si="91"/>
        <v>60.236253798706286</v>
      </c>
      <c r="BG83" s="22">
        <f t="shared" si="61"/>
        <v>537.48504536607982</v>
      </c>
      <c r="BH83" s="62">
        <f t="shared" si="62"/>
        <v>808.21365700476599</v>
      </c>
      <c r="BI83" s="62">
        <f ca="1">AVERAGE(OFFSET($BH$3,0,0,'Données projet'!$E$11+1,1))-AVERAGE(OFFSET($H$3,0,0,'Données projet'!$E$11+1,1))</f>
        <v>414.9045204114143</v>
      </c>
      <c r="BJ83" s="62">
        <f t="shared" si="92"/>
        <v>260.29028006191834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21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-1.1368683772161603E-13</v>
      </c>
      <c r="O84" s="14">
        <f>N84*VLOOKUP('Données projet'!$B$9,Paramètres!$A$1:$I$89,3,0)*VLOOKUP('Données projet'!$B$9,Paramètres!$A$1:$I$89,5,0)</f>
        <v>-5.3205440053716299E-14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189.27804790161417</v>
      </c>
      <c r="T84" s="62">
        <f t="shared" si="88"/>
        <v>212.39018594432073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1.7984223841555007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1.7984223841555007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5.8</v>
      </c>
      <c r="AI84" s="14">
        <f>IF('Données projet'!$A$62&gt;35,AI83+AH84-AQ83,IF(A84&lt;'Données projet'!$A$62,$AF$205^A84,IF(A84='Données projet'!$A$62,'Données projet'!$B$62,AI83+AH84-AQ83)))</f>
        <v>245.7999999999999</v>
      </c>
      <c r="AJ84" s="14">
        <f>AI84*VLOOKUP('Données projet'!$B$10,Paramètres!$A$1:$I$89,3,0)*VLOOKUP('Données projet'!$B$10,Paramètres!$A$1:$I$89,5,0)</f>
        <v>222.3998399999999</v>
      </c>
      <c r="AK84" s="14">
        <f t="shared" si="89"/>
        <v>54.636149281681448</v>
      </c>
      <c r="AL84" s="22">
        <f t="shared" si="58"/>
        <v>482.50434799892832</v>
      </c>
      <c r="AM84" s="62">
        <f t="shared" si="59"/>
        <v>753.62510102242982</v>
      </c>
      <c r="AN84" s="62">
        <f ca="1">AVERAGE(OFFSET($AM$3,0,0,'Données projet'!$E$10+1,1))-AVERAGE(OFFSET($H$3,0,0,'Données projet'!$E$10+1,1))</f>
        <v>398.11190027805549</v>
      </c>
      <c r="AO84" s="62">
        <f t="shared" si="90"/>
        <v>250.47702091764884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5.8</v>
      </c>
      <c r="BD84" s="13">
        <f>IF('Données projet'!$A$88&gt;35,BD83+BC84-BL83,IF(A84&lt;'Données projet'!$A$88,$BA$205^A84,IF(A84='Données projet'!$A$88,'Données projet'!$B$88,BD83+BC84-BL83)))</f>
        <v>245.7999999999999</v>
      </c>
      <c r="BE84" s="14">
        <f>BD84*VLOOKUP('Données projet'!$B$11,Paramètres!$A$1:$I$89,3,0)*VLOOKUP('Données projet'!$B$11,Paramètres!$A$1:$I$89,5,0)</f>
        <v>233.90327999999991</v>
      </c>
      <c r="BF84" s="14">
        <f t="shared" si="91"/>
        <v>57.125833544518095</v>
      </c>
      <c r="BG84" s="22">
        <f t="shared" si="61"/>
        <v>506.87570609003546</v>
      </c>
      <c r="BH84" s="62">
        <f t="shared" si="62"/>
        <v>777.99645911353696</v>
      </c>
      <c r="BI84" s="62">
        <f ca="1">AVERAGE(OFFSET($BH$3,0,0,'Données projet'!$E$11+1,1))-AVERAGE(OFFSET($H$3,0,0,'Données projet'!$E$11+1,1))</f>
        <v>414.9045204114143</v>
      </c>
      <c r="BJ84" s="62">
        <f t="shared" si="92"/>
        <v>260.29028006191834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-1.1368683772161603E-13</v>
      </c>
      <c r="O85" s="14">
        <f>N85*VLOOKUP('Données projet'!$B$9,Paramètres!$A$1:$I$89,3,0)*VLOOKUP('Données projet'!$B$9,Paramètres!$A$1:$I$89,5,0)</f>
        <v>-5.3205440053716299E-14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189.27804790161417</v>
      </c>
      <c r="T85" s="62">
        <f t="shared" si="88"/>
        <v>212.39018594432073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1.7631564181315529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1.7631564181315529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5.8</v>
      </c>
      <c r="AI85" s="14">
        <f>IF('Données projet'!$A$62&gt;35,AI84+AH85-AQ84,IF(A85&lt;'Données projet'!$A$62,$AF$205^A85,IF(A85='Données projet'!$A$62,'Données projet'!$B$62,AI84+AH85-AQ84)))</f>
        <v>251.59999999999991</v>
      </c>
      <c r="AJ85" s="14">
        <f>AI85*VLOOKUP('Données projet'!$B$10,Paramètres!$A$1:$I$89,3,0)*VLOOKUP('Données projet'!$B$10,Paramètres!$A$1:$I$89,5,0)</f>
        <v>227.64767999999992</v>
      </c>
      <c r="AK85" s="14">
        <f t="shared" si="89"/>
        <v>55.773751036838313</v>
      </c>
      <c r="AL85" s="22">
        <f t="shared" si="58"/>
        <v>493.62565905582659</v>
      </c>
      <c r="AM85" s="62">
        <f t="shared" si="59"/>
        <v>765.13175068781356</v>
      </c>
      <c r="AN85" s="62">
        <f ca="1">AVERAGE(OFFSET($AM$3,0,0,'Données projet'!$E$10+1,1))-AVERAGE(OFFSET($H$3,0,0,'Données projet'!$E$10+1,1))</f>
        <v>398.11190027805549</v>
      </c>
      <c r="AO85" s="62">
        <f t="shared" si="90"/>
        <v>250.47702091764884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5.8</v>
      </c>
      <c r="BD85" s="13">
        <f>IF('Données projet'!$A$88&gt;35,BD84+BC85-BL84,IF(A85&lt;'Données projet'!$A$88,$BA$205^A85,IF(A85='Données projet'!$A$88,'Données projet'!$B$88,BD84+BC85-BL84)))</f>
        <v>251.59999999999991</v>
      </c>
      <c r="BE85" s="14">
        <f>BD85*VLOOKUP('Données projet'!$B$11,Paramètres!$A$1:$I$89,3,0)*VLOOKUP('Données projet'!$B$11,Paramètres!$A$1:$I$89,5,0)</f>
        <v>239.42255999999992</v>
      </c>
      <c r="BF85" s="14">
        <f t="shared" si="91"/>
        <v>58.315274040589699</v>
      </c>
      <c r="BG85" s="22">
        <f t="shared" si="61"/>
        <v>518.56006095402688</v>
      </c>
      <c r="BH85" s="62">
        <f t="shared" si="62"/>
        <v>790.06615258601391</v>
      </c>
      <c r="BI85" s="62">
        <f ca="1">AVERAGE(OFFSET($BH$3,0,0,'Données projet'!$E$11+1,1))-AVERAGE(OFFSET($H$3,0,0,'Données projet'!$E$11+1,1))</f>
        <v>414.9045204114143</v>
      </c>
      <c r="BJ85" s="62">
        <f t="shared" si="92"/>
        <v>260.29028006191834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-1.1368683772161603E-13</v>
      </c>
      <c r="O86" s="14">
        <f>N86*VLOOKUP('Données projet'!$B$9,Paramètres!$A$1:$I$89,3,0)*VLOOKUP('Données projet'!$B$9,Paramètres!$A$1:$I$89,5,0)</f>
        <v>-5.3205440053716299E-14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189.27804790161417</v>
      </c>
      <c r="T86" s="62">
        <f t="shared" si="88"/>
        <v>212.39018594432073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1.7285819961912194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1.7285819961912194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5.8</v>
      </c>
      <c r="AI86" s="14">
        <f>IF('Données projet'!$A$62&gt;35,AI85+AH86-AQ85,IF(A86&lt;'Données projet'!$A$62,$AF$205^A86,IF(A86='Données projet'!$A$62,'Données projet'!$B$62,AI85+AH86-AQ85)))</f>
        <v>257.39999999999992</v>
      </c>
      <c r="AJ86" s="14">
        <f>AI86*VLOOKUP('Données projet'!$B$10,Paramètres!$A$1:$I$89,3,0)*VLOOKUP('Données projet'!$B$10,Paramètres!$A$1:$I$89,5,0)</f>
        <v>232.89551999999992</v>
      </c>
      <c r="AK86" s="14">
        <f t="shared" si="89"/>
        <v>56.908304063818662</v>
      </c>
      <c r="AL86" s="22">
        <f t="shared" si="58"/>
        <v>504.74166024448397</v>
      </c>
      <c r="AM86" s="62">
        <f t="shared" si="59"/>
        <v>776.62640572158739</v>
      </c>
      <c r="AN86" s="62">
        <f ca="1">AVERAGE(OFFSET($AM$3,0,0,'Données projet'!$E$10+1,1))-AVERAGE(OFFSET($H$3,0,0,'Données projet'!$E$10+1,1))</f>
        <v>398.11190027805549</v>
      </c>
      <c r="AO86" s="62">
        <f t="shared" si="90"/>
        <v>250.47702091764884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5.8</v>
      </c>
      <c r="BD86" s="13">
        <f>IF('Données projet'!$A$88&gt;35,BD85+BC86-BL85,IF(A86&lt;'Données projet'!$A$88,$BA$205^A86,IF(A86='Données projet'!$A$88,'Données projet'!$B$88,BD85+BC86-BL85)))</f>
        <v>257.39999999999992</v>
      </c>
      <c r="BE86" s="14">
        <f>BD86*VLOOKUP('Données projet'!$B$11,Paramètres!$A$1:$I$89,3,0)*VLOOKUP('Données projet'!$B$11,Paramètres!$A$1:$I$89,5,0)</f>
        <v>244.94183999999993</v>
      </c>
      <c r="BF86" s="14">
        <f t="shared" si="91"/>
        <v>59.501526882688026</v>
      </c>
      <c r="BG86" s="22">
        <f t="shared" si="61"/>
        <v>530.23886398734817</v>
      </c>
      <c r="BH86" s="62">
        <f t="shared" si="62"/>
        <v>802.12360946445165</v>
      </c>
      <c r="BI86" s="62">
        <f ca="1">AVERAGE(OFFSET($BH$3,0,0,'Données projet'!$E$11+1,1))-AVERAGE(OFFSET($H$3,0,0,'Données projet'!$E$11+1,1))</f>
        <v>414.9045204114143</v>
      </c>
      <c r="BJ86" s="62">
        <f t="shared" si="92"/>
        <v>260.29028006191834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-1.1368683772161603E-13</v>
      </c>
      <c r="O87" s="14">
        <f>N87*VLOOKUP('Données projet'!$B$9,Paramètres!$A$1:$I$89,3,0)*VLOOKUP('Données projet'!$B$9,Paramètres!$A$1:$I$89,5,0)</f>
        <v>-5.3205440053716299E-14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189.27804790161417</v>
      </c>
      <c r="T87" s="62">
        <f t="shared" si="88"/>
        <v>212.39018594432073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1.6946855575768207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1.6946855575768207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5.8</v>
      </c>
      <c r="AI87" s="14">
        <f>IF('Données projet'!$A$62&gt;35,AI86+AH87-AQ86,IF(A87&lt;'Données projet'!$A$62,$AF$205^A87,IF(A87='Données projet'!$A$62,'Données projet'!$B$62,AI86+AH87-AQ86)))</f>
        <v>263.19999999999993</v>
      </c>
      <c r="AJ87" s="14">
        <f>AI87*VLOOKUP('Données projet'!$B$10,Paramètres!$A$1:$I$89,3,0)*VLOOKUP('Données projet'!$B$10,Paramètres!$A$1:$I$89,5,0)</f>
        <v>238.14335999999992</v>
      </c>
      <c r="AK87" s="14">
        <f t="shared" si="89"/>
        <v>58.039884968630489</v>
      </c>
      <c r="AL87" s="22">
        <f t="shared" si="58"/>
        <v>515.85248498703129</v>
      </c>
      <c r="AM87" s="62">
        <f t="shared" si="59"/>
        <v>788.1093155115816</v>
      </c>
      <c r="AN87" s="62">
        <f ca="1">AVERAGE(OFFSET($AM$3,0,0,'Données projet'!$E$10+1,1))-AVERAGE(OFFSET($H$3,0,0,'Données projet'!$E$10+1,1))</f>
        <v>398.11190027805549</v>
      </c>
      <c r="AO87" s="62">
        <f t="shared" si="90"/>
        <v>250.47702091764884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5.8</v>
      </c>
      <c r="BD87" s="13">
        <f>IF('Données projet'!$A$88&gt;35,BD86+BC87-BL86,IF(A87&lt;'Données projet'!$A$88,$BA$205^A87,IF(A87='Données projet'!$A$88,'Données projet'!$B$88,BD86+BC87-BL86)))</f>
        <v>263.19999999999993</v>
      </c>
      <c r="BE87" s="14">
        <f>BD87*VLOOKUP('Données projet'!$B$11,Paramètres!$A$1:$I$89,3,0)*VLOOKUP('Données projet'!$B$11,Paramètres!$A$1:$I$89,5,0)</f>
        <v>250.46111999999997</v>
      </c>
      <c r="BF87" s="14">
        <f t="shared" si="91"/>
        <v>60.684672167637892</v>
      </c>
      <c r="BG87" s="22">
        <f t="shared" si="61"/>
        <v>541.91225469196922</v>
      </c>
      <c r="BH87" s="62">
        <f t="shared" si="62"/>
        <v>814.16908521651953</v>
      </c>
      <c r="BI87" s="62">
        <f ca="1">AVERAGE(OFFSET($BH$3,0,0,'Données projet'!$E$11+1,1))-AVERAGE(OFFSET($H$3,0,0,'Données projet'!$E$11+1,1))</f>
        <v>414.9045204114143</v>
      </c>
      <c r="BJ87" s="62">
        <f t="shared" si="92"/>
        <v>260.29028006191834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-1.1368683772161603E-13</v>
      </c>
      <c r="O88" s="14">
        <f>N88*VLOOKUP('Données projet'!$B$9,Paramètres!$A$1:$I$89,3,0)*VLOOKUP('Données projet'!$B$9,Paramètres!$A$1:$I$89,5,0)</f>
        <v>-5.3205440053716299E-14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189.27804790161417</v>
      </c>
      <c r="T88" s="62">
        <f t="shared" si="88"/>
        <v>212.39018594432073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1.6614538074488643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1.6614538074488643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5.8</v>
      </c>
      <c r="AH88" s="13">
        <f t="array" ref="AH88">INDEX(AG:AG,MIN(IF(ISNUMBER(AG88:AG284),ROW(AG88:AG284),"")))</f>
        <v>5.8</v>
      </c>
      <c r="AI88" s="14">
        <f>IF('Données projet'!$A$62&gt;35,AI87+AH88-AQ87,IF(A88&lt;'Données projet'!$A$62,$AF$205^A88,IF(A88='Données projet'!$A$62,'Données projet'!$B$62,AI87+AH88-AQ87)))</f>
        <v>268.99999999999994</v>
      </c>
      <c r="AJ88" s="14">
        <f>AI88*VLOOKUP('Données projet'!$B$10,Paramètres!$A$1:$I$89,3,0)*VLOOKUP('Données projet'!$B$10,Paramètres!$A$1:$I$89,5,0)</f>
        <v>243.39119999999994</v>
      </c>
      <c r="AK88" s="14">
        <f t="shared" si="89"/>
        <v>59.168566788241527</v>
      </c>
      <c r="AL88" s="22">
        <f t="shared" si="58"/>
        <v>526.95826048952051</v>
      </c>
      <c r="AM88" s="62">
        <f t="shared" si="59"/>
        <v>799.58072121780197</v>
      </c>
      <c r="AN88" s="62">
        <f ca="1">AVERAGE(OFFSET($AM$3,0,0,'Données projet'!$E$10+1,1))-AVERAGE(OFFSET($H$3,0,0,'Données projet'!$E$10+1,1))</f>
        <v>398.11190027805549</v>
      </c>
      <c r="AO88" s="62">
        <f t="shared" si="90"/>
        <v>250.47702091764884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269</v>
      </c>
      <c r="BB88" s="13">
        <f>VLOOKUP(A88,'Données projet'!$A$87:$I$107,9,0)</f>
        <v>5.8</v>
      </c>
      <c r="BC88" s="13">
        <f t="array" ref="BC88">INDEX(BB:BB,MIN(IF(ISNUMBER(BB88:BB284),ROW(BB88:BB284),"")))</f>
        <v>5.8</v>
      </c>
      <c r="BD88" s="13">
        <f>IF('Données projet'!$A$88&gt;35,BD87+BC88-BL87,IF(A88&lt;'Données projet'!$A$88,$BA$205^A88,IF(A88='Données projet'!$A$88,'Données projet'!$B$88,BD87+BC88-BL87)))</f>
        <v>268.99999999999994</v>
      </c>
      <c r="BE88" s="14">
        <f>BD88*VLOOKUP('Données projet'!$B$11,Paramètres!$A$1:$I$89,3,0)*VLOOKUP('Données projet'!$B$11,Paramètres!$A$1:$I$89,5,0)</f>
        <v>255.98039999999997</v>
      </c>
      <c r="BF88" s="14">
        <f t="shared" si="91"/>
        <v>61.864786260587792</v>
      </c>
      <c r="BG88" s="22">
        <f t="shared" si="61"/>
        <v>553.58036607052361</v>
      </c>
      <c r="BH88" s="62">
        <f t="shared" si="62"/>
        <v>826.20282679880506</v>
      </c>
      <c r="BI88" s="62">
        <f ca="1">AVERAGE(OFFSET($BH$3,0,0,'Données projet'!$E$11+1,1))-AVERAGE(OFFSET($H$3,0,0,'Données projet'!$E$11+1,1))</f>
        <v>414.9045204114143</v>
      </c>
      <c r="BJ88" s="62">
        <f t="shared" si="92"/>
        <v>260.29028006191834</v>
      </c>
      <c r="BK88" s="16">
        <f>IF(ISNA(VLOOKUP(A88,'Données projet'!$A$87:$I$107,3,0)),0,VLOOKUP(A88,'Données projet'!$A$87:$I$107,3,0))</f>
        <v>14</v>
      </c>
      <c r="BL88" s="16">
        <f>IF(ISNA(VLOOKUP(A88,'Données projet'!$A$87:$I$107,4,0)),0,VLOOKUP(A88,'Données projet'!$A$87:$I$107,4,0))</f>
        <v>21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-1.1368683772161603E-13</v>
      </c>
      <c r="O89" s="14">
        <f>N89*VLOOKUP('Données projet'!$B$9,Paramètres!$A$1:$I$89,3,0)*VLOOKUP('Données projet'!$B$9,Paramètres!$A$1:$I$89,5,0)</f>
        <v>-5.3205440053716299E-14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189.27804790161417</v>
      </c>
      <c r="T89" s="62">
        <f t="shared" si="88"/>
        <v>212.39018594432073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1.628873711671551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1.628873711671551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253.39999999999992</v>
      </c>
      <c r="AJ89" s="14">
        <f>AI89*VLOOKUP('Données projet'!$B$10,Paramètres!$A$1:$I$89,3,0)*VLOOKUP('Données projet'!$B$10,Paramètres!$A$1:$I$89,5,0)</f>
        <v>229.27631999999994</v>
      </c>
      <c r="AK89" s="14">
        <f t="shared" si="89"/>
        <v>56.126176307517476</v>
      </c>
      <c r="AL89" s="22">
        <f t="shared" si="58"/>
        <v>497.07601440225949</v>
      </c>
      <c r="AM89" s="62">
        <f t="shared" si="59"/>
        <v>770.05776246766413</v>
      </c>
      <c r="AN89" s="62">
        <f ca="1">AVERAGE(OFFSET($AM$3,0,0,'Données projet'!$E$10+1,1))-AVERAGE(OFFSET($H$3,0,0,'Données projet'!$E$10+1,1))</f>
        <v>398.11190027805549</v>
      </c>
      <c r="AO89" s="62">
        <f t="shared" si="90"/>
        <v>250.47702091764884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5.4</v>
      </c>
      <c r="BD89" s="13">
        <f>IF('Données projet'!$A$88&gt;35,BD88+BC89-BL88,IF(A89&lt;'Données projet'!$A$88,$BA$205^A89,IF(A89='Données projet'!$A$88,'Données projet'!$B$88,BD88+BC89-BL88)))</f>
        <v>253.39999999999992</v>
      </c>
      <c r="BE89" s="14">
        <f>BD89*VLOOKUP('Données projet'!$B$11,Paramètres!$A$1:$I$89,3,0)*VLOOKUP('Données projet'!$B$11,Paramètres!$A$1:$I$89,5,0)</f>
        <v>241.13543999999993</v>
      </c>
      <c r="BF89" s="14">
        <f t="shared" si="91"/>
        <v>58.6837587821827</v>
      </c>
      <c r="BG89" s="22">
        <f t="shared" si="61"/>
        <v>522.18510454563477</v>
      </c>
      <c r="BH89" s="62">
        <f t="shared" si="62"/>
        <v>795.16685261103953</v>
      </c>
      <c r="BI89" s="62">
        <f ca="1">AVERAGE(OFFSET($BH$3,0,0,'Données projet'!$E$11+1,1))-AVERAGE(OFFSET($H$3,0,0,'Données projet'!$E$11+1,1))</f>
        <v>414.9045204114143</v>
      </c>
      <c r="BJ89" s="62">
        <f t="shared" si="92"/>
        <v>260.29028006191834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-1.1368683772161603E-13</v>
      </c>
      <c r="O90" s="14">
        <f>N90*VLOOKUP('Données projet'!$B$9,Paramètres!$A$1:$I$89,3,0)*VLOOKUP('Données projet'!$B$9,Paramètres!$A$1:$I$89,5,0)</f>
        <v>-5.3205440053716299E-14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189.27804790161417</v>
      </c>
      <c r="T90" s="62">
        <f t="shared" si="88"/>
        <v>212.39018594432073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1.5969324917005345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1.5969324917005345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258.7999999999999</v>
      </c>
      <c r="AJ90" s="14">
        <f>AI90*VLOOKUP('Données projet'!$B$10,Paramètres!$A$1:$I$89,3,0)*VLOOKUP('Données projet'!$B$10,Paramètres!$A$1:$I$89,5,0)</f>
        <v>234.16223999999988</v>
      </c>
      <c r="AK90" s="14">
        <f t="shared" si="89"/>
        <v>57.181713578143047</v>
      </c>
      <c r="AL90" s="22">
        <f t="shared" si="58"/>
        <v>507.42405248193222</v>
      </c>
      <c r="AM90" s="62">
        <f t="shared" si="59"/>
        <v>780.75885505240706</v>
      </c>
      <c r="AN90" s="62">
        <f ca="1">AVERAGE(OFFSET($AM$3,0,0,'Données projet'!$E$10+1,1))-AVERAGE(OFFSET($H$3,0,0,'Données projet'!$E$10+1,1))</f>
        <v>398.11190027805549</v>
      </c>
      <c r="AO90" s="62">
        <f t="shared" si="90"/>
        <v>250.47702091764884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5.4</v>
      </c>
      <c r="BD90" s="13">
        <f>IF('Données projet'!$A$88&gt;35,BD89+BC90-BL89,IF(A90&lt;'Données projet'!$A$88,$BA$205^A90,IF(A90='Données projet'!$A$88,'Données projet'!$B$88,BD89+BC90-BL89)))</f>
        <v>258.7999999999999</v>
      </c>
      <c r="BE90" s="14">
        <f>BD90*VLOOKUP('Données projet'!$B$11,Paramètres!$A$1:$I$89,3,0)*VLOOKUP('Données projet'!$B$11,Paramètres!$A$1:$I$89,5,0)</f>
        <v>246.27407999999991</v>
      </c>
      <c r="BF90" s="14">
        <f t="shared" si="91"/>
        <v>59.787395242924475</v>
      </c>
      <c r="BG90" s="22">
        <f t="shared" si="61"/>
        <v>533.05706938142669</v>
      </c>
      <c r="BH90" s="62">
        <f t="shared" si="62"/>
        <v>806.39187195190152</v>
      </c>
      <c r="BI90" s="62">
        <f ca="1">AVERAGE(OFFSET($BH$3,0,0,'Données projet'!$E$11+1,1))-AVERAGE(OFFSET($H$3,0,0,'Données projet'!$E$11+1,1))</f>
        <v>414.9045204114143</v>
      </c>
      <c r="BJ90" s="62">
        <f t="shared" si="92"/>
        <v>260.29028006191834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-1.1368683772161603E-13</v>
      </c>
      <c r="O91" s="14">
        <f>N91*VLOOKUP('Données projet'!$B$9,Paramètres!$A$1:$I$89,3,0)*VLOOKUP('Données projet'!$B$9,Paramètres!$A$1:$I$89,5,0)</f>
        <v>-5.3205440053716299E-14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189.27804790161417</v>
      </c>
      <c r="T91" s="62">
        <f t="shared" si="88"/>
        <v>212.39018594432073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1.5656176195709293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1.5656176195709293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264.19999999999987</v>
      </c>
      <c r="AJ91" s="14">
        <f>AI91*VLOOKUP('Données projet'!$B$10,Paramètres!$A$1:$I$89,3,0)*VLOOKUP('Données projet'!$B$10,Paramètres!$A$1:$I$89,5,0)</f>
        <v>239.04815999999985</v>
      </c>
      <c r="AK91" s="14">
        <f t="shared" si="89"/>
        <v>58.234690128947292</v>
      </c>
      <c r="AL91" s="22">
        <f t="shared" si="58"/>
        <v>517.76763064124964</v>
      </c>
      <c r="AM91" s="62">
        <f t="shared" si="59"/>
        <v>791.44936301044334</v>
      </c>
      <c r="AN91" s="62">
        <f ca="1">AVERAGE(OFFSET($AM$3,0,0,'Données projet'!$E$10+1,1))-AVERAGE(OFFSET($H$3,0,0,'Données projet'!$E$10+1,1))</f>
        <v>398.11190027805549</v>
      </c>
      <c r="AO91" s="62">
        <f t="shared" si="90"/>
        <v>250.47702091764884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5.4</v>
      </c>
      <c r="BD91" s="13">
        <f>IF('Données projet'!$A$88&gt;35,BD90+BC91-BL90,IF(A91&lt;'Données projet'!$A$88,$BA$205^A91,IF(A91='Données projet'!$A$88,'Données projet'!$B$88,BD90+BC91-BL90)))</f>
        <v>264.19999999999987</v>
      </c>
      <c r="BE91" s="14">
        <f>BD91*VLOOKUP('Données projet'!$B$11,Paramètres!$A$1:$I$89,3,0)*VLOOKUP('Données projet'!$B$11,Paramètres!$A$1:$I$89,5,0)</f>
        <v>251.41271999999989</v>
      </c>
      <c r="BF91" s="14">
        <f t="shared" si="91"/>
        <v>60.888354295829195</v>
      </c>
      <c r="BG91" s="22">
        <f t="shared" si="61"/>
        <v>543.92437106523562</v>
      </c>
      <c r="BH91" s="62">
        <f t="shared" si="62"/>
        <v>817.60610343442931</v>
      </c>
      <c r="BI91" s="62">
        <f ca="1">AVERAGE(OFFSET($BH$3,0,0,'Données projet'!$E$11+1,1))-AVERAGE(OFFSET($H$3,0,0,'Données projet'!$E$11+1,1))</f>
        <v>414.9045204114143</v>
      </c>
      <c r="BJ91" s="62">
        <f t="shared" si="92"/>
        <v>260.29028006191834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-1.1368683772161603E-13</v>
      </c>
      <c r="O92" s="14">
        <f>N92*VLOOKUP('Données projet'!$B$9,Paramètres!$A$1:$I$89,3,0)*VLOOKUP('Données projet'!$B$9,Paramètres!$A$1:$I$89,5,0)</f>
        <v>-5.3205440053716299E-14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189.27804790161417</v>
      </c>
      <c r="T92" s="62">
        <f t="shared" si="88"/>
        <v>212.39018594432073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1.5349168129835995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1.5349168129835995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269.59999999999985</v>
      </c>
      <c r="AJ92" s="14">
        <f>AI92*VLOOKUP('Données projet'!$B$10,Paramètres!$A$1:$I$89,3,0)*VLOOKUP('Données projet'!$B$10,Paramètres!$A$1:$I$89,5,0)</f>
        <v>243.93407999999988</v>
      </c>
      <c r="AK92" s="14">
        <f t="shared" si="89"/>
        <v>59.285164329617594</v>
      </c>
      <c r="AL92" s="22">
        <f t="shared" si="58"/>
        <v>528.10685054075043</v>
      </c>
      <c r="AM92" s="62">
        <f t="shared" si="59"/>
        <v>802.12949425227407</v>
      </c>
      <c r="AN92" s="62">
        <f ca="1">AVERAGE(OFFSET($AM$3,0,0,'Données projet'!$E$10+1,1))-AVERAGE(OFFSET($H$3,0,0,'Données projet'!$E$10+1,1))</f>
        <v>398.11190027805549</v>
      </c>
      <c r="AO92" s="62">
        <f t="shared" si="90"/>
        <v>250.47702091764884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5.4</v>
      </c>
      <c r="BD92" s="13">
        <f>IF('Données projet'!$A$88&gt;35,BD91+BC92-BL91,IF(A92&lt;'Données projet'!$A$88,$BA$205^A92,IF(A92='Données projet'!$A$88,'Données projet'!$B$88,BD91+BC92-BL91)))</f>
        <v>269.59999999999985</v>
      </c>
      <c r="BE92" s="14">
        <f>BD92*VLOOKUP('Données projet'!$B$11,Paramètres!$A$1:$I$89,3,0)*VLOOKUP('Données projet'!$B$11,Paramètres!$A$1:$I$89,5,0)</f>
        <v>256.55135999999987</v>
      </c>
      <c r="BF92" s="14">
        <f t="shared" si="91"/>
        <v>61.986696970400146</v>
      </c>
      <c r="BG92" s="22">
        <f t="shared" si="61"/>
        <v>554.78711589011334</v>
      </c>
      <c r="BH92" s="62">
        <f t="shared" si="62"/>
        <v>828.80975960163687</v>
      </c>
      <c r="BI92" s="62">
        <f ca="1">AVERAGE(OFFSET($BH$3,0,0,'Données projet'!$E$11+1,1))-AVERAGE(OFFSET($H$3,0,0,'Données projet'!$E$11+1,1))</f>
        <v>414.9045204114143</v>
      </c>
      <c r="BJ92" s="62">
        <f t="shared" si="92"/>
        <v>260.29028006191834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-1.1368683772161603E-13</v>
      </c>
      <c r="O93" s="14">
        <f>N93*VLOOKUP('Données projet'!$B$9,Paramètres!$A$1:$I$89,3,0)*VLOOKUP('Données projet'!$B$9,Paramètres!$A$1:$I$89,5,0)</f>
        <v>-5.3205440053716299E-14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189.27804790161417</v>
      </c>
      <c r="T93" s="62">
        <f t="shared" si="88"/>
        <v>212.39018594432073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1.5048180304878043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1.5048180304878043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274.99999999999983</v>
      </c>
      <c r="AJ93" s="14">
        <f>AI93*VLOOKUP('Données projet'!$B$10,Paramètres!$A$1:$I$89,3,0)*VLOOKUP('Données projet'!$B$10,Paramètres!$A$1:$I$89,5,0)</f>
        <v>248.81999999999982</v>
      </c>
      <c r="AK93" s="14">
        <f t="shared" si="89"/>
        <v>60.333192077890018</v>
      </c>
      <c r="AL93" s="22">
        <f t="shared" si="58"/>
        <v>538.44180953565808</v>
      </c>
      <c r="AM93" s="62">
        <f t="shared" si="59"/>
        <v>812.79945053988581</v>
      </c>
      <c r="AN93" s="62">
        <f ca="1">AVERAGE(OFFSET($AM$3,0,0,'Données projet'!$E$10+1,1))-AVERAGE(OFFSET($H$3,0,0,'Données projet'!$E$10+1,1))</f>
        <v>398.11190027805549</v>
      </c>
      <c r="AO93" s="62">
        <f t="shared" si="90"/>
        <v>250.47702091764884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275</v>
      </c>
      <c r="BB93" s="13">
        <f>VLOOKUP(A93,'Données projet'!$A$87:$I$107,9,0)</f>
        <v>5.4</v>
      </c>
      <c r="BC93" s="13">
        <f t="array" ref="BC93">INDEX(BB:BB,MIN(IF(ISNUMBER(BB93:BB289),ROW(BB93:BB289),"")))</f>
        <v>5.4</v>
      </c>
      <c r="BD93" s="13">
        <f>IF('Données projet'!$A$88&gt;35,BD92+BC93-BL92,IF(A93&lt;'Données projet'!$A$88,$BA$205^A93,IF(A93='Données projet'!$A$88,'Données projet'!$B$88,BD92+BC93-BL92)))</f>
        <v>274.99999999999983</v>
      </c>
      <c r="BE93" s="14">
        <f>BD93*VLOOKUP('Données projet'!$B$11,Paramètres!$A$1:$I$89,3,0)*VLOOKUP('Données projet'!$B$11,Paramètres!$A$1:$I$89,5,0)</f>
        <v>261.68999999999983</v>
      </c>
      <c r="BF93" s="14">
        <f t="shared" si="91"/>
        <v>63.082481711546343</v>
      </c>
      <c r="BG93" s="22">
        <f t="shared" si="61"/>
        <v>565.64540564760955</v>
      </c>
      <c r="BH93" s="62">
        <f t="shared" si="62"/>
        <v>840.00304665183717</v>
      </c>
      <c r="BI93" s="62">
        <f ca="1">AVERAGE(OFFSET($BH$3,0,0,'Données projet'!$E$11+1,1))-AVERAGE(OFFSET($H$3,0,0,'Données projet'!$E$11+1,1))</f>
        <v>414.9045204114143</v>
      </c>
      <c r="BJ93" s="62">
        <f t="shared" si="92"/>
        <v>260.29028006191834</v>
      </c>
      <c r="BK93" s="16">
        <f>IF(ISNA(VLOOKUP(A93,'Données projet'!$A$87:$I$107,3,0)),0,VLOOKUP(A93,'Données projet'!$A$87:$I$107,3,0))</f>
        <v>15</v>
      </c>
      <c r="BL93" s="16">
        <f>IF(ISNA(VLOOKUP(A93,'Données projet'!$A$87:$I$107,4,0)),0,VLOOKUP(A93,'Données projet'!$A$87:$I$107,4,0))</f>
        <v>21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-1.1368683772161603E-13</v>
      </c>
      <c r="O94" s="14">
        <f>N94*VLOOKUP('Données projet'!$B$9,Paramètres!$A$1:$I$89,3,0)*VLOOKUP('Données projet'!$B$9,Paramètres!$A$1:$I$89,5,0)</f>
        <v>-5.3205440053716299E-14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189.27804790161417</v>
      </c>
      <c r="T94" s="62">
        <f t="shared" si="88"/>
        <v>212.39018594432073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1.4753094667583071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1.4753094667583071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258.99999999999983</v>
      </c>
      <c r="AJ94" s="14">
        <f>AI94*VLOOKUP('Données projet'!$B$10,Paramètres!$A$1:$I$89,3,0)*VLOOKUP('Données projet'!$B$10,Paramètres!$A$1:$I$89,5,0)</f>
        <v>234.34319999999983</v>
      </c>
      <c r="AK94" s="14">
        <f t="shared" si="89"/>
        <v>57.220758006491614</v>
      </c>
      <c r="AL94" s="22">
        <f t="shared" si="58"/>
        <v>507.80722686130588</v>
      </c>
      <c r="AM94" s="62">
        <f t="shared" si="59"/>
        <v>782.49405370415093</v>
      </c>
      <c r="AN94" s="62">
        <f ca="1">AVERAGE(OFFSET($AM$3,0,0,'Données projet'!$E$10+1,1))-AVERAGE(OFFSET($H$3,0,0,'Données projet'!$E$10+1,1))</f>
        <v>398.11190027805549</v>
      </c>
      <c r="AO94" s="62">
        <f t="shared" si="90"/>
        <v>250.47702091764884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</v>
      </c>
      <c r="BD94" s="13">
        <f>IF('Données projet'!$A$88&gt;35,BD93+BC94-BL93,IF(A94&lt;'Données projet'!$A$88,$BA$205^A94,IF(A94='Données projet'!$A$88,'Données projet'!$B$88,BD93+BC94-BL93)))</f>
        <v>258.99999999999983</v>
      </c>
      <c r="BE94" s="14">
        <f>BD94*VLOOKUP('Données projet'!$B$11,Paramètres!$A$1:$I$89,3,0)*VLOOKUP('Données projet'!$B$11,Paramètres!$A$1:$I$89,5,0)</f>
        <v>246.46439999999984</v>
      </c>
      <c r="BF94" s="14">
        <f t="shared" si="91"/>
        <v>59.828218865086768</v>
      </c>
      <c r="BG94" s="22">
        <f t="shared" si="61"/>
        <v>533.45964452335909</v>
      </c>
      <c r="BH94" s="62">
        <f t="shared" si="62"/>
        <v>808.1464713662042</v>
      </c>
      <c r="BI94" s="62">
        <f ca="1">AVERAGE(OFFSET($BH$3,0,0,'Données projet'!$E$11+1,1))-AVERAGE(OFFSET($H$3,0,0,'Données projet'!$E$11+1,1))</f>
        <v>414.9045204114143</v>
      </c>
      <c r="BJ94" s="62">
        <f t="shared" si="92"/>
        <v>260.29028006191834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-1.1368683772161603E-13</v>
      </c>
      <c r="O95" s="14">
        <f>N95*VLOOKUP('Données projet'!$B$9,Paramètres!$A$1:$I$89,3,0)*VLOOKUP('Données projet'!$B$9,Paramètres!$A$1:$I$89,5,0)</f>
        <v>-5.3205440053716299E-14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189.27804790161417</v>
      </c>
      <c r="T95" s="62">
        <f t="shared" si="88"/>
        <v>212.39018594432073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1.4463795479650987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1.4463795479650987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263.99999999999983</v>
      </c>
      <c r="AJ95" s="14">
        <f>AI95*VLOOKUP('Données projet'!$B$10,Paramètres!$A$1:$I$89,3,0)*VLOOKUP('Données projet'!$B$10,Paramètres!$A$1:$I$89,5,0)</f>
        <v>238.86719999999983</v>
      </c>
      <c r="AK95" s="14">
        <f t="shared" si="89"/>
        <v>58.195735973104156</v>
      </c>
      <c r="AL95" s="22">
        <f t="shared" si="58"/>
        <v>517.38461348648946</v>
      </c>
      <c r="AM95" s="62">
        <f t="shared" si="59"/>
        <v>792.39491552960112</v>
      </c>
      <c r="AN95" s="62">
        <f ca="1">AVERAGE(OFFSET($AM$3,0,0,'Données projet'!$E$10+1,1))-AVERAGE(OFFSET($H$3,0,0,'Données projet'!$E$10+1,1))</f>
        <v>398.11190027805549</v>
      </c>
      <c r="AO95" s="62">
        <f t="shared" si="90"/>
        <v>250.47702091764884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</v>
      </c>
      <c r="BD95" s="13">
        <f>IF('Données projet'!$A$88&gt;35,BD94+BC95-BL94,IF(A95&lt;'Données projet'!$A$88,$BA$205^A95,IF(A95='Données projet'!$A$88,'Données projet'!$B$88,BD94+BC95-BL94)))</f>
        <v>263.99999999999983</v>
      </c>
      <c r="BE95" s="14">
        <f>BD95*VLOOKUP('Données projet'!$B$11,Paramètres!$A$1:$I$89,3,0)*VLOOKUP('Données projet'!$B$11,Paramètres!$A$1:$I$89,5,0)</f>
        <v>251.22239999999982</v>
      </c>
      <c r="BF95" s="14">
        <f t="shared" si="91"/>
        <v>60.84762505974976</v>
      </c>
      <c r="BG95" s="22">
        <f t="shared" si="61"/>
        <v>543.52196031239725</v>
      </c>
      <c r="BH95" s="62">
        <f t="shared" si="62"/>
        <v>818.53226235550892</v>
      </c>
      <c r="BI95" s="62">
        <f ca="1">AVERAGE(OFFSET($BH$3,0,0,'Données projet'!$E$11+1,1))-AVERAGE(OFFSET($H$3,0,0,'Données projet'!$E$11+1,1))</f>
        <v>414.9045204114143</v>
      </c>
      <c r="BJ95" s="62">
        <f t="shared" si="92"/>
        <v>260.29028006191834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-1.1368683772161603E-13</v>
      </c>
      <c r="O96" s="14">
        <f>N96*VLOOKUP('Données projet'!$B$9,Paramètres!$A$1:$I$89,3,0)*VLOOKUP('Données projet'!$B$9,Paramètres!$A$1:$I$89,5,0)</f>
        <v>-5.3205440053716299E-14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189.27804790161417</v>
      </c>
      <c r="T96" s="62">
        <f t="shared" si="88"/>
        <v>212.39018594432073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1.4180169272339169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1.4180169272339169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268.99999999999983</v>
      </c>
      <c r="AJ96" s="14">
        <f>AI96*VLOOKUP('Données projet'!$B$10,Paramètres!$A$1:$I$89,3,0)*VLOOKUP('Données projet'!$B$10,Paramètres!$A$1:$I$89,5,0)</f>
        <v>243.39119999999986</v>
      </c>
      <c r="AK96" s="14">
        <f t="shared" si="89"/>
        <v>59.168566788241527</v>
      </c>
      <c r="AL96" s="22">
        <f t="shared" si="58"/>
        <v>526.95826048952051</v>
      </c>
      <c r="AM96" s="62">
        <f t="shared" si="59"/>
        <v>802.28642616135653</v>
      </c>
      <c r="AN96" s="62">
        <f ca="1">AVERAGE(OFFSET($AM$3,0,0,'Données projet'!$E$10+1,1))-AVERAGE(OFFSET($H$3,0,0,'Données projet'!$E$10+1,1))</f>
        <v>398.11190027805549</v>
      </c>
      <c r="AO96" s="62">
        <f t="shared" si="90"/>
        <v>250.47702091764884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</v>
      </c>
      <c r="BD96" s="13">
        <f>IF('Données projet'!$A$88&gt;35,BD95+BC96-BL95,IF(A96&lt;'Données projet'!$A$88,$BA$205^A96,IF(A96='Données projet'!$A$88,'Données projet'!$B$88,BD95+BC96-BL95)))</f>
        <v>268.99999999999983</v>
      </c>
      <c r="BE96" s="14">
        <f>BD96*VLOOKUP('Données projet'!$B$11,Paramètres!$A$1:$I$89,3,0)*VLOOKUP('Données projet'!$B$11,Paramètres!$A$1:$I$89,5,0)</f>
        <v>255.98039999999983</v>
      </c>
      <c r="BF96" s="14">
        <f t="shared" si="91"/>
        <v>61.864786260587735</v>
      </c>
      <c r="BG96" s="22">
        <f t="shared" si="61"/>
        <v>553.58036607052338</v>
      </c>
      <c r="BH96" s="62">
        <f t="shared" si="62"/>
        <v>828.9085317423594</v>
      </c>
      <c r="BI96" s="62">
        <f ca="1">AVERAGE(OFFSET($BH$3,0,0,'Données projet'!$E$11+1,1))-AVERAGE(OFFSET($H$3,0,0,'Données projet'!$E$11+1,1))</f>
        <v>414.9045204114143</v>
      </c>
      <c r="BJ96" s="62">
        <f t="shared" si="92"/>
        <v>260.29028006191834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-1.1368683772161603E-13</v>
      </c>
      <c r="O97" s="14">
        <f>N97*VLOOKUP('Données projet'!$B$9,Paramètres!$A$1:$I$89,3,0)*VLOOKUP('Données projet'!$B$9,Paramètres!$A$1:$I$89,5,0)</f>
        <v>-5.3205440053716299E-14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189.27804790161417</v>
      </c>
      <c r="T97" s="62">
        <f t="shared" si="88"/>
        <v>212.39018594432073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1.3902104801957831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1.3902104801957831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273.99999999999983</v>
      </c>
      <c r="AJ97" s="14">
        <f>AI97*VLOOKUP('Données projet'!$B$10,Paramètres!$A$1:$I$89,3,0)*VLOOKUP('Données projet'!$B$10,Paramètres!$A$1:$I$89,5,0)</f>
        <v>247.91519999999986</v>
      </c>
      <c r="AK97" s="14">
        <f t="shared" si="89"/>
        <v>60.139294964297406</v>
      </c>
      <c r="AL97" s="22">
        <f t="shared" si="58"/>
        <v>536.52824539615096</v>
      </c>
      <c r="AM97" s="62">
        <f t="shared" si="59"/>
        <v>812.16876047338951</v>
      </c>
      <c r="AN97" s="62">
        <f ca="1">AVERAGE(OFFSET($AM$3,0,0,'Données projet'!$E$10+1,1))-AVERAGE(OFFSET($H$3,0,0,'Données projet'!$E$10+1,1))</f>
        <v>398.11190027805549</v>
      </c>
      <c r="AO97" s="62">
        <f t="shared" si="90"/>
        <v>250.47702091764884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</v>
      </c>
      <c r="BD97" s="13">
        <f>IF('Données projet'!$A$88&gt;35,BD96+BC97-BL96,IF(A97&lt;'Données projet'!$A$88,$BA$205^A97,IF(A97='Données projet'!$A$88,'Données projet'!$B$88,BD96+BC97-BL96)))</f>
        <v>273.99999999999983</v>
      </c>
      <c r="BE97" s="14">
        <f>BD97*VLOOKUP('Données projet'!$B$11,Paramètres!$A$1:$I$89,3,0)*VLOOKUP('Données projet'!$B$11,Paramètres!$A$1:$I$89,5,0)</f>
        <v>260.73839999999984</v>
      </c>
      <c r="BF97" s="14">
        <f t="shared" si="91"/>
        <v>62.879749008354707</v>
      </c>
      <c r="BG97" s="22">
        <f t="shared" si="61"/>
        <v>563.63494285621744</v>
      </c>
      <c r="BH97" s="62">
        <f t="shared" si="62"/>
        <v>839.27545793345598</v>
      </c>
      <c r="BI97" s="62">
        <f ca="1">AVERAGE(OFFSET($BH$3,0,0,'Données projet'!$E$11+1,1))-AVERAGE(OFFSET($H$3,0,0,'Données projet'!$E$11+1,1))</f>
        <v>414.9045204114143</v>
      </c>
      <c r="BJ97" s="62">
        <f t="shared" si="92"/>
        <v>260.29028006191834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-1.1368683772161603E-13</v>
      </c>
      <c r="O98" s="14">
        <f>N98*VLOOKUP('Données projet'!$B$9,Paramètres!$A$1:$I$89,3,0)*VLOOKUP('Données projet'!$B$9,Paramètres!$A$1:$I$89,5,0)</f>
        <v>-5.3205440053716299E-14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189.27804790161417</v>
      </c>
      <c r="T98" s="62">
        <f t="shared" si="88"/>
        <v>212.39018594432073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1.3629493006238091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1.3629493006238091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278.99999999999983</v>
      </c>
      <c r="AJ98" s="14">
        <f>AI98*VLOOKUP('Données projet'!$B$10,Paramètres!$A$1:$I$89,3,0)*VLOOKUP('Données projet'!$B$10,Paramètres!$A$1:$I$89,5,0)</f>
        <v>252.43919999999983</v>
      </c>
      <c r="AK98" s="14">
        <f t="shared" si="89"/>
        <v>61.107963296116218</v>
      </c>
      <c r="AL98" s="22">
        <f t="shared" si="58"/>
        <v>546.09464274073537</v>
      </c>
      <c r="AM98" s="62">
        <f t="shared" si="59"/>
        <v>822.04208865950136</v>
      </c>
      <c r="AN98" s="62">
        <f ca="1">AVERAGE(OFFSET($AM$3,0,0,'Données projet'!$E$10+1,1))-AVERAGE(OFFSET($H$3,0,0,'Données projet'!$E$10+1,1))</f>
        <v>398.11190027805549</v>
      </c>
      <c r="AO98" s="62">
        <f t="shared" si="90"/>
        <v>250.47702091764884</v>
      </c>
      <c r="AP98" s="16">
        <f>IF(ISNA(VLOOKUP(A98,'Données projet'!$A$61:$I$81,3,0)),0,VLOOKUP(A98,'Données projet'!$A$61:$I$81,3,0))</f>
        <v>16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279</v>
      </c>
      <c r="BB98" s="13">
        <f>VLOOKUP(A98,'Données projet'!$A$87:$I$107,9,0)</f>
        <v>5</v>
      </c>
      <c r="BC98" s="13">
        <f t="array" ref="BC98">INDEX(BB:BB,MIN(IF(ISNUMBER(BB98:BB294),ROW(BB98:BB294),"")))</f>
        <v>5</v>
      </c>
      <c r="BD98" s="13">
        <f>IF('Données projet'!$A$88&gt;35,BD97+BC98-BL97,IF(A98&lt;'Données projet'!$A$88,$BA$205^A98,IF(A98='Données projet'!$A$88,'Données projet'!$B$88,BD97+BC98-BL97)))</f>
        <v>278.99999999999983</v>
      </c>
      <c r="BE98" s="14">
        <f>BD98*VLOOKUP('Données projet'!$B$11,Paramètres!$A$1:$I$89,3,0)*VLOOKUP('Données projet'!$B$11,Paramètres!$A$1:$I$89,5,0)</f>
        <v>265.49639999999982</v>
      </c>
      <c r="BF98" s="14">
        <f t="shared" si="91"/>
        <v>63.892558047989532</v>
      </c>
      <c r="BG98" s="22">
        <f t="shared" si="61"/>
        <v>573.68576860024802</v>
      </c>
      <c r="BH98" s="62">
        <f t="shared" si="62"/>
        <v>849.63321451901402</v>
      </c>
      <c r="BI98" s="62">
        <f ca="1">AVERAGE(OFFSET($BH$3,0,0,'Données projet'!$E$11+1,1))-AVERAGE(OFFSET($H$3,0,0,'Données projet'!$E$11+1,1))</f>
        <v>414.9045204114143</v>
      </c>
      <c r="BJ98" s="62">
        <f t="shared" si="92"/>
        <v>260.29028006191834</v>
      </c>
      <c r="BK98" s="16">
        <f>IF(ISNA(VLOOKUP(A98,'Données projet'!$A$87:$I$107,3,0)),0,VLOOKUP(A98,'Données projet'!$A$87:$I$107,3,0))</f>
        <v>16</v>
      </c>
      <c r="BL98" s="16">
        <f>IF(ISNA(VLOOKUP(A98,'Données projet'!$A$87:$I$107,4,0)),0,VLOOKUP(A98,'Données projet'!$A$87:$I$107,4,0))</f>
        <v>21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-1.1368683772161603E-13</v>
      </c>
      <c r="O99" s="14">
        <f>N99*VLOOKUP('Données projet'!$B$9,Paramètres!$A$1:$I$89,3,0)*VLOOKUP('Données projet'!$B$9,Paramètres!$A$1:$I$89,5,0)</f>
        <v>-5.3205440053716299E-14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189.27804790161417</v>
      </c>
      <c r="T99" s="62">
        <f t="shared" si="88"/>
        <v>212.39018594432073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1.3362226961555639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1.3362226961555639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262.79999999999984</v>
      </c>
      <c r="AJ99" s="14">
        <f>AI99*VLOOKUP('Données projet'!$B$10,Paramètres!$A$1:$I$89,3,0)*VLOOKUP('Données projet'!$B$10,Paramètres!$A$1:$I$89,5,0)</f>
        <v>237.78143999999983</v>
      </c>
      <c r="AK99" s="14">
        <f t="shared" si="89"/>
        <v>57.9619387969109</v>
      </c>
      <c r="AL99" s="22">
        <f t="shared" si="58"/>
        <v>515.08638473795281</v>
      </c>
      <c r="AM99" s="62">
        <f t="shared" si="59"/>
        <v>791.33543693434024</v>
      </c>
      <c r="AN99" s="62">
        <f ca="1">AVERAGE(OFFSET($AM$3,0,0,'Données projet'!$E$10+1,1))-AVERAGE(OFFSET($H$3,0,0,'Données projet'!$E$10+1,1))</f>
        <v>398.11190027805549</v>
      </c>
      <c r="AO99" s="62">
        <f t="shared" si="90"/>
        <v>250.47702091764884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4.8</v>
      </c>
      <c r="BD99" s="13">
        <f>IF('Données projet'!$A$88&gt;35,BD98+BC99-BL98,IF(A99&lt;'Données projet'!$A$88,$BA$205^A99,IF(A99='Données projet'!$A$88,'Données projet'!$B$88,BD98+BC99-BL98)))</f>
        <v>262.79999999999984</v>
      </c>
      <c r="BE99" s="14">
        <f>BD99*VLOOKUP('Données projet'!$B$11,Paramètres!$A$1:$I$89,3,0)*VLOOKUP('Données projet'!$B$11,Paramètres!$A$1:$I$89,5,0)</f>
        <v>250.08047999999985</v>
      </c>
      <c r="BF99" s="14">
        <f t="shared" si="91"/>
        <v>60.603174110223023</v>
      </c>
      <c r="BG99" s="22">
        <f t="shared" si="61"/>
        <v>541.10736424197137</v>
      </c>
      <c r="BH99" s="62">
        <f t="shared" si="62"/>
        <v>817.35641643835879</v>
      </c>
      <c r="BI99" s="62">
        <f ca="1">AVERAGE(OFFSET($BH$3,0,0,'Données projet'!$E$11+1,1))-AVERAGE(OFFSET($H$3,0,0,'Données projet'!$E$11+1,1))</f>
        <v>414.9045204114143</v>
      </c>
      <c r="BJ99" s="62">
        <f t="shared" si="92"/>
        <v>260.29028006191834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-1.1368683772161603E-13</v>
      </c>
      <c r="O100" s="14">
        <f>N100*VLOOKUP('Données projet'!$B$9,Paramètres!$A$1:$I$89,3,0)*VLOOKUP('Données projet'!$B$9,Paramètres!$A$1:$I$89,5,0)</f>
        <v>-5.3205440053716299E-14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189.27804790161417</v>
      </c>
      <c r="T100" s="62">
        <f t="shared" si="88"/>
        <v>212.39018594432073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1.3100201840993217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1.3100201840993217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267.59999999999985</v>
      </c>
      <c r="AJ100" s="14">
        <f>AI100*VLOOKUP('Données projet'!$B$10,Paramètres!$A$1:$I$89,3,0)*VLOOKUP('Données projet'!$B$10,Paramètres!$A$1:$I$89,5,0)</f>
        <v>242.12447999999986</v>
      </c>
      <c r="AK100" s="14">
        <f t="shared" si="89"/>
        <v>58.896387987806008</v>
      </c>
      <c r="AL100" s="22">
        <f t="shared" si="58"/>
        <v>524.27801174542856</v>
      </c>
      <c r="AM100" s="62">
        <f t="shared" si="59"/>
        <v>800.82343802481137</v>
      </c>
      <c r="AN100" s="62">
        <f ca="1">AVERAGE(OFFSET($AM$3,0,0,'Données projet'!$E$10+1,1))-AVERAGE(OFFSET($H$3,0,0,'Données projet'!$E$10+1,1))</f>
        <v>398.11190027805549</v>
      </c>
      <c r="AO100" s="62">
        <f t="shared" si="90"/>
        <v>250.47702091764884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4.8</v>
      </c>
      <c r="BD100" s="13">
        <f>IF('Données projet'!$A$88&gt;35,BD99+BC100-BL99,IF(A100&lt;'Données projet'!$A$88,$BA$205^A100,IF(A100='Données projet'!$A$88,'Données projet'!$B$88,BD99+BC100-BL99)))</f>
        <v>267.59999999999985</v>
      </c>
      <c r="BE100" s="14">
        <f>BD100*VLOOKUP('Données projet'!$B$11,Paramètres!$A$1:$I$89,3,0)*VLOOKUP('Données projet'!$B$11,Paramètres!$A$1:$I$89,5,0)</f>
        <v>254.64815999999985</v>
      </c>
      <c r="BF100" s="14">
        <f t="shared" si="91"/>
        <v>61.580204695956148</v>
      </c>
      <c r="BG100" s="22">
        <f t="shared" si="61"/>
        <v>550.76440184545663</v>
      </c>
      <c r="BH100" s="62">
        <f t="shared" si="62"/>
        <v>827.30982812483944</v>
      </c>
      <c r="BI100" s="62">
        <f ca="1">AVERAGE(OFFSET($BH$3,0,0,'Données projet'!$E$11+1,1))-AVERAGE(OFFSET($H$3,0,0,'Données projet'!$E$11+1,1))</f>
        <v>414.9045204114143</v>
      </c>
      <c r="BJ100" s="62">
        <f t="shared" si="92"/>
        <v>260.29028006191834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-1.1368683772161603E-13</v>
      </c>
      <c r="O101" s="14">
        <f>N101*VLOOKUP('Données projet'!$B$9,Paramètres!$A$1:$I$89,3,0)*VLOOKUP('Données projet'!$B$9,Paramètres!$A$1:$I$89,5,0)</f>
        <v>-5.3205440053716299E-14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189.27804790161417</v>
      </c>
      <c r="T101" s="62">
        <f t="shared" si="88"/>
        <v>212.39018594432073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1.2843314873225484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1.2843314873225484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272.39999999999986</v>
      </c>
      <c r="AJ101" s="14">
        <f>AI101*VLOOKUP('Données projet'!$B$10,Paramètres!$A$1:$I$89,3,0)*VLOOKUP('Données projet'!$B$10,Paramètres!$A$1:$I$89,5,0)</f>
        <v>246.46751999999987</v>
      </c>
      <c r="AK101" s="14">
        <f t="shared" si="89"/>
        <v>59.828888074216977</v>
      </c>
      <c r="AL101" s="22">
        <f t="shared" si="58"/>
        <v>533.46624406259423</v>
      </c>
      <c r="AM101" s="62">
        <f t="shared" si="59"/>
        <v>810.3029029972256</v>
      </c>
      <c r="AN101" s="62">
        <f ca="1">AVERAGE(OFFSET($AM$3,0,0,'Données projet'!$E$10+1,1))-AVERAGE(OFFSET($H$3,0,0,'Données projet'!$E$10+1,1))</f>
        <v>398.11190027805549</v>
      </c>
      <c r="AO101" s="62">
        <f t="shared" si="90"/>
        <v>250.47702091764884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4.8</v>
      </c>
      <c r="BD101" s="13">
        <f>IF('Données projet'!$A$88&gt;35,BD100+BC101-BL100,IF(A101&lt;'Données projet'!$A$88,$BA$205^A101,IF(A101='Données projet'!$A$88,'Données projet'!$B$88,BD100+BC101-BL100)))</f>
        <v>272.39999999999986</v>
      </c>
      <c r="BE101" s="14">
        <f>BD101*VLOOKUP('Données projet'!$B$11,Paramètres!$A$1:$I$89,3,0)*VLOOKUP('Données projet'!$B$11,Paramètres!$A$1:$I$89,5,0)</f>
        <v>259.21583999999984</v>
      </c>
      <c r="BF101" s="14">
        <f t="shared" si="91"/>
        <v>62.555197359548238</v>
      </c>
      <c r="BG101" s="22">
        <f t="shared" si="61"/>
        <v>560.41789006787951</v>
      </c>
      <c r="BH101" s="62">
        <f t="shared" si="62"/>
        <v>837.25454900251088</v>
      </c>
      <c r="BI101" s="62">
        <f ca="1">AVERAGE(OFFSET($BH$3,0,0,'Données projet'!$E$11+1,1))-AVERAGE(OFFSET($H$3,0,0,'Données projet'!$E$11+1,1))</f>
        <v>414.9045204114143</v>
      </c>
      <c r="BJ101" s="62">
        <f t="shared" si="92"/>
        <v>260.29028006191834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-1.1368683772161603E-13</v>
      </c>
      <c r="O102" s="14">
        <f>N102*VLOOKUP('Données projet'!$B$9,Paramètres!$A$1:$I$89,3,0)*VLOOKUP('Données projet'!$B$9,Paramètres!$A$1:$I$89,5,0)</f>
        <v>-5.3205440053716299E-14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189.27804790161417</v>
      </c>
      <c r="T102" s="62">
        <f t="shared" si="88"/>
        <v>212.39018594432073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1.2591465302210096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1.2591465302210096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277.19999999999987</v>
      </c>
      <c r="AJ102" s="14">
        <f>AI102*VLOOKUP('Données projet'!$B$10,Paramètres!$A$1:$I$89,3,0)*VLOOKUP('Données projet'!$B$10,Paramètres!$A$1:$I$89,5,0)</f>
        <v>250.8105599999999</v>
      </c>
      <c r="AK102" s="14">
        <f t="shared" si="89"/>
        <v>60.75947736410869</v>
      </c>
      <c r="AL102" s="22">
        <f t="shared" si="58"/>
        <v>542.65114840915578</v>
      </c>
      <c r="AM102" s="62">
        <f t="shared" si="59"/>
        <v>819.77398776356586</v>
      </c>
      <c r="AN102" s="62">
        <f ca="1">AVERAGE(OFFSET($AM$3,0,0,'Données projet'!$E$10+1,1))-AVERAGE(OFFSET($H$3,0,0,'Données projet'!$E$10+1,1))</f>
        <v>398.11190027805549</v>
      </c>
      <c r="AO102" s="62">
        <f t="shared" si="90"/>
        <v>250.47702091764884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4.8</v>
      </c>
      <c r="BD102" s="13">
        <f>IF('Données projet'!$A$88&gt;35,BD101+BC102-BL101,IF(A102&lt;'Données projet'!$A$88,$BA$205^A102,IF(A102='Données projet'!$A$88,'Données projet'!$B$88,BD101+BC102-BL101)))</f>
        <v>277.19999999999987</v>
      </c>
      <c r="BE102" s="14">
        <f>BD102*VLOOKUP('Données projet'!$B$11,Paramètres!$A$1:$I$89,3,0)*VLOOKUP('Données projet'!$B$11,Paramètres!$A$1:$I$89,5,0)</f>
        <v>263.7835199999999</v>
      </c>
      <c r="BF102" s="14">
        <f t="shared" si="91"/>
        <v>63.5281921545985</v>
      </c>
      <c r="BG102" s="22">
        <f t="shared" si="61"/>
        <v>570.06789866925885</v>
      </c>
      <c r="BH102" s="62">
        <f t="shared" si="62"/>
        <v>847.19073802366893</v>
      </c>
      <c r="BI102" s="62">
        <f ca="1">AVERAGE(OFFSET($BH$3,0,0,'Données projet'!$E$11+1,1))-AVERAGE(OFFSET($H$3,0,0,'Données projet'!$E$11+1,1))</f>
        <v>414.9045204114143</v>
      </c>
      <c r="BJ102" s="62">
        <f t="shared" si="92"/>
        <v>260.29028006191834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-1.1368683772161603E-13</v>
      </c>
      <c r="O103" s="14">
        <f>N103*VLOOKUP('Données projet'!$B$9,Paramètres!$A$1:$I$89,3,0)*VLOOKUP('Données projet'!$B$9,Paramètres!$A$1:$I$89,5,0)</f>
        <v>-5.3205440053716299E-14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189.27804790161417</v>
      </c>
      <c r="T103" s="62">
        <f t="shared" si="88"/>
        <v>212.39018594432073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1.234455434766925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1.234455434766925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281.99999999999989</v>
      </c>
      <c r="AJ103" s="14">
        <f>AI103*VLOOKUP('Données projet'!$B$10,Paramètres!$A$1:$I$89,3,0)*VLOOKUP('Données projet'!$B$10,Paramètres!$A$1:$I$89,5,0)</f>
        <v>255.15359999999987</v>
      </c>
      <c r="AK103" s="14">
        <f t="shared" si="89"/>
        <v>61.688192762754376</v>
      </c>
      <c r="AL103" s="22">
        <f t="shared" si="58"/>
        <v>551.83278906179692</v>
      </c>
      <c r="AM103" s="62">
        <f t="shared" si="59"/>
        <v>829.23684424550606</v>
      </c>
      <c r="AN103" s="62">
        <f ca="1">AVERAGE(OFFSET($AM$3,0,0,'Données projet'!$E$10+1,1))-AVERAGE(OFFSET($H$3,0,0,'Données projet'!$E$10+1,1))</f>
        <v>398.11190027805549</v>
      </c>
      <c r="AO103" s="62">
        <f t="shared" si="90"/>
        <v>250.47702091764884</v>
      </c>
      <c r="AP103" s="16">
        <f>IF(ISNA(VLOOKUP(A103,'Données projet'!$A$61:$I$81,3,0)),0,VLOOKUP(A103,'Données projet'!$A$61:$I$81,3,0))</f>
        <v>17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282</v>
      </c>
      <c r="BB103" s="13">
        <f>VLOOKUP(A103,'Données projet'!$A$87:$I$107,9,0)</f>
        <v>4.8</v>
      </c>
      <c r="BC103" s="13">
        <f t="array" ref="BC103">INDEX(BB:BB,MIN(IF(ISNUMBER(BB103:BB299),ROW(BB103:BB299),"")))</f>
        <v>4.8</v>
      </c>
      <c r="BD103" s="13">
        <f>IF('Données projet'!$A$88&gt;35,BD102+BC103-BL102,IF(A103&lt;'Données projet'!$A$88,$BA$205^A103,IF(A103='Données projet'!$A$88,'Données projet'!$B$88,BD102+BC103-BL102)))</f>
        <v>281.99999999999989</v>
      </c>
      <c r="BE103" s="14">
        <f>BD103*VLOOKUP('Données projet'!$B$11,Paramètres!$A$1:$I$89,3,0)*VLOOKUP('Données projet'!$B$11,Paramètres!$A$1:$I$89,5,0)</f>
        <v>268.35119999999989</v>
      </c>
      <c r="BF103" s="14">
        <f t="shared" si="91"/>
        <v>64.499227668096069</v>
      </c>
      <c r="BG103" s="22">
        <f t="shared" si="61"/>
        <v>579.71449485526716</v>
      </c>
      <c r="BH103" s="62">
        <f t="shared" si="62"/>
        <v>857.11855003897631</v>
      </c>
      <c r="BI103" s="62">
        <f ca="1">AVERAGE(OFFSET($BH$3,0,0,'Données projet'!$E$11+1,1))-AVERAGE(OFFSET($H$3,0,0,'Données projet'!$E$11+1,1))</f>
        <v>414.9045204114143</v>
      </c>
      <c r="BJ103" s="62">
        <f t="shared" si="92"/>
        <v>260.29028006191834</v>
      </c>
      <c r="BK103" s="16">
        <f>IF(ISNA(VLOOKUP(A103,'Données projet'!$A$87:$I$107,3,0)),0,VLOOKUP(A103,'Données projet'!$A$87:$I$107,3,0))</f>
        <v>17</v>
      </c>
      <c r="BL103" s="16">
        <f>IF(ISNA(VLOOKUP(A103,'Données projet'!$A$87:$I$107,4,0)),0,VLOOKUP(A103,'Données projet'!$A$87:$I$107,4,0))</f>
        <v>21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-1.1368683772161603E-13</v>
      </c>
      <c r="O104" s="14">
        <f>N104*VLOOKUP('Données projet'!$B$9,Paramètres!$A$1:$I$89,3,0)*VLOOKUP('Données projet'!$B$9,Paramètres!$A$1:$I$89,5,0)</f>
        <v>-5.3205440053716299E-14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189.27804790161417</v>
      </c>
      <c r="T104" s="62">
        <f t="shared" si="88"/>
        <v>212.39018594432073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1.2102485166346137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1.2102485166346137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4.5999999999999996</v>
      </c>
      <c r="AI104" s="14">
        <f>IF('Données projet'!$A$62&gt;35,AI103+AH104-AQ103,IF(A104&lt;'Données projet'!$A$62,$AF$205^A104,IF(A104='Données projet'!$A$62,'Données projet'!$B$62,AI103+AH104-AQ103)))</f>
        <v>265.59999999999991</v>
      </c>
      <c r="AJ104" s="14">
        <f>AI104*VLOOKUP('Données projet'!$B$10,Paramètres!$A$1:$I$89,3,0)*VLOOKUP('Données projet'!$B$10,Paramètres!$A$1:$I$89,5,0)</f>
        <v>240.31487999999993</v>
      </c>
      <c r="AK104" s="14">
        <f t="shared" si="89"/>
        <v>58.50727327751612</v>
      </c>
      <c r="AL104" s="22">
        <f t="shared" si="58"/>
        <v>520.44858362500713</v>
      </c>
      <c r="AM104" s="62">
        <f t="shared" si="59"/>
        <v>798.12897617208159</v>
      </c>
      <c r="AN104" s="62">
        <f ca="1">AVERAGE(OFFSET($AM$3,0,0,'Données projet'!$E$10+1,1))-AVERAGE(OFFSET($H$3,0,0,'Données projet'!$E$10+1,1))</f>
        <v>398.11190027805549</v>
      </c>
      <c r="AO104" s="62">
        <f t="shared" si="90"/>
        <v>250.47702091764884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4.5999999999999996</v>
      </c>
      <c r="BD104" s="13">
        <f>IF('Données projet'!$A$88&gt;35,BD103+BC104-BL103,IF(A104&lt;'Données projet'!$A$88,$BA$205^A104,IF(A104='Données projet'!$A$88,'Données projet'!$B$88,BD103+BC104-BL103)))</f>
        <v>265.59999999999991</v>
      </c>
      <c r="BE104" s="14">
        <f>BD104*VLOOKUP('Données projet'!$B$11,Paramètres!$A$1:$I$89,3,0)*VLOOKUP('Données projet'!$B$11,Paramètres!$A$1:$I$89,5,0)</f>
        <v>252.74495999999991</v>
      </c>
      <c r="BF104" s="14">
        <f t="shared" si="91"/>
        <v>61.173358634109022</v>
      </c>
      <c r="BG104" s="22">
        <f t="shared" si="61"/>
        <v>546.74107162107293</v>
      </c>
      <c r="BH104" s="62">
        <f t="shared" si="62"/>
        <v>824.42146416814739</v>
      </c>
      <c r="BI104" s="62">
        <f ca="1">AVERAGE(OFFSET($BH$3,0,0,'Données projet'!$E$11+1,1))-AVERAGE(OFFSET($H$3,0,0,'Données projet'!$E$11+1,1))</f>
        <v>414.9045204114143</v>
      </c>
      <c r="BJ104" s="62">
        <f t="shared" si="92"/>
        <v>260.29028006191834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-1.1368683772161603E-13</v>
      </c>
      <c r="O105" s="14">
        <f>N105*VLOOKUP('Données projet'!$B$9,Paramètres!$A$1:$I$89,3,0)*VLOOKUP('Données projet'!$B$9,Paramètres!$A$1:$I$89,5,0)</f>
        <v>-5.3205440053716299E-14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189.27804790161417</v>
      </c>
      <c r="T105" s="62">
        <f t="shared" si="88"/>
        <v>212.39018594432073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1.1865162814021151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1.1865162814021151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4.5999999999999996</v>
      </c>
      <c r="AI105" s="14">
        <f>IF('Données projet'!$A$62&gt;35,AI104+AH105-AQ104,IF(A105&lt;'Données projet'!$A$62,$AF$205^A105,IF(A105='Données projet'!$A$62,'Données projet'!$B$62,AI104+AH105-AQ104)))</f>
        <v>270.19999999999993</v>
      </c>
      <c r="AJ105" s="14">
        <f>AI105*VLOOKUP('Données projet'!$B$10,Paramètres!$A$1:$I$89,3,0)*VLOOKUP('Données projet'!$B$10,Paramètres!$A$1:$I$89,5,0)</f>
        <v>244.47695999999993</v>
      </c>
      <c r="AK105" s="14">
        <f t="shared" si="89"/>
        <v>59.401731670234192</v>
      </c>
      <c r="AL105" s="22">
        <f t="shared" si="58"/>
        <v>529.25538799232447</v>
      </c>
      <c r="AM105" s="62">
        <f t="shared" si="59"/>
        <v>807.20732406730735</v>
      </c>
      <c r="AN105" s="62">
        <f ca="1">AVERAGE(OFFSET($AM$3,0,0,'Données projet'!$E$10+1,1))-AVERAGE(OFFSET($H$3,0,0,'Données projet'!$E$10+1,1))</f>
        <v>398.11190027805549</v>
      </c>
      <c r="AO105" s="62">
        <f t="shared" si="90"/>
        <v>250.47702091764884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4.5999999999999996</v>
      </c>
      <c r="BD105" s="13">
        <f>IF('Données projet'!$A$88&gt;35,BD104+BC105-BL104,IF(A105&lt;'Données projet'!$A$88,$BA$205^A105,IF(A105='Données projet'!$A$88,'Données projet'!$B$88,BD104+BC105-BL104)))</f>
        <v>270.19999999999993</v>
      </c>
      <c r="BE105" s="14">
        <f>BD105*VLOOKUP('Données projet'!$B$11,Paramètres!$A$1:$I$89,3,0)*VLOOKUP('Données projet'!$B$11,Paramètres!$A$1:$I$89,5,0)</f>
        <v>257.12231999999995</v>
      </c>
      <c r="BF105" s="14">
        <f t="shared" si="91"/>
        <v>62.108576103251544</v>
      </c>
      <c r="BG105" s="22">
        <f t="shared" si="61"/>
        <v>555.99381071316304</v>
      </c>
      <c r="BH105" s="62">
        <f t="shared" si="62"/>
        <v>833.94574678814593</v>
      </c>
      <c r="BI105" s="62">
        <f ca="1">AVERAGE(OFFSET($BH$3,0,0,'Données projet'!$E$11+1,1))-AVERAGE(OFFSET($H$3,0,0,'Données projet'!$E$11+1,1))</f>
        <v>414.9045204114143</v>
      </c>
      <c r="BJ105" s="62">
        <f t="shared" si="92"/>
        <v>260.29028006191834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-1.1368683772161603E-13</v>
      </c>
      <c r="O106" s="14">
        <f>N106*VLOOKUP('Données projet'!$B$9,Paramètres!$A$1:$I$89,3,0)*VLOOKUP('Données projet'!$B$9,Paramètres!$A$1:$I$89,5,0)</f>
        <v>-5.3205440053716299E-14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189.27804790161417</v>
      </c>
      <c r="T106" s="62">
        <f t="shared" si="88"/>
        <v>212.39018594432073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1.1632494208272914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1.1632494208272914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4.5999999999999996</v>
      </c>
      <c r="AI106" s="14">
        <f>IF('Données projet'!$A$62&gt;35,AI105+AH106-AQ105,IF(A106&lt;'Données projet'!$A$62,$AF$205^A106,IF(A106='Données projet'!$A$62,'Données projet'!$B$62,AI105+AH106-AQ105)))</f>
        <v>274.79999999999995</v>
      </c>
      <c r="AJ106" s="14">
        <f>AI106*VLOOKUP('Données projet'!$B$10,Paramètres!$A$1:$I$89,3,0)*VLOOKUP('Données projet'!$B$10,Paramètres!$A$1:$I$89,5,0)</f>
        <v>248.63903999999994</v>
      </c>
      <c r="AK106" s="14">
        <f t="shared" si="89"/>
        <v>60.294419230169922</v>
      </c>
      <c r="AL106" s="22">
        <f t="shared" si="58"/>
        <v>538.05910815921254</v>
      </c>
      <c r="AM106" s="62">
        <f t="shared" si="59"/>
        <v>816.27787708897517</v>
      </c>
      <c r="AN106" s="62">
        <f ca="1">AVERAGE(OFFSET($AM$3,0,0,'Données projet'!$E$10+1,1))-AVERAGE(OFFSET($H$3,0,0,'Données projet'!$E$10+1,1))</f>
        <v>398.11190027805549</v>
      </c>
      <c r="AO106" s="62">
        <f t="shared" si="90"/>
        <v>250.47702091764884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4.5999999999999996</v>
      </c>
      <c r="BD106" s="13">
        <f>IF('Données projet'!$A$88&gt;35,BD105+BC106-BL105,IF(A106&lt;'Données projet'!$A$88,$BA$205^A106,IF(A106='Données projet'!$A$88,'Données projet'!$B$88,BD105+BC106-BL105)))</f>
        <v>274.79999999999995</v>
      </c>
      <c r="BE106" s="14">
        <f>BD106*VLOOKUP('Données projet'!$B$11,Paramètres!$A$1:$I$89,3,0)*VLOOKUP('Données projet'!$B$11,Paramètres!$A$1:$I$89,5,0)</f>
        <v>261.49967999999996</v>
      </c>
      <c r="BF106" s="14">
        <f t="shared" si="91"/>
        <v>63.041942045518894</v>
      </c>
      <c r="BG106" s="22">
        <f t="shared" si="61"/>
        <v>565.24332506261192</v>
      </c>
      <c r="BH106" s="62">
        <f t="shared" si="62"/>
        <v>843.46209399237455</v>
      </c>
      <c r="BI106" s="62">
        <f ca="1">AVERAGE(OFFSET($BH$3,0,0,'Données projet'!$E$11+1,1))-AVERAGE(OFFSET($H$3,0,0,'Données projet'!$E$11+1,1))</f>
        <v>414.9045204114143</v>
      </c>
      <c r="BJ106" s="62">
        <f t="shared" si="92"/>
        <v>260.29028006191834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-1.1368683772161603E-13</v>
      </c>
      <c r="O107" s="14">
        <f>N107*VLOOKUP('Données projet'!$B$9,Paramètres!$A$1:$I$89,3,0)*VLOOKUP('Données projet'!$B$9,Paramètres!$A$1:$I$89,5,0)</f>
        <v>-5.3205440053716299E-14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189.27804790161417</v>
      </c>
      <c r="T107" s="62">
        <f t="shared" si="88"/>
        <v>212.39018594432073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1.1404388091969564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1.1404388091969564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4.5999999999999996</v>
      </c>
      <c r="AI107" s="14">
        <f>IF('Données projet'!$A$62&gt;35,AI106+AH107-AQ106,IF(A107&lt;'Données projet'!$A$62,$AF$205^A107,IF(A107='Données projet'!$A$62,'Données projet'!$B$62,AI106+AH107-AQ106)))</f>
        <v>279.39999999999998</v>
      </c>
      <c r="AJ107" s="14">
        <f>AI107*VLOOKUP('Données projet'!$B$10,Paramètres!$A$1:$I$89,3,0)*VLOOKUP('Données projet'!$B$10,Paramètres!$A$1:$I$89,5,0)</f>
        <v>252.80111999999994</v>
      </c>
      <c r="AK107" s="14">
        <f t="shared" si="89"/>
        <v>61.185369021394209</v>
      </c>
      <c r="AL107" s="22">
        <f t="shared" si="58"/>
        <v>546.8598017122614</v>
      </c>
      <c r="AM107" s="62">
        <f t="shared" si="59"/>
        <v>825.34077454332237</v>
      </c>
      <c r="AN107" s="62">
        <f ca="1">AVERAGE(OFFSET($AM$3,0,0,'Données projet'!$E$10+1,1))-AVERAGE(OFFSET($H$3,0,0,'Données projet'!$E$10+1,1))</f>
        <v>398.11190027805549</v>
      </c>
      <c r="AO107" s="62">
        <f t="shared" si="90"/>
        <v>250.47702091764884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4.5999999999999996</v>
      </c>
      <c r="BD107" s="13">
        <f>IF('Données projet'!$A$88&gt;35,BD106+BC107-BL106,IF(A107&lt;'Données projet'!$A$88,$BA$205^A107,IF(A107='Données projet'!$A$88,'Données projet'!$B$88,BD106+BC107-BL106)))</f>
        <v>279.39999999999998</v>
      </c>
      <c r="BE107" s="14">
        <f>BD107*VLOOKUP('Données projet'!$B$11,Paramètres!$A$1:$I$89,3,0)*VLOOKUP('Données projet'!$B$11,Paramètres!$A$1:$I$89,5,0)</f>
        <v>265.87703999999997</v>
      </c>
      <c r="BF107" s="14">
        <f t="shared" si="91"/>
        <v>63.973491031659954</v>
      </c>
      <c r="BG107" s="22">
        <f t="shared" si="61"/>
        <v>574.48967488014102</v>
      </c>
      <c r="BH107" s="62">
        <f t="shared" si="62"/>
        <v>852.97064771120199</v>
      </c>
      <c r="BI107" s="62">
        <f ca="1">AVERAGE(OFFSET($BH$3,0,0,'Données projet'!$E$11+1,1))-AVERAGE(OFFSET($H$3,0,0,'Données projet'!$E$11+1,1))</f>
        <v>414.9045204114143</v>
      </c>
      <c r="BJ107" s="62">
        <f t="shared" si="92"/>
        <v>260.29028006191834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-1.1368683772161603E-13</v>
      </c>
      <c r="O108" s="14">
        <f>N108*VLOOKUP('Données projet'!$B$9,Paramètres!$A$1:$I$89,3,0)*VLOOKUP('Données projet'!$B$9,Paramètres!$A$1:$I$89,5,0)</f>
        <v>-5.3205440053716299E-14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189.27804790161417</v>
      </c>
      <c r="T108" s="62">
        <f t="shared" si="88"/>
        <v>212.39018594432073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1.118075499747593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1.118075499747593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284</v>
      </c>
      <c r="AG108" s="13">
        <f>VLOOKUP(A108,'Données projet'!$A$61:$I$81,9,0)</f>
        <v>4.5999999999999996</v>
      </c>
      <c r="AH108" s="13">
        <f t="array" ref="AH108">INDEX(AG:AG,MIN(IF(ISNUMBER(AG108:AG304),ROW(AG108:AG304),"")))</f>
        <v>4.5999999999999996</v>
      </c>
      <c r="AI108" s="14">
        <f>IF('Données projet'!$A$62&gt;35,AI107+AH108-AQ107,IF(A108&lt;'Données projet'!$A$62,$AF$205^A108,IF(A108='Données projet'!$A$62,'Données projet'!$B$62,AI107+AH108-AQ107)))</f>
        <v>284</v>
      </c>
      <c r="AJ108" s="14">
        <f>AI108*VLOOKUP('Données projet'!$B$10,Paramètres!$A$1:$I$89,3,0)*VLOOKUP('Données projet'!$B$10,Paramètres!$A$1:$I$89,5,0)</f>
        <v>256.96320000000003</v>
      </c>
      <c r="AK108" s="14">
        <f t="shared" si="89"/>
        <v>62.074612956838024</v>
      </c>
      <c r="AL108" s="22">
        <f t="shared" si="58"/>
        <v>555.65752423315951</v>
      </c>
      <c r="AM108" s="62">
        <f t="shared" si="59"/>
        <v>834.39615231403127</v>
      </c>
      <c r="AN108" s="62">
        <f ca="1">AVERAGE(OFFSET($AM$3,0,0,'Données projet'!$E$10+1,1))-AVERAGE(OFFSET($H$3,0,0,'Données projet'!$E$10+1,1))</f>
        <v>398.11190027805549</v>
      </c>
      <c r="AO108" s="62">
        <f t="shared" si="90"/>
        <v>250.47702091764884</v>
      </c>
      <c r="AP108" s="16">
        <f>IF(ISNA(VLOOKUP(A108,'Données projet'!$A$61:$I$81,3,0)),0,VLOOKUP(A108,'Données projet'!$A$61:$I$81,3,0))</f>
        <v>18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284</v>
      </c>
      <c r="BB108" s="13">
        <f>VLOOKUP(A108,'Données projet'!$A$87:$I$107,9,0)</f>
        <v>4.5999999999999996</v>
      </c>
      <c r="BC108" s="13">
        <f t="array" ref="BC108">INDEX(BB:BB,MIN(IF(ISNUMBER(BB108:BB304),ROW(BB108:BB304),"")))</f>
        <v>4.5999999999999996</v>
      </c>
      <c r="BD108" s="13">
        <f>IF('Données projet'!$A$88&gt;35,BD107+BC108-BL107,IF(A108&lt;'Données projet'!$A$88,$BA$205^A108,IF(A108='Données projet'!$A$88,'Données projet'!$B$88,BD107+BC108-BL107)))</f>
        <v>284</v>
      </c>
      <c r="BE108" s="14">
        <f>BD108*VLOOKUP('Données projet'!$B$11,Paramètres!$A$1:$I$89,3,0)*VLOOKUP('Données projet'!$B$11,Paramètres!$A$1:$I$89,5,0)</f>
        <v>270.25440000000003</v>
      </c>
      <c r="BF108" s="14">
        <f t="shared" si="91"/>
        <v>64.903256428828314</v>
      </c>
      <c r="BG108" s="22">
        <f t="shared" si="61"/>
        <v>583.73291828020922</v>
      </c>
      <c r="BH108" s="62">
        <f t="shared" si="62"/>
        <v>862.47154636108098</v>
      </c>
      <c r="BI108" s="62">
        <f ca="1">AVERAGE(OFFSET($BH$3,0,0,'Données projet'!$E$11+1,1))-AVERAGE(OFFSET($H$3,0,0,'Données projet'!$E$11+1,1))</f>
        <v>414.9045204114143</v>
      </c>
      <c r="BJ108" s="62">
        <f t="shared" si="92"/>
        <v>260.29028006191834</v>
      </c>
      <c r="BK108" s="16">
        <f>IF(ISNA(VLOOKUP(A108,'Données projet'!$A$87:$I$107,3,0)),0,VLOOKUP(A108,'Données projet'!$A$87:$I$107,3,0))</f>
        <v>18</v>
      </c>
      <c r="BL108" s="16">
        <f>IF(ISNA(VLOOKUP(A108,'Données projet'!$A$87:$I$107,4,0)),0,VLOOKUP(A108,'Données projet'!$A$87:$I$107,4,0))</f>
        <v>20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-1.1368683772161603E-13</v>
      </c>
      <c r="O109" s="14">
        <f>N109*VLOOKUP('Données projet'!$B$9,Paramètres!$A$1:$I$89,3,0)*VLOOKUP('Données projet'!$B$9,Paramètres!$A$1:$I$89,5,0)</f>
        <v>-5.3205440053716299E-14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189.27804790161417</v>
      </c>
      <c r="T109" s="62">
        <f t="shared" si="88"/>
        <v>212.39018594432073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1.0961507211562598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1.0961507211562598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268.2</v>
      </c>
      <c r="AJ109" s="14">
        <f>AI109*VLOOKUP('Données projet'!$B$10,Paramètres!$A$1:$I$89,3,0)*VLOOKUP('Données projet'!$B$10,Paramètres!$A$1:$I$89,5,0)</f>
        <v>242.66735999999997</v>
      </c>
      <c r="AK109" s="14">
        <f t="shared" si="89"/>
        <v>59.013056290731797</v>
      </c>
      <c r="AL109" s="22">
        <f t="shared" si="58"/>
        <v>525.42672503969118</v>
      </c>
      <c r="AM109" s="62">
        <f t="shared" si="59"/>
        <v>804.41853862782023</v>
      </c>
      <c r="AN109" s="62">
        <f ca="1">AVERAGE(OFFSET($AM$3,0,0,'Données projet'!$E$10+1,1))-AVERAGE(OFFSET($H$3,0,0,'Données projet'!$E$10+1,1))</f>
        <v>398.11190027805549</v>
      </c>
      <c r="AO109" s="62">
        <f t="shared" si="90"/>
        <v>250.47702091764884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4.2</v>
      </c>
      <c r="BD109" s="13">
        <f>IF('Données projet'!$A$88&gt;35,BD108+BC109-BL108,IF(A109&lt;'Données projet'!$A$88,$BA$205^A109,IF(A109='Données projet'!$A$88,'Données projet'!$B$88,BD108+BC109-BL108)))</f>
        <v>268.2</v>
      </c>
      <c r="BE109" s="14">
        <f>BD109*VLOOKUP('Données projet'!$B$11,Paramètres!$A$1:$I$89,3,0)*VLOOKUP('Données projet'!$B$11,Paramètres!$A$1:$I$89,5,0)</f>
        <v>255.21911999999998</v>
      </c>
      <c r="BF109" s="14">
        <f t="shared" si="91"/>
        <v>61.702189391811984</v>
      </c>
      <c r="BG109" s="22">
        <f t="shared" si="61"/>
        <v>551.97128052407254</v>
      </c>
      <c r="BH109" s="62">
        <f t="shared" si="62"/>
        <v>830.96309411220159</v>
      </c>
      <c r="BI109" s="62">
        <f ca="1">AVERAGE(OFFSET($BH$3,0,0,'Données projet'!$E$11+1,1))-AVERAGE(OFFSET($H$3,0,0,'Données projet'!$E$11+1,1))</f>
        <v>414.9045204114143</v>
      </c>
      <c r="BJ109" s="62">
        <f t="shared" si="92"/>
        <v>260.29028006191834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-1.1368683772161603E-13</v>
      </c>
      <c r="O110" s="14">
        <f>N110*VLOOKUP('Données projet'!$B$9,Paramètres!$A$1:$I$89,3,0)*VLOOKUP('Données projet'!$B$9,Paramètres!$A$1:$I$89,5,0)</f>
        <v>-5.3205440053716299E-14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189.27804790161417</v>
      </c>
      <c r="T110" s="62">
        <f t="shared" si="88"/>
        <v>212.39018594432073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1.0746558741003081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1.0746558741003081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272.39999999999998</v>
      </c>
      <c r="AJ110" s="14">
        <f>AI110*VLOOKUP('Données projet'!$B$10,Paramètres!$A$1:$I$89,3,0)*VLOOKUP('Données projet'!$B$10,Paramètres!$A$1:$I$89,5,0)</f>
        <v>246.46751999999995</v>
      </c>
      <c r="AK110" s="14">
        <f t="shared" si="89"/>
        <v>59.828888074216977</v>
      </c>
      <c r="AL110" s="22">
        <f t="shared" si="58"/>
        <v>533.46624406259446</v>
      </c>
      <c r="AM110" s="62">
        <f t="shared" si="59"/>
        <v>812.7068509554681</v>
      </c>
      <c r="AN110" s="62">
        <f ca="1">AVERAGE(OFFSET($AM$3,0,0,'Données projet'!$E$10+1,1))-AVERAGE(OFFSET($H$3,0,0,'Données projet'!$E$10+1,1))</f>
        <v>398.11190027805549</v>
      </c>
      <c r="AO110" s="62">
        <f t="shared" si="90"/>
        <v>250.47702091764884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4.2</v>
      </c>
      <c r="BD110" s="13">
        <f>IF('Données projet'!$A$88&gt;35,BD109+BC110-BL109,IF(A110&lt;'Données projet'!$A$88,$BA$205^A110,IF(A110='Données projet'!$A$88,'Données projet'!$B$88,BD109+BC110-BL109)))</f>
        <v>272.39999999999998</v>
      </c>
      <c r="BE110" s="14">
        <f>BD110*VLOOKUP('Données projet'!$B$11,Paramètres!$A$1:$I$89,3,0)*VLOOKUP('Données projet'!$B$11,Paramètres!$A$1:$I$89,5,0)</f>
        <v>259.21584000000001</v>
      </c>
      <c r="BF110" s="14">
        <f t="shared" si="91"/>
        <v>62.555197359548238</v>
      </c>
      <c r="BG110" s="22">
        <f t="shared" si="61"/>
        <v>560.41789006787985</v>
      </c>
      <c r="BH110" s="62">
        <f t="shared" si="62"/>
        <v>839.6584969607535</v>
      </c>
      <c r="BI110" s="62">
        <f ca="1">AVERAGE(OFFSET($BH$3,0,0,'Données projet'!$E$11+1,1))-AVERAGE(OFFSET($H$3,0,0,'Données projet'!$E$11+1,1))</f>
        <v>414.9045204114143</v>
      </c>
      <c r="BJ110" s="62">
        <f t="shared" si="92"/>
        <v>260.29028006191834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-1.1368683772161603E-13</v>
      </c>
      <c r="O111" s="14">
        <f>N111*VLOOKUP('Données projet'!$B$9,Paramètres!$A$1:$I$89,3,0)*VLOOKUP('Données projet'!$B$9,Paramètres!$A$1:$I$89,5,0)</f>
        <v>-5.3205440053716299E-14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189.27804790161417</v>
      </c>
      <c r="T111" s="62">
        <f t="shared" si="88"/>
        <v>212.39018594432073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1.0535825278845614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1.0535825278845614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276.59999999999997</v>
      </c>
      <c r="AJ111" s="14">
        <f>AI111*VLOOKUP('Données projet'!$B$10,Paramètres!$A$1:$I$89,3,0)*VLOOKUP('Données projet'!$B$10,Paramètres!$A$1:$I$89,5,0)</f>
        <v>250.26767999999996</v>
      </c>
      <c r="AK111" s="14">
        <f t="shared" si="89"/>
        <v>60.643256925083442</v>
      </c>
      <c r="AL111" s="22">
        <f t="shared" si="58"/>
        <v>541.50321514452014</v>
      </c>
      <c r="AM111" s="62">
        <f t="shared" si="59"/>
        <v>820.98829933451952</v>
      </c>
      <c r="AN111" s="62">
        <f ca="1">AVERAGE(OFFSET($AM$3,0,0,'Données projet'!$E$10+1,1))-AVERAGE(OFFSET($H$3,0,0,'Données projet'!$E$10+1,1))</f>
        <v>398.11190027805549</v>
      </c>
      <c r="AO111" s="62">
        <f t="shared" si="90"/>
        <v>250.47702091764884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4.2</v>
      </c>
      <c r="BD111" s="13">
        <f>IF('Données projet'!$A$88&gt;35,BD110+BC111-BL110,IF(A111&lt;'Données projet'!$A$88,$BA$205^A111,IF(A111='Données projet'!$A$88,'Données projet'!$B$88,BD110+BC111-BL110)))</f>
        <v>276.59999999999997</v>
      </c>
      <c r="BE111" s="14">
        <f>BD111*VLOOKUP('Données projet'!$B$11,Paramètres!$A$1:$I$89,3,0)*VLOOKUP('Données projet'!$B$11,Paramètres!$A$1:$I$89,5,0)</f>
        <v>263.21255999999994</v>
      </c>
      <c r="BF111" s="14">
        <f t="shared" si="91"/>
        <v>63.406675731103839</v>
      </c>
      <c r="BG111" s="22">
        <f t="shared" si="61"/>
        <v>568.86183556500578</v>
      </c>
      <c r="BH111" s="62">
        <f t="shared" si="62"/>
        <v>848.34691975500505</v>
      </c>
      <c r="BI111" s="62">
        <f ca="1">AVERAGE(OFFSET($BH$3,0,0,'Données projet'!$E$11+1,1))-AVERAGE(OFFSET($H$3,0,0,'Données projet'!$E$11+1,1))</f>
        <v>414.9045204114143</v>
      </c>
      <c r="BJ111" s="62">
        <f t="shared" si="92"/>
        <v>260.29028006191834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-1.1368683772161603E-13</v>
      </c>
      <c r="O112" s="14">
        <f>N112*VLOOKUP('Données projet'!$B$9,Paramètres!$A$1:$I$89,3,0)*VLOOKUP('Données projet'!$B$9,Paramètres!$A$1:$I$89,5,0)</f>
        <v>-5.3205440053716299E-14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189.27804790161417</v>
      </c>
      <c r="T112" s="62">
        <f t="shared" si="88"/>
        <v>212.39018594432073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1.0329224171346336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1.0329224171346336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280.79999999999995</v>
      </c>
      <c r="AJ112" s="14">
        <f>AI112*VLOOKUP('Données projet'!$B$10,Paramètres!$A$1:$I$89,3,0)*VLOOKUP('Données projet'!$B$10,Paramètres!$A$1:$I$89,5,0)</f>
        <v>254.06783999999996</v>
      </c>
      <c r="AK112" s="14">
        <f t="shared" si="89"/>
        <v>61.456187622750718</v>
      </c>
      <c r="AL112" s="22">
        <f t="shared" si="58"/>
        <v>549.53768144295748</v>
      </c>
      <c r="AM112" s="62">
        <f t="shared" si="59"/>
        <v>829.26300179554676</v>
      </c>
      <c r="AN112" s="62">
        <f ca="1">AVERAGE(OFFSET($AM$3,0,0,'Données projet'!$E$10+1,1))-AVERAGE(OFFSET($H$3,0,0,'Données projet'!$E$10+1,1))</f>
        <v>398.11190027805549</v>
      </c>
      <c r="AO112" s="62">
        <f t="shared" si="90"/>
        <v>250.47702091764884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4.2</v>
      </c>
      <c r="BD112" s="13">
        <f>IF('Données projet'!$A$88&gt;35,BD111+BC112-BL111,IF(A112&lt;'Données projet'!$A$88,$BA$205^A112,IF(A112='Données projet'!$A$88,'Données projet'!$B$88,BD111+BC112-BL111)))</f>
        <v>280.79999999999995</v>
      </c>
      <c r="BE112" s="14">
        <f>BD112*VLOOKUP('Données projet'!$B$11,Paramètres!$A$1:$I$89,3,0)*VLOOKUP('Données projet'!$B$11,Paramètres!$A$1:$I$89,5,0)</f>
        <v>267.20927999999998</v>
      </c>
      <c r="BF112" s="14">
        <f t="shared" si="91"/>
        <v>64.256650415058076</v>
      </c>
      <c r="BG112" s="22">
        <f t="shared" si="61"/>
        <v>577.30316213955939</v>
      </c>
      <c r="BH112" s="62">
        <f t="shared" si="62"/>
        <v>857.02848249214867</v>
      </c>
      <c r="BI112" s="62">
        <f ca="1">AVERAGE(OFFSET($BH$3,0,0,'Données projet'!$E$11+1,1))-AVERAGE(OFFSET($H$3,0,0,'Données projet'!$E$11+1,1))</f>
        <v>414.9045204114143</v>
      </c>
      <c r="BJ112" s="62">
        <f t="shared" si="92"/>
        <v>260.29028006191834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-1.1368683772161603E-13</v>
      </c>
      <c r="O113" s="14">
        <f>N113*VLOOKUP('Données projet'!$B$9,Paramètres!$A$1:$I$89,3,0)*VLOOKUP('Données projet'!$B$9,Paramètres!$A$1:$I$89,5,0)</f>
        <v>-5.3205440053716299E-14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189.27804790161417</v>
      </c>
      <c r="T113" s="62">
        <f t="shared" si="88"/>
        <v>212.39018594432073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1.0126674385550885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1.0126674385550885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285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284.99999999999994</v>
      </c>
      <c r="AJ113" s="14">
        <f>AI113*VLOOKUP('Données projet'!$B$10,Paramètres!$A$1:$I$89,3,0)*VLOOKUP('Données projet'!$B$10,Paramètres!$A$1:$I$89,5,0)</f>
        <v>257.86799999999994</v>
      </c>
      <c r="AK113" s="14">
        <f t="shared" si="89"/>
        <v>62.267704162827528</v>
      </c>
      <c r="AL113" s="22">
        <f t="shared" si="58"/>
        <v>557.56968475025781</v>
      </c>
      <c r="AM113" s="62">
        <f t="shared" si="59"/>
        <v>837.53107370510361</v>
      </c>
      <c r="AN113" s="62">
        <f ca="1">AVERAGE(OFFSET($AM$3,0,0,'Données projet'!$E$10+1,1))-AVERAGE(OFFSET($H$3,0,0,'Données projet'!$E$10+1,1))</f>
        <v>398.11190027805549</v>
      </c>
      <c r="AO113" s="62">
        <f t="shared" si="90"/>
        <v>250.47702091764884</v>
      </c>
      <c r="AP113" s="16">
        <f>IF(ISNA(VLOOKUP(A113,'Données projet'!$A$61:$I$81,3,0)),0,VLOOKUP(A113,'Données projet'!$A$61:$I$81,3,0))</f>
        <v>19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285</v>
      </c>
      <c r="BB113" s="13">
        <f>VLOOKUP(A113,'Données projet'!$A$87:$I$107,9,0)</f>
        <v>4.2</v>
      </c>
      <c r="BC113" s="13">
        <f t="array" ref="BC113">INDEX(BB:BB,MIN(IF(ISNUMBER(BB113:BB309),ROW(BB113:BB309),"")))</f>
        <v>4.2</v>
      </c>
      <c r="BD113" s="13">
        <f>IF('Données projet'!$A$88&gt;35,BD112+BC113-BL112,IF(A113&lt;'Données projet'!$A$88,$BA$205^A113,IF(A113='Données projet'!$A$88,'Données projet'!$B$88,BD112+BC113-BL112)))</f>
        <v>284.99999999999994</v>
      </c>
      <c r="BE113" s="14">
        <f>BD113*VLOOKUP('Données projet'!$B$11,Paramètres!$A$1:$I$89,3,0)*VLOOKUP('Données projet'!$B$11,Paramètres!$A$1:$I$89,5,0)</f>
        <v>271.20599999999996</v>
      </c>
      <c r="BF113" s="14">
        <f t="shared" si="91"/>
        <v>65.105146500461984</v>
      </c>
      <c r="BG113" s="22">
        <f t="shared" si="61"/>
        <v>585.74191348830459</v>
      </c>
      <c r="BH113" s="62">
        <f t="shared" si="62"/>
        <v>865.70330244315051</v>
      </c>
      <c r="BI113" s="62">
        <f ca="1">AVERAGE(OFFSET($BH$3,0,0,'Données projet'!$E$11+1,1))-AVERAGE(OFFSET($H$3,0,0,'Données projet'!$E$11+1,1))</f>
        <v>414.9045204114143</v>
      </c>
      <c r="BJ113" s="62">
        <f t="shared" si="92"/>
        <v>260.29028006191834</v>
      </c>
      <c r="BK113" s="16">
        <f>IF(ISNA(VLOOKUP(A113,'Données projet'!$A$87:$I$107,3,0)),0,VLOOKUP(A113,'Données projet'!$A$87:$I$107,3,0))</f>
        <v>19</v>
      </c>
      <c r="BL113" s="16">
        <f>IF(ISNA(VLOOKUP(A113,'Données projet'!$A$87:$I$107,4,0)),0,VLOOKUP(A113,'Données projet'!$A$87:$I$107,4,0))</f>
        <v>19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-1.1368683772161603E-13</v>
      </c>
      <c r="O114" s="14">
        <f>N114*VLOOKUP('Données projet'!$B$9,Paramètres!$A$1:$I$89,3,0)*VLOOKUP('Données projet'!$B$9,Paramètres!$A$1:$I$89,5,0)</f>
        <v>-5.3205440053716299E-14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189.27804790161417</v>
      </c>
      <c r="T114" s="62">
        <f t="shared" si="88"/>
        <v>212.39018594432073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0.9928096477511712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0.9928096477511712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269.79999999999995</v>
      </c>
      <c r="AJ114" s="14">
        <f>AI114*VLOOKUP('Données projet'!$B$10,Paramètres!$A$1:$I$89,3,0)*VLOOKUP('Données projet'!$B$10,Paramètres!$A$1:$I$89,5,0)</f>
        <v>244.11503999999994</v>
      </c>
      <c r="AK114" s="14">
        <f t="shared" si="89"/>
        <v>59.324023461759012</v>
      </c>
      <c r="AL114" s="22">
        <f t="shared" si="58"/>
        <v>528.48970219589683</v>
      </c>
      <c r="AM114" s="62">
        <f t="shared" si="59"/>
        <v>808.68306449052034</v>
      </c>
      <c r="AN114" s="62">
        <f ca="1">AVERAGE(OFFSET($AM$3,0,0,'Données projet'!$E$10+1,1))-AVERAGE(OFFSET($H$3,0,0,'Données projet'!$E$10+1,1))</f>
        <v>398.11190027805549</v>
      </c>
      <c r="AO114" s="62">
        <f t="shared" si="90"/>
        <v>250.47702091764884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3.8</v>
      </c>
      <c r="BD114" s="13">
        <f>IF('Données projet'!$A$88&gt;35,BD113+BC114-BL113,IF(A114&lt;'Données projet'!$A$88,$BA$205^A114,IF(A114='Données projet'!$A$88,'Données projet'!$B$88,BD113+BC114-BL113)))</f>
        <v>269.79999999999995</v>
      </c>
      <c r="BE114" s="14">
        <f>BD114*VLOOKUP('Données projet'!$B$11,Paramètres!$A$1:$I$89,3,0)*VLOOKUP('Données projet'!$B$11,Paramètres!$A$1:$I$89,5,0)</f>
        <v>256.74167999999997</v>
      </c>
      <c r="BF114" s="14">
        <f t="shared" si="91"/>
        <v>62.027326852695715</v>
      </c>
      <c r="BG114" s="22">
        <f t="shared" si="61"/>
        <v>555.18935360177829</v>
      </c>
      <c r="BH114" s="62">
        <f t="shared" si="62"/>
        <v>835.38271589640181</v>
      </c>
      <c r="BI114" s="62">
        <f ca="1">AVERAGE(OFFSET($BH$3,0,0,'Données projet'!$E$11+1,1))-AVERAGE(OFFSET($H$3,0,0,'Données projet'!$E$11+1,1))</f>
        <v>414.9045204114143</v>
      </c>
      <c r="BJ114" s="62">
        <f t="shared" si="92"/>
        <v>260.29028006191834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-1.1368683772161603E-13</v>
      </c>
      <c r="O115" s="14">
        <f>N115*VLOOKUP('Données projet'!$B$9,Paramètres!$A$1:$I$89,3,0)*VLOOKUP('Données projet'!$B$9,Paramètres!$A$1:$I$89,5,0)</f>
        <v>-5.3205440053716299E-14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189.27804790161417</v>
      </c>
      <c r="T115" s="62">
        <f t="shared" si="88"/>
        <v>212.39018594432073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0.97334125611286237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0.97334125611286237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273.59999999999997</v>
      </c>
      <c r="AJ115" s="14">
        <f>AI115*VLOOKUP('Données projet'!$B$10,Paramètres!$A$1:$I$89,3,0)*VLOOKUP('Données projet'!$B$10,Paramètres!$A$1:$I$89,5,0)</f>
        <v>247.55327999999994</v>
      </c>
      <c r="AK115" s="14">
        <f t="shared" si="89"/>
        <v>60.061713068870255</v>
      </c>
      <c r="AL115" s="22">
        <f t="shared" si="58"/>
        <v>535.76277959494894</v>
      </c>
      <c r="AM115" s="62">
        <f t="shared" si="59"/>
        <v>816.18409101051975</v>
      </c>
      <c r="AN115" s="62">
        <f ca="1">AVERAGE(OFFSET($AM$3,0,0,'Données projet'!$E$10+1,1))-AVERAGE(OFFSET($H$3,0,0,'Données projet'!$E$10+1,1))</f>
        <v>398.11190027805549</v>
      </c>
      <c r="AO115" s="62">
        <f t="shared" si="90"/>
        <v>250.47702091764884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3.8</v>
      </c>
      <c r="BD115" s="13">
        <f>IF('Données projet'!$A$88&gt;35,BD114+BC115-BL114,IF(A115&lt;'Données projet'!$A$88,$BA$205^A115,IF(A115='Données projet'!$A$88,'Données projet'!$B$88,BD114+BC115-BL114)))</f>
        <v>273.59999999999997</v>
      </c>
      <c r="BE115" s="14">
        <f>BD115*VLOOKUP('Données projet'!$B$11,Paramètres!$A$1:$I$89,3,0)*VLOOKUP('Données projet'!$B$11,Paramètres!$A$1:$I$89,5,0)</f>
        <v>260.35775999999998</v>
      </c>
      <c r="BF115" s="14">
        <f t="shared" si="91"/>
        <v>62.7986318267358</v>
      </c>
      <c r="BG115" s="22">
        <f t="shared" si="61"/>
        <v>562.83071576489817</v>
      </c>
      <c r="BH115" s="62">
        <f t="shared" si="62"/>
        <v>843.25202718046899</v>
      </c>
      <c r="BI115" s="62">
        <f ca="1">AVERAGE(OFFSET($BH$3,0,0,'Données projet'!$E$11+1,1))-AVERAGE(OFFSET($H$3,0,0,'Données projet'!$E$11+1,1))</f>
        <v>414.9045204114143</v>
      </c>
      <c r="BJ115" s="62">
        <f t="shared" si="92"/>
        <v>260.29028006191834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-1.1368683772161603E-13</v>
      </c>
      <c r="O116" s="14">
        <f>N116*VLOOKUP('Données projet'!$B$9,Paramètres!$A$1:$I$89,3,0)*VLOOKUP('Données projet'!$B$9,Paramètres!$A$1:$I$89,5,0)</f>
        <v>-5.3205440053716299E-14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189.27804790161417</v>
      </c>
      <c r="T116" s="62">
        <f t="shared" si="88"/>
        <v>212.39018594432073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0.95425462776003434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0.95425462776003434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277.39999999999998</v>
      </c>
      <c r="AJ116" s="14">
        <f>AI116*VLOOKUP('Données projet'!$B$10,Paramètres!$A$1:$I$89,3,0)*VLOOKUP('Données projet'!$B$10,Paramètres!$A$1:$I$89,5,0)</f>
        <v>250.99151999999995</v>
      </c>
      <c r="AK116" s="14">
        <f t="shared" si="89"/>
        <v>60.798211000769406</v>
      </c>
      <c r="AL116" s="22">
        <f t="shared" si="58"/>
        <v>543.03378149300659</v>
      </c>
      <c r="AM116" s="62">
        <f t="shared" si="59"/>
        <v>823.67908762189427</v>
      </c>
      <c r="AN116" s="62">
        <f ca="1">AVERAGE(OFFSET($AM$3,0,0,'Données projet'!$E$10+1,1))-AVERAGE(OFFSET($H$3,0,0,'Données projet'!$E$10+1,1))</f>
        <v>398.11190027805549</v>
      </c>
      <c r="AO116" s="62">
        <f t="shared" si="90"/>
        <v>250.47702091764884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3.8</v>
      </c>
      <c r="BD116" s="13">
        <f>IF('Données projet'!$A$88&gt;35,BD115+BC116-BL115,IF(A116&lt;'Données projet'!$A$88,$BA$205^A116,IF(A116='Données projet'!$A$88,'Données projet'!$B$88,BD115+BC116-BL115)))</f>
        <v>277.39999999999998</v>
      </c>
      <c r="BE116" s="14">
        <f>BD116*VLOOKUP('Données projet'!$B$11,Paramètres!$A$1:$I$89,3,0)*VLOOKUP('Données projet'!$B$11,Paramètres!$A$1:$I$89,5,0)</f>
        <v>263.97383999999994</v>
      </c>
      <c r="BF116" s="14">
        <f t="shared" si="91"/>
        <v>63.56869082277958</v>
      </c>
      <c r="BG116" s="22">
        <f t="shared" si="61"/>
        <v>570.46990784967431</v>
      </c>
      <c r="BH116" s="62">
        <f t="shared" si="62"/>
        <v>851.115213978562</v>
      </c>
      <c r="BI116" s="62">
        <f ca="1">AVERAGE(OFFSET($BH$3,0,0,'Données projet'!$E$11+1,1))-AVERAGE(OFFSET($H$3,0,0,'Données projet'!$E$11+1,1))</f>
        <v>414.9045204114143</v>
      </c>
      <c r="BJ116" s="62">
        <f t="shared" si="92"/>
        <v>260.29028006191834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-1.1368683772161603E-13</v>
      </c>
      <c r="O117" s="14">
        <f>N117*VLOOKUP('Données projet'!$B$9,Paramètres!$A$1:$I$89,3,0)*VLOOKUP('Données projet'!$B$9,Paramètres!$A$1:$I$89,5,0)</f>
        <v>-5.3205440053716299E-14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189.27804790161417</v>
      </c>
      <c r="T117" s="62">
        <f t="shared" si="88"/>
        <v>212.39018594432073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0.93554227654751154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0.93554227654751154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281.2</v>
      </c>
      <c r="AJ117" s="14">
        <f>AI117*VLOOKUP('Données projet'!$B$10,Paramètres!$A$1:$I$89,3,0)*VLOOKUP('Données projet'!$B$10,Paramètres!$A$1:$I$89,5,0)</f>
        <v>254.42975999999996</v>
      </c>
      <c r="AK117" s="14">
        <f t="shared" si="89"/>
        <v>61.533535468549189</v>
      </c>
      <c r="AL117" s="22">
        <f t="shared" si="58"/>
        <v>550.30273960772308</v>
      </c>
      <c r="AM117" s="62">
        <f t="shared" si="59"/>
        <v>831.16815464242859</v>
      </c>
      <c r="AN117" s="62">
        <f ca="1">AVERAGE(OFFSET($AM$3,0,0,'Données projet'!$E$10+1,1))-AVERAGE(OFFSET($H$3,0,0,'Données projet'!$E$10+1,1))</f>
        <v>398.11190027805549</v>
      </c>
      <c r="AO117" s="62">
        <f t="shared" si="90"/>
        <v>250.47702091764884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3.8</v>
      </c>
      <c r="BD117" s="13">
        <f>IF('Données projet'!$A$88&gt;35,BD116+BC117-BL116,IF(A117&lt;'Données projet'!$A$88,$BA$205^A117,IF(A117='Données projet'!$A$88,'Données projet'!$B$88,BD116+BC117-BL116)))</f>
        <v>281.2</v>
      </c>
      <c r="BE117" s="14">
        <f>BD117*VLOOKUP('Données projet'!$B$11,Paramètres!$A$1:$I$89,3,0)*VLOOKUP('Données projet'!$B$11,Paramètres!$A$1:$I$89,5,0)</f>
        <v>267.58992000000001</v>
      </c>
      <c r="BF117" s="14">
        <f t="shared" si="91"/>
        <v>64.33752288177115</v>
      </c>
      <c r="BG117" s="22">
        <f t="shared" si="61"/>
        <v>578.1069630190849</v>
      </c>
      <c r="BH117" s="62">
        <f t="shared" si="62"/>
        <v>858.97237805379041</v>
      </c>
      <c r="BI117" s="62">
        <f ca="1">AVERAGE(OFFSET($BH$3,0,0,'Données projet'!$E$11+1,1))-AVERAGE(OFFSET($H$3,0,0,'Données projet'!$E$11+1,1))</f>
        <v>414.9045204114143</v>
      </c>
      <c r="BJ117" s="62">
        <f t="shared" si="92"/>
        <v>260.29028006191834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-1.1368683772161603E-13</v>
      </c>
      <c r="O118" s="14">
        <f>N118*VLOOKUP('Données projet'!$B$9,Paramètres!$A$1:$I$89,3,0)*VLOOKUP('Données projet'!$B$9,Paramètres!$A$1:$I$89,5,0)</f>
        <v>-5.3205440053716299E-14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189.27804790161417</v>
      </c>
      <c r="T118" s="62">
        <f t="shared" si="88"/>
        <v>212.39018594432073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0.91719686312885906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0.91719686312885906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285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285</v>
      </c>
      <c r="AJ118" s="14">
        <f>AI118*VLOOKUP('Données projet'!$B$10,Paramètres!$A$1:$I$89,3,0)*VLOOKUP('Données projet'!$B$10,Paramètres!$A$1:$I$89,5,0)</f>
        <v>257.86799999999999</v>
      </c>
      <c r="AK118" s="14">
        <f t="shared" si="89"/>
        <v>62.267704162827528</v>
      </c>
      <c r="AL118" s="22">
        <f t="shared" si="58"/>
        <v>557.56968475025803</v>
      </c>
      <c r="AM118" s="62">
        <f t="shared" si="59"/>
        <v>838.65139029335523</v>
      </c>
      <c r="AN118" s="62">
        <f ca="1">AVERAGE(OFFSET($AM$3,0,0,'Données projet'!$E$10+1,1))-AVERAGE(OFFSET($H$3,0,0,'Données projet'!$E$10+1,1))</f>
        <v>398.11190027805549</v>
      </c>
      <c r="AO118" s="62">
        <f t="shared" si="90"/>
        <v>250.47702091764884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285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285</v>
      </c>
      <c r="BB118" s="13">
        <f>VLOOKUP(A118,'Données projet'!$A$87:$I$107,9,0)</f>
        <v>3.8</v>
      </c>
      <c r="BC118" s="13">
        <f t="array" ref="BC118">INDEX(BB:BB,MIN(IF(ISNUMBER(BB118:BB314),ROW(BB118:BB314),"")))</f>
        <v>3.8</v>
      </c>
      <c r="BD118" s="13">
        <f>IF('Données projet'!$A$88&gt;35,BD117+BC118-BL117,IF(A118&lt;'Données projet'!$A$88,$BA$205^A118,IF(A118='Données projet'!$A$88,'Données projet'!$B$88,BD117+BC118-BL117)))</f>
        <v>285</v>
      </c>
      <c r="BE118" s="14">
        <f>BD118*VLOOKUP('Données projet'!$B$11,Paramètres!$A$1:$I$89,3,0)*VLOOKUP('Données projet'!$B$11,Paramètres!$A$1:$I$89,5,0)</f>
        <v>271.20600000000002</v>
      </c>
      <c r="BF118" s="14">
        <f t="shared" si="91"/>
        <v>65.105146500462041</v>
      </c>
      <c r="BG118" s="22">
        <f t="shared" si="61"/>
        <v>585.7419134883047</v>
      </c>
      <c r="BH118" s="62">
        <f t="shared" si="62"/>
        <v>866.8236190314019</v>
      </c>
      <c r="BI118" s="62">
        <f ca="1">AVERAGE(OFFSET($BH$3,0,0,'Données projet'!$E$11+1,1))-AVERAGE(OFFSET($H$3,0,0,'Données projet'!$E$11+1,1))</f>
        <v>414.9045204114143</v>
      </c>
      <c r="BJ118" s="62">
        <f t="shared" si="92"/>
        <v>260.29028006191834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285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-1.1368683772161603E-13</v>
      </c>
      <c r="O119" s="14">
        <f>N119*VLOOKUP('Données projet'!$B$9,Paramètres!$A$1:$I$89,3,0)*VLOOKUP('Données projet'!$B$9,Paramètres!$A$1:$I$89,5,0)</f>
        <v>-5.3205440053716299E-14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189.27804790161417</v>
      </c>
      <c r="T119" s="62">
        <f t="shared" si="88"/>
        <v>212.39018594432073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0.89921119207774902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0.89921119207774902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398.11190027805549</v>
      </c>
      <c r="AO119" s="62">
        <f t="shared" si="90"/>
        <v>250.47702091764884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414.9045204114143</v>
      </c>
      <c r="BJ119" s="62">
        <f t="shared" si="92"/>
        <v>260.29028006191834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-1.1368683772161603E-13</v>
      </c>
      <c r="O120" s="14">
        <f>N120*VLOOKUP('Données projet'!$B$9,Paramètres!$A$1:$I$89,3,0)*VLOOKUP('Données projet'!$B$9,Paramètres!$A$1:$I$89,5,0)</f>
        <v>-5.3205440053716299E-14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189.27804790161417</v>
      </c>
      <c r="T120" s="62">
        <f t="shared" si="88"/>
        <v>212.39018594432073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0.88157820906577511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0.88157820906577511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398.11190027805549</v>
      </c>
      <c r="AO120" s="62">
        <f t="shared" si="90"/>
        <v>250.47702091764884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414.9045204114143</v>
      </c>
      <c r="BJ120" s="62">
        <f t="shared" si="92"/>
        <v>260.29028006191834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-1.1368683772161603E-13</v>
      </c>
      <c r="O121" s="14">
        <f>N121*VLOOKUP('Données projet'!$B$9,Paramètres!$A$1:$I$89,3,0)*VLOOKUP('Données projet'!$B$9,Paramètres!$A$1:$I$89,5,0)</f>
        <v>-5.3205440053716299E-14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189.27804790161417</v>
      </c>
      <c r="T121" s="62">
        <f t="shared" si="88"/>
        <v>212.39018594432073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0.86429099809560839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0.86429099809560839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398.11190027805549</v>
      </c>
      <c r="AO121" s="62">
        <f t="shared" si="90"/>
        <v>250.47702091764884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414.9045204114143</v>
      </c>
      <c r="BJ121" s="62">
        <f t="shared" si="92"/>
        <v>260.29028006191834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-1.1368683772161603E-13</v>
      </c>
      <c r="O122" s="14">
        <f>N122*VLOOKUP('Données projet'!$B$9,Paramètres!$A$1:$I$89,3,0)*VLOOKUP('Données projet'!$B$9,Paramètres!$A$1:$I$89,5,0)</f>
        <v>-5.3205440053716299E-14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189.27804790161417</v>
      </c>
      <c r="T122" s="62">
        <f t="shared" si="88"/>
        <v>212.39018594432073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0.84734277878840913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0.84734277878840913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398.11190027805549</v>
      </c>
      <c r="AO122" s="62">
        <f t="shared" si="90"/>
        <v>250.47702091764884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414.9045204114143</v>
      </c>
      <c r="BJ122" s="62">
        <f t="shared" si="92"/>
        <v>260.29028006191834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-1.1368683772161603E-13</v>
      </c>
      <c r="O123" s="14">
        <f>N123*VLOOKUP('Données projet'!$B$9,Paramètres!$A$1:$I$89,3,0)*VLOOKUP('Données projet'!$B$9,Paramètres!$A$1:$I$89,5,0)</f>
        <v>-5.3205440053716299E-14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189.27804790161417</v>
      </c>
      <c r="T123" s="62">
        <f t="shared" si="88"/>
        <v>212.39018594432073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0.83072690372443092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0.83072690372443092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398.11190027805549</v>
      </c>
      <c r="AO123" s="62">
        <f t="shared" si="90"/>
        <v>250.47702091764884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414.9045204114143</v>
      </c>
      <c r="BJ123" s="62">
        <f t="shared" si="92"/>
        <v>260.29028006191834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projet'!$B$9,Paramètres!$A$1:$I$89,3,0)*VLOOKUP('Données projet'!$B$9,Paramètres!$A$1:$I$89,5,0)</f>
        <v>-5.3205440053716299E-14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189.27804790161417</v>
      </c>
      <c r="T124" s="62">
        <f t="shared" si="88"/>
        <v>212.39018594432073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0.8144368558357743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0.8144368558357743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398.11190027805549</v>
      </c>
      <c r="AO124" s="62">
        <f t="shared" si="90"/>
        <v>250.47702091764884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414.9045204114143</v>
      </c>
      <c r="BJ124" s="62">
        <f t="shared" si="92"/>
        <v>260.29028006191834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projet'!$B$9,Paramètres!$A$1:$I$89,3,0)*VLOOKUP('Données projet'!$B$9,Paramètres!$A$1:$I$89,5,0)</f>
        <v>-5.3205440053716299E-14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189.27804790161417</v>
      </c>
      <c r="T125" s="62">
        <f t="shared" si="88"/>
        <v>212.39018594432073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0.79846624585026615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0.79846624585026615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398.11190027805549</v>
      </c>
      <c r="AO125" s="62">
        <f t="shared" si="90"/>
        <v>250.47702091764884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414.9045204114143</v>
      </c>
      <c r="BJ125" s="62">
        <f t="shared" si="92"/>
        <v>260.29028006191834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projet'!$B$9,Paramètres!$A$1:$I$89,3,0)*VLOOKUP('Données projet'!$B$9,Paramètres!$A$1:$I$89,5,0)</f>
        <v>-5.3205440053716299E-14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189.27804790161417</v>
      </c>
      <c r="T126" s="62">
        <f t="shared" si="88"/>
        <v>212.39018594432073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0.78280880978546352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0.78280880978546352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398.11190027805549</v>
      </c>
      <c r="AO126" s="62">
        <f t="shared" si="90"/>
        <v>250.47702091764884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414.9045204114143</v>
      </c>
      <c r="BJ126" s="62">
        <f t="shared" si="92"/>
        <v>260.29028006191834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projet'!$B$9,Paramètres!$A$1:$I$89,3,0)*VLOOKUP('Données projet'!$B$9,Paramètres!$A$1:$I$89,5,0)</f>
        <v>-5.3205440053716299E-14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189.27804790161417</v>
      </c>
      <c r="T127" s="62">
        <f t="shared" si="88"/>
        <v>212.39018594432073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0.76745840649179864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0.76745840649179864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398.11190027805549</v>
      </c>
      <c r="AO127" s="62">
        <f t="shared" si="90"/>
        <v>250.47702091764884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414.9045204114143</v>
      </c>
      <c r="BJ127" s="62">
        <f t="shared" si="92"/>
        <v>260.29028006191834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projet'!$B$9,Paramètres!$A$1:$I$89,3,0)*VLOOKUP('Données projet'!$B$9,Paramètres!$A$1:$I$89,5,0)</f>
        <v>-5.3205440053716299E-14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189.27804790161417</v>
      </c>
      <c r="T128" s="62">
        <f t="shared" si="88"/>
        <v>212.39018594432073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0.75240901524390102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0.75240901524390102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398.11190027805549</v>
      </c>
      <c r="AO128" s="62">
        <f t="shared" si="90"/>
        <v>250.47702091764884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414.9045204114143</v>
      </c>
      <c r="BJ128" s="62">
        <f t="shared" si="92"/>
        <v>260.29028006191834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projet'!$B$9,Paramètres!$A$1:$I$89,3,0)*VLOOKUP('Données projet'!$B$9,Paramètres!$A$1:$I$89,5,0)</f>
        <v>-5.3205440053716299E-14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189.27804790161417</v>
      </c>
      <c r="T129" s="62">
        <f t="shared" si="88"/>
        <v>212.39018594432073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0.73765473337915244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0.73765473337915244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398.11190027805549</v>
      </c>
      <c r="AO129" s="62">
        <f t="shared" si="90"/>
        <v>250.47702091764884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414.9045204114143</v>
      </c>
      <c r="BJ129" s="62">
        <f t="shared" si="92"/>
        <v>260.29028006191834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projet'!$B$9,Paramètres!$A$1:$I$89,3,0)*VLOOKUP('Données projet'!$B$9,Paramètres!$A$1:$I$89,5,0)</f>
        <v>-5.3205440053716299E-14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189.27804790161417</v>
      </c>
      <c r="T130" s="62">
        <f t="shared" si="88"/>
        <v>212.39018594432073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0.72318977398254825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0.72318977398254825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398.11190027805549</v>
      </c>
      <c r="AO130" s="62">
        <f t="shared" si="90"/>
        <v>250.47702091764884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414.9045204114143</v>
      </c>
      <c r="BJ130" s="62">
        <f t="shared" si="92"/>
        <v>260.29028006191834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projet'!$B$9,Paramètres!$A$1:$I$89,3,0)*VLOOKUP('Données projet'!$B$9,Paramètres!$A$1:$I$89,5,0)</f>
        <v>-5.3205440053716299E-14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189.27804790161417</v>
      </c>
      <c r="T131" s="62">
        <f t="shared" si="88"/>
        <v>212.39018594432073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0.70900846361695735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0.70900846361695735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398.11190027805549</v>
      </c>
      <c r="AO131" s="62">
        <f t="shared" si="90"/>
        <v>250.47702091764884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414.9045204114143</v>
      </c>
      <c r="BJ131" s="62">
        <f t="shared" si="92"/>
        <v>260.29028006191834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projet'!$B$9,Paramètres!$A$1:$I$89,3,0)*VLOOKUP('Données projet'!$B$9,Paramètres!$A$1:$I$89,5,0)</f>
        <v>-5.3205440053716299E-14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189.27804790161417</v>
      </c>
      <c r="T132" s="62">
        <f t="shared" si="88"/>
        <v>212.39018594432073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0.69510524009789054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0.69510524009789054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398.11190027805549</v>
      </c>
      <c r="AO132" s="62">
        <f t="shared" si="90"/>
        <v>250.47702091764884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414.9045204114143</v>
      </c>
      <c r="BJ132" s="62">
        <f t="shared" si="92"/>
        <v>260.29028006191834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projet'!$B$9,Paramètres!$A$1:$I$89,3,0)*VLOOKUP('Données projet'!$B$9,Paramètres!$A$1:$I$89,5,0)</f>
        <v>-5.3205440053716299E-14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189.27804790161417</v>
      </c>
      <c r="T133" s="62">
        <f t="shared" ref="T133:T196" si="142">$T$3</f>
        <v>212.39018594432073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0.68147465031190357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0.68147465031190357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398.11190027805549</v>
      </c>
      <c r="AO133" s="62">
        <f t="shared" ref="AO133:AO196" si="144">$AO$3</f>
        <v>250.47702091764884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414.9045204114143</v>
      </c>
      <c r="BJ133" s="62">
        <f t="shared" ref="BJ133:BJ196" si="146">$BJ$3</f>
        <v>260.29028006191834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projet'!$B$9,Paramètres!$A$1:$I$89,3,0)*VLOOKUP('Données projet'!$B$9,Paramètres!$A$1:$I$89,5,0)</f>
        <v>-5.3205440053716299E-14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189.27804790161417</v>
      </c>
      <c r="T134" s="62">
        <f t="shared" si="142"/>
        <v>212.39018594432073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0.66811134807778094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0.66811134807778094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398.11190027805549</v>
      </c>
      <c r="AO134" s="62">
        <f t="shared" si="144"/>
        <v>250.47702091764884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414.9045204114143</v>
      </c>
      <c r="BJ134" s="62">
        <f t="shared" si="146"/>
        <v>260.29028006191834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projet'!$B$9,Paramètres!$A$1:$I$89,3,0)*VLOOKUP('Données projet'!$B$9,Paramètres!$A$1:$I$89,5,0)</f>
        <v>-5.3205440053716299E-14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189.27804790161417</v>
      </c>
      <c r="T135" s="62">
        <f t="shared" si="142"/>
        <v>212.39018594432073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0.65501009204965999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0.65501009204965999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398.11190027805549</v>
      </c>
      <c r="AO135" s="62">
        <f t="shared" si="144"/>
        <v>250.47702091764884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414.9045204114143</v>
      </c>
      <c r="BJ135" s="62">
        <f t="shared" si="146"/>
        <v>260.29028006191834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projet'!$B$9,Paramètres!$A$1:$I$89,3,0)*VLOOKUP('Données projet'!$B$9,Paramètres!$A$1:$I$89,5,0)</f>
        <v>-5.3205440053716299E-14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189.27804790161417</v>
      </c>
      <c r="T136" s="62">
        <f t="shared" si="142"/>
        <v>212.39018594432073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0.64216574366127332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0.64216574366127332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398.11190027805549</v>
      </c>
      <c r="AO136" s="62">
        <f t="shared" si="144"/>
        <v>250.47702091764884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414.9045204114143</v>
      </c>
      <c r="BJ136" s="62">
        <f t="shared" si="146"/>
        <v>260.29028006191834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projet'!$B$9,Paramètres!$A$1:$I$89,3,0)*VLOOKUP('Données projet'!$B$9,Paramètres!$A$1:$I$89,5,0)</f>
        <v>-5.3205440053716299E-14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189.27804790161417</v>
      </c>
      <c r="T137" s="62">
        <f t="shared" si="142"/>
        <v>212.39018594432073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0.62957326511050393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0.62957326511050393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398.11190027805549</v>
      </c>
      <c r="AO137" s="62">
        <f t="shared" si="144"/>
        <v>250.47702091764884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414.9045204114143</v>
      </c>
      <c r="BJ137" s="62">
        <f t="shared" si="146"/>
        <v>260.29028006191834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projet'!$B$9,Paramètres!$A$1:$I$89,3,0)*VLOOKUP('Données projet'!$B$9,Paramètres!$A$1:$I$89,5,0)</f>
        <v>-5.3205440053716299E-14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189.27804790161417</v>
      </c>
      <c r="T138" s="62">
        <f t="shared" si="142"/>
        <v>212.39018594432073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0.6172277173834616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0.6172277173834616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398.11190027805549</v>
      </c>
      <c r="AO138" s="62">
        <f t="shared" si="144"/>
        <v>250.47702091764884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414.9045204114143</v>
      </c>
      <c r="BJ138" s="62">
        <f t="shared" si="146"/>
        <v>260.29028006191834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projet'!$B$9,Paramètres!$A$1:$I$89,3,0)*VLOOKUP('Données projet'!$B$9,Paramètres!$A$1:$I$89,5,0)</f>
        <v>-5.3205440053716299E-14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189.27804790161417</v>
      </c>
      <c r="T139" s="62">
        <f t="shared" si="142"/>
        <v>212.39018594432073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0.60512425831730599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0.60512425831730599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398.11190027805549</v>
      </c>
      <c r="AO139" s="62">
        <f t="shared" si="144"/>
        <v>250.47702091764884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414.9045204114143</v>
      </c>
      <c r="BJ139" s="62">
        <f t="shared" si="146"/>
        <v>260.29028006191834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projet'!$B$9,Paramètres!$A$1:$I$89,3,0)*VLOOKUP('Données projet'!$B$9,Paramètres!$A$1:$I$89,5,0)</f>
        <v>-5.3205440053716299E-14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189.27804790161417</v>
      </c>
      <c r="T140" s="62">
        <f t="shared" si="142"/>
        <v>212.39018594432073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0.59325814070105665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0.59325814070105665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398.11190027805549</v>
      </c>
      <c r="AO140" s="62">
        <f t="shared" si="144"/>
        <v>250.47702091764884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414.9045204114143</v>
      </c>
      <c r="BJ140" s="62">
        <f t="shared" si="146"/>
        <v>260.29028006191834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projet'!$B$9,Paramètres!$A$1:$I$89,3,0)*VLOOKUP('Données projet'!$B$9,Paramètres!$A$1:$I$89,5,0)</f>
        <v>-5.3205440053716299E-14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189.27804790161417</v>
      </c>
      <c r="T141" s="62">
        <f t="shared" si="142"/>
        <v>212.39018594432073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0.58162471041364483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0.58162471041364483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398.11190027805549</v>
      </c>
      <c r="AO141" s="62">
        <f t="shared" si="144"/>
        <v>250.47702091764884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414.9045204114143</v>
      </c>
      <c r="BJ141" s="62">
        <f t="shared" si="146"/>
        <v>260.29028006191834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projet'!$B$9,Paramètres!$A$1:$I$89,3,0)*VLOOKUP('Données projet'!$B$9,Paramètres!$A$1:$I$89,5,0)</f>
        <v>-5.3205440053716299E-14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189.27804790161417</v>
      </c>
      <c r="T142" s="62">
        <f t="shared" si="142"/>
        <v>212.39018594432073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0.57021940459847731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0.57021940459847731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398.11190027805549</v>
      </c>
      <c r="AO142" s="62">
        <f t="shared" si="144"/>
        <v>250.47702091764884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414.9045204114143</v>
      </c>
      <c r="BJ142" s="62">
        <f t="shared" si="146"/>
        <v>260.29028006191834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projet'!$B$9,Paramètres!$A$1:$I$89,3,0)*VLOOKUP('Données projet'!$B$9,Paramètres!$A$1:$I$89,5,0)</f>
        <v>-5.3205440053716299E-14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189.27804790161417</v>
      </c>
      <c r="T143" s="62">
        <f t="shared" si="142"/>
        <v>212.39018594432073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0.55903774987379562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0.55903774987379562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398.11190027805549</v>
      </c>
      <c r="AO143" s="62">
        <f t="shared" si="144"/>
        <v>250.47702091764884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414.9045204114143</v>
      </c>
      <c r="BJ143" s="62">
        <f t="shared" si="146"/>
        <v>260.29028006191834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projet'!$B$9,Paramètres!$A$1:$I$89,3,0)*VLOOKUP('Données projet'!$B$9,Paramètres!$A$1:$I$89,5,0)</f>
        <v>-5.3205440053716299E-14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189.27804790161417</v>
      </c>
      <c r="T144" s="62">
        <f t="shared" si="142"/>
        <v>212.39018594432073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0.548075360578129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0.548075360578129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398.11190027805549</v>
      </c>
      <c r="AO144" s="62">
        <f t="shared" si="144"/>
        <v>250.47702091764884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414.9045204114143</v>
      </c>
      <c r="BJ144" s="62">
        <f t="shared" si="146"/>
        <v>260.29028006191834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projet'!$B$9,Paramètres!$A$1:$I$89,3,0)*VLOOKUP('Données projet'!$B$9,Paramètres!$A$1:$I$89,5,0)</f>
        <v>-5.3205440053716299E-14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189.27804790161417</v>
      </c>
      <c r="T145" s="62">
        <f t="shared" si="142"/>
        <v>212.39018594432073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0.53732793705015314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0.53732793705015314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398.11190027805549</v>
      </c>
      <c r="AO145" s="62">
        <f t="shared" si="144"/>
        <v>250.47702091764884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414.9045204114143</v>
      </c>
      <c r="BJ145" s="62">
        <f t="shared" si="146"/>
        <v>260.29028006191834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projet'!$B$9,Paramètres!$A$1:$I$89,3,0)*VLOOKUP('Données projet'!$B$9,Paramètres!$A$1:$I$89,5,0)</f>
        <v>-5.3205440053716299E-14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189.27804790161417</v>
      </c>
      <c r="T146" s="62">
        <f t="shared" si="142"/>
        <v>212.39018594432073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0.52679126394227982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0.52679126394227982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398.11190027805549</v>
      </c>
      <c r="AO146" s="62">
        <f t="shared" si="144"/>
        <v>250.47702091764884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414.9045204114143</v>
      </c>
      <c r="BJ146" s="62">
        <f t="shared" si="146"/>
        <v>260.29028006191834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projet'!$B$9,Paramètres!$A$1:$I$89,3,0)*VLOOKUP('Données projet'!$B$9,Paramètres!$A$1:$I$89,5,0)</f>
        <v>-5.3205440053716299E-14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189.27804790161417</v>
      </c>
      <c r="T147" s="62">
        <f t="shared" si="142"/>
        <v>212.39018594432073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0.51646120856731592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0.51646120856731592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398.11190027805549</v>
      </c>
      <c r="AO147" s="62">
        <f t="shared" si="144"/>
        <v>250.47702091764884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414.9045204114143</v>
      </c>
      <c r="BJ147" s="62">
        <f t="shared" si="146"/>
        <v>260.29028006191834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projet'!$B$9,Paramètres!$A$1:$I$89,3,0)*VLOOKUP('Données projet'!$B$9,Paramètres!$A$1:$I$89,5,0)</f>
        <v>-5.3205440053716299E-14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189.27804790161417</v>
      </c>
      <c r="T148" s="62">
        <f t="shared" si="142"/>
        <v>212.39018594432073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0.50633371927754345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0.50633371927754345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398.11190027805549</v>
      </c>
      <c r="AO148" s="62">
        <f t="shared" si="144"/>
        <v>250.47702091764884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414.9045204114143</v>
      </c>
      <c r="BJ148" s="62">
        <f t="shared" si="146"/>
        <v>260.29028006191834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projet'!$B$9,Paramètres!$A$1:$I$89,3,0)*VLOOKUP('Données projet'!$B$9,Paramètres!$A$1:$I$89,5,0)</f>
        <v>-5.3205440053716299E-14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189.27804790161417</v>
      </c>
      <c r="T149" s="62">
        <f t="shared" si="142"/>
        <v>212.39018594432073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0.49640482387558482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0.49640482387558482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398.11190027805549</v>
      </c>
      <c r="AO149" s="62">
        <f t="shared" si="144"/>
        <v>250.47702091764884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414.9045204114143</v>
      </c>
      <c r="BJ149" s="62">
        <f t="shared" si="146"/>
        <v>260.29028006191834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projet'!$B$9,Paramètres!$A$1:$I$89,3,0)*VLOOKUP('Données projet'!$B$9,Paramètres!$A$1:$I$89,5,0)</f>
        <v>-5.3205440053716299E-14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189.27804790161417</v>
      </c>
      <c r="T150" s="62">
        <f t="shared" si="142"/>
        <v>212.39018594432073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0.48667062805643041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0.48667062805643041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398.11190027805549</v>
      </c>
      <c r="AO150" s="62">
        <f t="shared" si="144"/>
        <v>250.47702091764884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414.9045204114143</v>
      </c>
      <c r="BJ150" s="62">
        <f t="shared" si="146"/>
        <v>260.29028006191834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projet'!$B$9,Paramètres!$A$1:$I$89,3,0)*VLOOKUP('Données projet'!$B$9,Paramètres!$A$1:$I$89,5,0)</f>
        <v>-5.3205440053716299E-14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189.27804790161417</v>
      </c>
      <c r="T151" s="62">
        <f t="shared" si="142"/>
        <v>212.39018594432073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0.47712731388001645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0.47712731388001645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398.11190027805549</v>
      </c>
      <c r="AO151" s="62">
        <f t="shared" si="144"/>
        <v>250.47702091764884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414.9045204114143</v>
      </c>
      <c r="BJ151" s="62">
        <f t="shared" si="146"/>
        <v>260.29028006191834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projet'!$B$9,Paramètres!$A$1:$I$89,3,0)*VLOOKUP('Données projet'!$B$9,Paramètres!$A$1:$I$89,5,0)</f>
        <v>-5.3205440053716299E-14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189.27804790161417</v>
      </c>
      <c r="T152" s="62">
        <f t="shared" si="142"/>
        <v>212.39018594432073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0.46777113827375505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0.46777113827375505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398.11190027805549</v>
      </c>
      <c r="AO152" s="62">
        <f t="shared" si="144"/>
        <v>250.47702091764884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414.9045204114143</v>
      </c>
      <c r="BJ152" s="62">
        <f t="shared" si="146"/>
        <v>260.29028006191834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projet'!$B$9,Paramètres!$A$1:$I$89,3,0)*VLOOKUP('Données projet'!$B$9,Paramètres!$A$1:$I$89,5,0)</f>
        <v>-5.3205440053716299E-14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189.27804790161417</v>
      </c>
      <c r="T153" s="62">
        <f t="shared" si="142"/>
        <v>212.39018594432073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0.45859843156442881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0.45859843156442881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398.11190027805549</v>
      </c>
      <c r="AO153" s="62">
        <f t="shared" si="144"/>
        <v>250.47702091764884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414.9045204114143</v>
      </c>
      <c r="BJ153" s="62">
        <f t="shared" si="146"/>
        <v>260.29028006191834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-5.3205440053716299E-14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189.27804790161417</v>
      </c>
      <c r="T154" s="62">
        <f t="shared" si="142"/>
        <v>212.39018594432073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0.44960559603887379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0.44960559603887379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398.11190027805549</v>
      </c>
      <c r="AO154" s="62">
        <f t="shared" si="144"/>
        <v>250.47702091764884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414.9045204114143</v>
      </c>
      <c r="BJ154" s="62">
        <f t="shared" si="146"/>
        <v>260.29028006191834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-5.3205440053716299E-14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189.27804790161417</v>
      </c>
      <c r="T155" s="62">
        <f t="shared" si="142"/>
        <v>212.39018594432073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0.44078910453288689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0.44078910453288689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398.11190027805549</v>
      </c>
      <c r="AO155" s="62">
        <f t="shared" si="144"/>
        <v>250.47702091764884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414.9045204114143</v>
      </c>
      <c r="BJ155" s="62">
        <f t="shared" si="146"/>
        <v>260.29028006191834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-5.3205440053716299E-14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189.27804790161417</v>
      </c>
      <c r="T156" s="62">
        <f t="shared" si="142"/>
        <v>212.39018594432073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0.43214549904780353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0.43214549904780353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398.11190027805549</v>
      </c>
      <c r="AO156" s="62">
        <f t="shared" si="144"/>
        <v>250.47702091764884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414.9045204114143</v>
      </c>
      <c r="BJ156" s="62">
        <f t="shared" si="146"/>
        <v>260.29028006191834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-5.3205440053716299E-14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189.27804790161417</v>
      </c>
      <c r="T157" s="62">
        <f t="shared" si="142"/>
        <v>212.39018594432073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0.4236713893942039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0.4236713893942039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398.11190027805549</v>
      </c>
      <c r="AO157" s="62">
        <f t="shared" si="144"/>
        <v>250.47702091764884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414.9045204114143</v>
      </c>
      <c r="BJ157" s="62">
        <f t="shared" si="146"/>
        <v>260.29028006191834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-5.3205440053716299E-14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189.27804790161417</v>
      </c>
      <c r="T158" s="62">
        <f t="shared" si="142"/>
        <v>212.39018594432073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0.41536345186221485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0.41536345186221485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398.11190027805549</v>
      </c>
      <c r="AO158" s="62">
        <f t="shared" si="144"/>
        <v>250.47702091764884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414.9045204114143</v>
      </c>
      <c r="BJ158" s="62">
        <f t="shared" si="146"/>
        <v>260.29028006191834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-5.3205440053716299E-14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189.27804790161417</v>
      </c>
      <c r="T159" s="62">
        <f t="shared" si="142"/>
        <v>212.39018594432073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0.40721842791788654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0.40721842791788654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398.11190027805549</v>
      </c>
      <c r="AO159" s="62">
        <f t="shared" si="144"/>
        <v>250.47702091764884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414.9045204114143</v>
      </c>
      <c r="BJ159" s="62">
        <f t="shared" si="146"/>
        <v>260.29028006191834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-5.3205440053716299E-14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189.27804790161417</v>
      </c>
      <c r="T160" s="62">
        <f t="shared" si="142"/>
        <v>212.39018594432073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0.39923312292513247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0.39923312292513247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398.11190027805549</v>
      </c>
      <c r="AO160" s="62">
        <f t="shared" si="144"/>
        <v>250.47702091764884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414.9045204114143</v>
      </c>
      <c r="BJ160" s="62">
        <f t="shared" si="146"/>
        <v>260.29028006191834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-5.3205440053716299E-14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189.27804790161417</v>
      </c>
      <c r="T161" s="62">
        <f t="shared" si="142"/>
        <v>212.39018594432073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0.39140440489273115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0.39140440489273115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398.11190027805549</v>
      </c>
      <c r="AO161" s="62">
        <f t="shared" si="144"/>
        <v>250.47702091764884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414.9045204114143</v>
      </c>
      <c r="BJ161" s="62">
        <f t="shared" si="146"/>
        <v>260.29028006191834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-5.3205440053716299E-14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189.27804790161417</v>
      </c>
      <c r="T162" s="62">
        <f t="shared" si="142"/>
        <v>212.39018594432073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0.38372920324589876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0.38372920324589876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398.11190027805549</v>
      </c>
      <c r="AO162" s="62">
        <f t="shared" si="144"/>
        <v>250.47702091764884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414.9045204114143</v>
      </c>
      <c r="BJ162" s="62">
        <f t="shared" si="146"/>
        <v>260.29028006191834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-5.3205440053716299E-14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189.27804790161417</v>
      </c>
      <c r="T163" s="62">
        <f t="shared" si="142"/>
        <v>212.39018594432073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0.37620450762194996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0.37620450762194996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398.11190027805549</v>
      </c>
      <c r="AO163" s="62">
        <f t="shared" si="144"/>
        <v>250.47702091764884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414.9045204114143</v>
      </c>
      <c r="BJ163" s="62">
        <f t="shared" si="146"/>
        <v>260.29028006191834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-5.3205440053716299E-14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189.27804790161417</v>
      </c>
      <c r="T164" s="62">
        <f t="shared" si="142"/>
        <v>212.39018594432073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0.36882736668957566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0.36882736668957566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398.11190027805549</v>
      </c>
      <c r="AO164" s="62">
        <f t="shared" si="144"/>
        <v>250.47702091764884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414.9045204114143</v>
      </c>
      <c r="BJ164" s="62">
        <f t="shared" si="146"/>
        <v>260.29028006191834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-5.3205440053716299E-14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189.27804790161417</v>
      </c>
      <c r="T165" s="62">
        <f t="shared" si="142"/>
        <v>212.39018594432073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0.36159488699127357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0.36159488699127357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398.11190027805549</v>
      </c>
      <c r="AO165" s="62">
        <f t="shared" si="144"/>
        <v>250.47702091764884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414.9045204114143</v>
      </c>
      <c r="BJ165" s="62">
        <f t="shared" si="146"/>
        <v>260.29028006191834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-5.3205440053716299E-14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189.27804790161417</v>
      </c>
      <c r="T166" s="62">
        <f t="shared" si="142"/>
        <v>212.39018594432073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0.35450423180847812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0.35450423180847812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398.11190027805549</v>
      </c>
      <c r="AO166" s="62">
        <f t="shared" si="144"/>
        <v>250.47702091764884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414.9045204114143</v>
      </c>
      <c r="BJ166" s="62">
        <f t="shared" si="146"/>
        <v>260.29028006191834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-5.3205440053716299E-14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189.27804790161417</v>
      </c>
      <c r="T167" s="62">
        <f t="shared" si="142"/>
        <v>212.39018594432073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0.34755262004894472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0.34755262004894472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398.11190027805549</v>
      </c>
      <c r="AO167" s="62">
        <f t="shared" si="144"/>
        <v>250.47702091764884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414.9045204114143</v>
      </c>
      <c r="BJ167" s="62">
        <f t="shared" si="146"/>
        <v>260.29028006191834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-5.3205440053716299E-14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189.27804790161417</v>
      </c>
      <c r="T168" s="62">
        <f t="shared" si="142"/>
        <v>212.39018594432073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0.34073732515595123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0.34073732515595123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398.11190027805549</v>
      </c>
      <c r="AO168" s="62">
        <f t="shared" si="144"/>
        <v>250.47702091764884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414.9045204114143</v>
      </c>
      <c r="BJ168" s="62">
        <f t="shared" si="146"/>
        <v>260.29028006191834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-5.3205440053716299E-14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189.27804790161417</v>
      </c>
      <c r="T169" s="62">
        <f t="shared" si="142"/>
        <v>212.39018594432073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0.33405567403888992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0.33405567403888992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398.11190027805549</v>
      </c>
      <c r="AO169" s="62">
        <f t="shared" si="144"/>
        <v>250.47702091764884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414.9045204114143</v>
      </c>
      <c r="BJ169" s="62">
        <f t="shared" si="146"/>
        <v>260.29028006191834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-5.3205440053716299E-14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189.27804790161417</v>
      </c>
      <c r="T170" s="62">
        <f t="shared" si="142"/>
        <v>212.39018594432073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0.32750504602482944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0.32750504602482944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398.11190027805549</v>
      </c>
      <c r="AO170" s="62">
        <f t="shared" si="144"/>
        <v>250.47702091764884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414.9045204114143</v>
      </c>
      <c r="BJ170" s="62">
        <f t="shared" si="146"/>
        <v>260.29028006191834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-5.3205440053716299E-14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189.27804790161417</v>
      </c>
      <c r="T171" s="62">
        <f t="shared" si="142"/>
        <v>212.39018594432073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0.32108287183063611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0.32108287183063611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398.11190027805549</v>
      </c>
      <c r="AO171" s="62">
        <f t="shared" si="144"/>
        <v>250.47702091764884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414.9045204114143</v>
      </c>
      <c r="BJ171" s="62">
        <f t="shared" si="146"/>
        <v>260.29028006191834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-5.3205440053716299E-14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189.27804790161417</v>
      </c>
      <c r="T172" s="62">
        <f t="shared" si="142"/>
        <v>212.39018594432073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0.31478663255525141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0.31478663255525141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398.11190027805549</v>
      </c>
      <c r="AO172" s="62">
        <f t="shared" si="144"/>
        <v>250.47702091764884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414.9045204114143</v>
      </c>
      <c r="BJ172" s="62">
        <f t="shared" si="146"/>
        <v>260.29028006191834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-5.3205440053716299E-14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189.27804790161417</v>
      </c>
      <c r="T173" s="62">
        <f t="shared" si="142"/>
        <v>212.39018594432073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0.3086138586917303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0.3086138586917303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398.11190027805549</v>
      </c>
      <c r="AO173" s="62">
        <f t="shared" si="144"/>
        <v>250.47702091764884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414.9045204114143</v>
      </c>
      <c r="BJ173" s="62">
        <f t="shared" si="146"/>
        <v>260.29028006191834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-5.3205440053716299E-14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189.27804790161417</v>
      </c>
      <c r="T174" s="62">
        <f t="shared" si="142"/>
        <v>212.39018594432073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0.30256212915865255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0.30256212915865255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398.11190027805549</v>
      </c>
      <c r="AO174" s="62">
        <f t="shared" si="144"/>
        <v>250.47702091764884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414.9045204114143</v>
      </c>
      <c r="BJ174" s="62">
        <f t="shared" si="146"/>
        <v>260.29028006191834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-5.3205440053716299E-14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189.27804790161417</v>
      </c>
      <c r="T175" s="62">
        <f t="shared" si="142"/>
        <v>212.39018594432073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0.29662907035052788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0.29662907035052788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398.11190027805549</v>
      </c>
      <c r="AO175" s="62">
        <f t="shared" si="144"/>
        <v>250.47702091764884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414.9045204114143</v>
      </c>
      <c r="BJ175" s="62">
        <f t="shared" si="146"/>
        <v>260.29028006191834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-5.3205440053716299E-14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189.27804790161417</v>
      </c>
      <c r="T176" s="62">
        <f t="shared" si="142"/>
        <v>212.39018594432073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0.29081235520682197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0.29081235520682197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398.11190027805549</v>
      </c>
      <c r="AO176" s="62">
        <f t="shared" si="144"/>
        <v>250.47702091764884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414.9045204114143</v>
      </c>
      <c r="BJ176" s="62">
        <f t="shared" si="146"/>
        <v>260.29028006191834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-5.3205440053716299E-14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189.27804790161417</v>
      </c>
      <c r="T177" s="62">
        <f t="shared" si="142"/>
        <v>212.39018594432073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0.28510970229923827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0.28510970229923827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398.11190027805549</v>
      </c>
      <c r="AO177" s="62">
        <f t="shared" si="144"/>
        <v>250.47702091764884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414.9045204114143</v>
      </c>
      <c r="BJ177" s="62">
        <f t="shared" si="146"/>
        <v>260.29028006191834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-5.3205440053716299E-14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189.27804790161417</v>
      </c>
      <c r="T178" s="62">
        <f t="shared" si="142"/>
        <v>212.39018594432073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0.27951887493689742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0.27951887493689742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398.11190027805549</v>
      </c>
      <c r="AO178" s="62">
        <f t="shared" si="144"/>
        <v>250.47702091764884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414.9045204114143</v>
      </c>
      <c r="BJ178" s="62">
        <f t="shared" si="146"/>
        <v>260.29028006191834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-5.3205440053716299E-14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189.27804790161417</v>
      </c>
      <c r="T179" s="62">
        <f t="shared" si="142"/>
        <v>212.39018594432073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0.27403768028906411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0.27403768028906411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398.11190027805549</v>
      </c>
      <c r="AO179" s="62">
        <f t="shared" si="144"/>
        <v>250.47702091764884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414.9045204114143</v>
      </c>
      <c r="BJ179" s="62">
        <f t="shared" si="146"/>
        <v>260.29028006191834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-5.3205440053716299E-14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189.27804790161417</v>
      </c>
      <c r="T180" s="62">
        <f t="shared" si="142"/>
        <v>212.39018594432073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0.26866396852507618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0.26866396852507618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398.11190027805549</v>
      </c>
      <c r="AO180" s="62">
        <f t="shared" si="144"/>
        <v>250.47702091764884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414.9045204114143</v>
      </c>
      <c r="BJ180" s="62">
        <f t="shared" si="146"/>
        <v>260.29028006191834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-5.3205440053716299E-14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189.27804790161417</v>
      </c>
      <c r="T181" s="62">
        <f t="shared" si="142"/>
        <v>212.39018594432073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0.26339563197113952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0.26339563197113952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398.11190027805549</v>
      </c>
      <c r="AO181" s="62">
        <f t="shared" si="144"/>
        <v>250.47702091764884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414.9045204114143</v>
      </c>
      <c r="BJ181" s="62">
        <f t="shared" si="146"/>
        <v>260.29028006191834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-5.3205440053716299E-14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189.27804790161417</v>
      </c>
      <c r="T182" s="62">
        <f t="shared" si="142"/>
        <v>212.39018594432073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0.25823060428365757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0.25823060428365757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398.11190027805549</v>
      </c>
      <c r="AO182" s="62">
        <f t="shared" si="144"/>
        <v>250.47702091764884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414.9045204114143</v>
      </c>
      <c r="BJ182" s="62">
        <f t="shared" si="146"/>
        <v>260.29028006191834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-5.3205440053716299E-14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189.27804790161417</v>
      </c>
      <c r="T183" s="62">
        <f t="shared" si="142"/>
        <v>212.39018594432073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0.25316685963877134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0.25316685963877134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398.11190027805549</v>
      </c>
      <c r="AO183" s="62">
        <f t="shared" si="144"/>
        <v>250.47702091764884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414.9045204114143</v>
      </c>
      <c r="BJ183" s="62">
        <f t="shared" si="146"/>
        <v>260.29028006191834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-5.3205440053716299E-14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189.27804790161417</v>
      </c>
      <c r="T184" s="62">
        <f t="shared" si="142"/>
        <v>212.39018594432073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0.24820241193779205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0.24820241193779205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398.11190027805549</v>
      </c>
      <c r="AO184" s="62">
        <f t="shared" si="144"/>
        <v>250.47702091764884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414.9045204114143</v>
      </c>
      <c r="BJ184" s="62">
        <f t="shared" si="146"/>
        <v>260.29028006191834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-5.3205440053716299E-14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189.27804790161417</v>
      </c>
      <c r="T185" s="62">
        <f t="shared" si="142"/>
        <v>212.39018594432073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0.24333531402821484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0.24333531402821484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398.11190027805549</v>
      </c>
      <c r="AO185" s="62">
        <f t="shared" si="144"/>
        <v>250.47702091764884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414.9045204114143</v>
      </c>
      <c r="BJ185" s="62">
        <f t="shared" si="146"/>
        <v>260.29028006191834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-5.3205440053716299E-14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189.27804790161417</v>
      </c>
      <c r="T186" s="62">
        <f t="shared" si="142"/>
        <v>212.39018594432073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0.23856365694000786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0.23856365694000786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398.11190027805549</v>
      </c>
      <c r="AO186" s="62">
        <f t="shared" si="144"/>
        <v>250.47702091764884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414.9045204114143</v>
      </c>
      <c r="BJ186" s="62">
        <f t="shared" si="146"/>
        <v>260.29028006191834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-5.3205440053716299E-14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189.27804790161417</v>
      </c>
      <c r="T187" s="62">
        <f t="shared" si="142"/>
        <v>212.39018594432073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0.23388556913687716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0.23388556913687716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398.11190027805549</v>
      </c>
      <c r="AO187" s="62">
        <f t="shared" si="144"/>
        <v>250.47702091764884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414.9045204114143</v>
      </c>
      <c r="BJ187" s="62">
        <f t="shared" si="146"/>
        <v>260.29028006191834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-5.3205440053716299E-14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189.27804790161417</v>
      </c>
      <c r="T188" s="62">
        <f t="shared" si="142"/>
        <v>212.39018594432073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0.22929921578221404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0.22929921578221404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398.11190027805549</v>
      </c>
      <c r="AO188" s="62">
        <f t="shared" si="144"/>
        <v>250.47702091764884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414.9045204114143</v>
      </c>
      <c r="BJ188" s="62">
        <f t="shared" si="146"/>
        <v>260.29028006191834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-5.3205440053716299E-14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189.27804790161417</v>
      </c>
      <c r="T189" s="62">
        <f t="shared" si="142"/>
        <v>212.39018594432073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0.22480279801943656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0.22480279801943656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398.11190027805549</v>
      </c>
      <c r="AO189" s="62">
        <f t="shared" si="144"/>
        <v>250.47702091764884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414.9045204114143</v>
      </c>
      <c r="BJ189" s="62">
        <f t="shared" si="146"/>
        <v>260.29028006191834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-5.3205440053716299E-14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189.27804790161417</v>
      </c>
      <c r="T190" s="62">
        <f t="shared" si="142"/>
        <v>212.39018594432073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0.22039455226644311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0.22039455226644311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398.11190027805549</v>
      </c>
      <c r="AO190" s="62">
        <f t="shared" si="144"/>
        <v>250.47702091764884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414.9045204114143</v>
      </c>
      <c r="BJ190" s="62">
        <f t="shared" si="146"/>
        <v>260.29028006191834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-5.3205440053716299E-14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189.27804790161417</v>
      </c>
      <c r="T191" s="62">
        <f t="shared" si="142"/>
        <v>212.39018594432073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0.21607274952390143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0.21607274952390143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398.11190027805549</v>
      </c>
      <c r="AO191" s="62">
        <f t="shared" si="144"/>
        <v>250.47702091764884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414.9045204114143</v>
      </c>
      <c r="BJ191" s="62">
        <f t="shared" si="146"/>
        <v>260.29028006191834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-5.3205440053716299E-14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189.27804790161417</v>
      </c>
      <c r="T192" s="62">
        <f t="shared" si="142"/>
        <v>212.39018594432073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0.21183569469710162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0.21183569469710162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398.11190027805549</v>
      </c>
      <c r="AO192" s="62">
        <f t="shared" si="144"/>
        <v>250.47702091764884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414.9045204114143</v>
      </c>
      <c r="BJ192" s="62">
        <f t="shared" si="146"/>
        <v>260.29028006191834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-5.3205440053716299E-14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189.27804790161417</v>
      </c>
      <c r="T193" s="62">
        <f t="shared" si="142"/>
        <v>212.39018594432073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0.20768172593110709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0.20768172593110709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398.11190027805549</v>
      </c>
      <c r="AO193" s="62">
        <f t="shared" si="144"/>
        <v>250.47702091764884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414.9045204114143</v>
      </c>
      <c r="BJ193" s="62">
        <f t="shared" si="146"/>
        <v>260.29028006191834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-5.3205440053716299E-14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189.27804790161417</v>
      </c>
      <c r="T194" s="62">
        <f t="shared" si="142"/>
        <v>212.39018594432073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0.20360921395894294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0.20360921395894294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398.11190027805549</v>
      </c>
      <c r="AO194" s="62">
        <f t="shared" si="144"/>
        <v>250.47702091764884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414.9045204114143</v>
      </c>
      <c r="BJ194" s="62">
        <f t="shared" si="146"/>
        <v>260.29028006191834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-5.3205440053716299E-14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189.27804790161417</v>
      </c>
      <c r="T195" s="62">
        <f t="shared" si="142"/>
        <v>212.39018594432073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0.1996165614625659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0.1996165614625659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398.11190027805549</v>
      </c>
      <c r="AO195" s="62">
        <f t="shared" si="144"/>
        <v>250.47702091764884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414.9045204114143</v>
      </c>
      <c r="BJ195" s="62">
        <f t="shared" si="146"/>
        <v>260.29028006191834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-5.3205440053716299E-14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189.27804790161417</v>
      </c>
      <c r="T196" s="62">
        <f t="shared" si="142"/>
        <v>212.39018594432073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0.19570220244636527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0.19570220244636527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398.11190027805549</v>
      </c>
      <c r="AO196" s="62">
        <f t="shared" si="144"/>
        <v>250.47702091764884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414.9045204114143</v>
      </c>
      <c r="BJ196" s="62">
        <f t="shared" si="146"/>
        <v>260.29028006191834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-5.3205440053716299E-14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189.27804790161417</v>
      </c>
      <c r="T197" s="62">
        <f t="shared" ref="T197:T203" si="204">$T$3</f>
        <v>212.39018594432073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0.19186460162294908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0.19186460162294908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398.11190027805549</v>
      </c>
      <c r="AO197" s="62">
        <f t="shared" ref="AO197:AO203" si="205">$AO$3</f>
        <v>250.47702091764884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414.9045204114143</v>
      </c>
      <c r="BJ197" s="62">
        <f t="shared" ref="BJ197:BJ203" si="206">$BJ$3</f>
        <v>260.29028006191834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-5.3205440053716299E-14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189.27804790161417</v>
      </c>
      <c r="T198" s="62">
        <f t="shared" si="204"/>
        <v>212.39018594432073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0.1881022538109747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0.1881022538109747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398.11190027805549</v>
      </c>
      <c r="AO198" s="62">
        <f t="shared" si="205"/>
        <v>250.47702091764884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414.9045204114143</v>
      </c>
      <c r="BJ198" s="62">
        <f t="shared" si="206"/>
        <v>260.29028006191834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-5.3205440053716299E-14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189.27804790161417</v>
      </c>
      <c r="T199" s="62">
        <f t="shared" si="204"/>
        <v>212.39018594432073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0.18441368334478755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0.18441368334478755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398.11190027805549</v>
      </c>
      <c r="AO199" s="62">
        <f t="shared" si="205"/>
        <v>250.47702091764884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414.9045204114143</v>
      </c>
      <c r="BJ199" s="62">
        <f t="shared" si="206"/>
        <v>260.29028006191834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-5.3205440053716299E-14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189.27804790161417</v>
      </c>
      <c r="T200" s="62">
        <f t="shared" si="204"/>
        <v>212.39018594432073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0.18079744349563651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0.18079744349563651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398.11190027805549</v>
      </c>
      <c r="AO200" s="62">
        <f t="shared" si="205"/>
        <v>250.47702091764884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414.9045204114143</v>
      </c>
      <c r="BJ200" s="62">
        <f t="shared" si="206"/>
        <v>260.29028006191834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-5.3205440053716299E-14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189.27804790161417</v>
      </c>
      <c r="T201" s="62">
        <f t="shared" si="204"/>
        <v>212.39018594432073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0.17725211590423881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0.17725211590423881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398.11190027805549</v>
      </c>
      <c r="AO201" s="62">
        <f t="shared" si="205"/>
        <v>250.47702091764884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414.9045204114143</v>
      </c>
      <c r="BJ201" s="62">
        <f t="shared" si="206"/>
        <v>260.29028006191834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-5.3205440053716299E-14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189.27804790161417</v>
      </c>
      <c r="T202" s="62">
        <f t="shared" si="204"/>
        <v>212.39018594432073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0.17377631002447211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0.17377631002447211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398.11190027805549</v>
      </c>
      <c r="AO202" s="62">
        <f t="shared" si="205"/>
        <v>250.47702091764884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414.9045204114143</v>
      </c>
      <c r="BJ202" s="62">
        <f t="shared" si="206"/>
        <v>260.29028006191834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-5.3205440053716299E-14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189.27804790161417</v>
      </c>
      <c r="T203" s="62">
        <f t="shared" si="204"/>
        <v>212.39018594432073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0.17036866257797537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0.17036866257797537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398.11190027805549</v>
      </c>
      <c r="AO203" s="62">
        <f t="shared" si="205"/>
        <v>250.47702091764884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414.9045204114143</v>
      </c>
      <c r="BJ203" s="62">
        <f t="shared" si="206"/>
        <v>260.29028006191834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1.2677537154322802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1.2054868146447177</v>
      </c>
      <c r="BA205" s="88">
        <f>EXP(LN('Données projet'!B88)/'Données projet'!A88)</f>
        <v>1.2054868146447177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77734375" style="5" bestFit="1" customWidth="1"/>
    <col min="3" max="3" width="11.77734375" style="5" bestFit="1" customWidth="1"/>
    <col min="4" max="4" width="40" style="5" bestFit="1" customWidth="1"/>
    <col min="5" max="5" width="11.77734375" style="5" bestFit="1" customWidth="1"/>
    <col min="6" max="6" width="13.77734375" style="5" bestFit="1" customWidth="1"/>
    <col min="7" max="7" width="11.44140625" style="5" bestFit="1" customWidth="1"/>
    <col min="8" max="8" width="39" style="5" bestFit="1" customWidth="1"/>
    <col min="9" max="9" width="16.7773437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I8" sqref="I8"/>
    </sheetView>
  </sheetViews>
  <sheetFormatPr baseColWidth="10" defaultColWidth="11.44140625" defaultRowHeight="14.4" x14ac:dyDescent="0.3"/>
  <cols>
    <col min="1" max="1" width="22.777343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Cèdre de l'Atlas</v>
      </c>
      <c r="B6" s="155">
        <f>'Données projet'!D9</f>
        <v>1.1005</v>
      </c>
      <c r="C6" s="156">
        <f ca="1">IF(OR('Données projet'!B9="",'Données projet'!C9="",'Données projet'!C9=0%),0,Calculateur!S3)</f>
        <v>189.27804790161417</v>
      </c>
      <c r="D6" s="156">
        <f>IF(OR('Données projet'!B9="",'Données projet'!C9="",'Données projet'!C9=0%),0,Calculateur!T3)</f>
        <v>212.39018594432073</v>
      </c>
      <c r="E6" s="156">
        <f ca="1">MIN(C6,D6)</f>
        <v>189.27804790161417</v>
      </c>
      <c r="F6" s="156">
        <f ca="1">E6*B6</f>
        <v>208.30049171572639</v>
      </c>
      <c r="G6" s="156">
        <f ca="1">F6*(100%-'Données projet'!$C$24)*(100%-'Données projet'!$C$25)*(100%-'Données projet'!$C$26)*(100%-'Données projet'!$C$27)</f>
        <v>178.09692041694606</v>
      </c>
      <c r="H6" s="157">
        <f>IF(OR('Données projet'!B9="",'Données projet'!C9="",'Données projet'!C9=0%),0,AVERAGE(Calculateur!$AC$3:$AC$33)*B6)</f>
        <v>0.50847736591035575</v>
      </c>
      <c r="I6" s="158">
        <f>H6*(100%-'Données projet'!$C$24)*(100%-'Données projet'!$C$25)*(100%-'Données projet'!$C$26)*(100%-'Données projet'!$C$27)</f>
        <v>0.43474814785335414</v>
      </c>
      <c r="J6" s="159">
        <f>IF(OR('Données projet'!B9="",'Données projet'!C9="",'Données projet'!C9=0%),0,SUM(Calculateur!$V$3:$V$33)*VLOOKUP('Données projet'!$B$9,Paramètres!$A$1:$I$89,9,0)*B6)</f>
        <v>33.125050000000002</v>
      </c>
      <c r="K6" s="160">
        <f>J6*(100%-'Données projet'!$C$24)*(100%-'Données projet'!$C$25)*(100%-'Données projet'!$C$26)*(100%-'Données projet'!$C$27)</f>
        <v>28.321917750000001</v>
      </c>
      <c r="L6" s="161">
        <f ca="1">G6+I6+K6</f>
        <v>206.85358631479943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 sessile</v>
      </c>
      <c r="B7" s="163">
        <f>'Données projet'!D10</f>
        <v>1.2988999999999999</v>
      </c>
      <c r="C7" s="156">
        <f ca="1">IF(OR('Données projet'!B10="",'Données projet'!C10="",'Données projet'!C10=0%),0,Calculateur!AN3)</f>
        <v>398.11190027805549</v>
      </c>
      <c r="D7" s="156">
        <f>IF(OR('Données projet'!B10="",'Données projet'!C10="",'Données projet'!C10=0%),0,Calculateur!AO3)</f>
        <v>250.47702091764884</v>
      </c>
      <c r="E7" s="156">
        <f t="shared" ref="E7:E15" ca="1" si="0">MIN(C7,D7)</f>
        <v>250.47702091764884</v>
      </c>
      <c r="F7" s="156">
        <f t="shared" ref="F7:F15" ca="1" si="1">E7*B7</f>
        <v>325.34460246993405</v>
      </c>
      <c r="G7" s="156">
        <f ca="1">F7*(100%-'Données projet'!$C$24)*(100%-'Données projet'!$C$25)*(100%-'Données projet'!$C$26)*(100%-'Données projet'!$C$27)</f>
        <v>278.16963511179364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9.4170249999999989</v>
      </c>
      <c r="K7" s="160">
        <f>J7*(100%-'Données projet'!$C$24)*(100%-'Données projet'!$C$25)*(100%-'Données projet'!$C$26)*(100%-'Données projet'!$C$27)</f>
        <v>8.0515563749999988</v>
      </c>
      <c r="L7" s="161">
        <f t="shared" ref="L7:L15" ca="1" si="2">G7+I7+K7</f>
        <v>286.22119148679366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Charme</v>
      </c>
      <c r="B8" s="163">
        <f>'Données projet'!D11</f>
        <v>0.7006</v>
      </c>
      <c r="C8" s="156">
        <f ca="1">IF(OR('Données projet'!B11="",'Données projet'!C11="",'Données projet'!C11=0%),0,Calculateur!BI3)</f>
        <v>414.9045204114143</v>
      </c>
      <c r="D8" s="156">
        <f>IF(OR('Données projet'!B11="",'Données projet'!C11="",'Données projet'!C11=0%),0,Calculateur!BJ3)</f>
        <v>260.29028006191834</v>
      </c>
      <c r="E8" s="156">
        <f t="shared" ca="1" si="0"/>
        <v>260.29028006191834</v>
      </c>
      <c r="F8" s="156">
        <f t="shared" ca="1" si="1"/>
        <v>182.35937021138</v>
      </c>
      <c r="G8" s="156">
        <f ca="1">F8*(100%-'Données projet'!$C$24)*(100%-'Données projet'!$C$25)*(100%-'Données projet'!$C$26)*(100%-'Données projet'!$C$27)</f>
        <v>155.91726153072989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5.0793499999999998</v>
      </c>
      <c r="K8" s="160">
        <f>J8*(100%-'Données projet'!$C$24)*(100%-'Données projet'!$C$25)*(100%-'Données projet'!$C$26)*(100%-'Données projet'!$C$27)</f>
        <v>4.3428442499999997</v>
      </c>
      <c r="L8" s="161">
        <f t="shared" ca="1" si="2"/>
        <v>160.2601057807299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716.00446439704046</v>
      </c>
      <c r="G16" s="175">
        <f t="shared" ca="1" si="3"/>
        <v>612.18381705946956</v>
      </c>
      <c r="H16" s="176">
        <f t="shared" si="3"/>
        <v>0.50847736591035575</v>
      </c>
      <c r="I16" s="176">
        <f t="shared" si="3"/>
        <v>0.43474814785335414</v>
      </c>
      <c r="J16" s="177">
        <f t="shared" si="3"/>
        <v>47.621424999999995</v>
      </c>
      <c r="K16" s="177">
        <f t="shared" si="3"/>
        <v>40.716318375</v>
      </c>
      <c r="L16" s="178">
        <f t="shared" ca="1" si="3"/>
        <v>653.33488358232296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Charme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A12" zoomScale="90" zoomScaleNormal="90" workbookViewId="0">
      <selection activeCell="C85" sqref="C85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21875" style="1" bestFit="1" customWidth="1"/>
    <col min="4" max="5" width="11.44140625" style="1"/>
    <col min="6" max="6" width="14" style="3" customWidth="1"/>
    <col min="7" max="7" width="17.5546875" style="3" customWidth="1"/>
    <col min="8" max="8" width="21.7773437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218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-1313.8380794749633</v>
      </c>
      <c r="U10" s="190">
        <f>'Données projet'!D9</f>
        <v>1.1005</v>
      </c>
      <c r="V10" s="189">
        <f>U10*T10</f>
        <v>-1445.8788064621972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-2466.8557614695992</v>
      </c>
      <c r="U11" s="190">
        <f>'Données projet'!D10</f>
        <v>1.2988999999999999</v>
      </c>
      <c r="V11" s="189">
        <f t="shared" ref="V11" si="0">U11*T11</f>
        <v>-3204.1989485728623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Charme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-1391.0315856454231</v>
      </c>
      <c r="U12" s="190">
        <f>'Données projet'!D11</f>
        <v>0.7006</v>
      </c>
      <c r="V12" s="189">
        <f t="shared" ref="V12:V19" si="1">U12*T12</f>
        <v>-974.5567289031834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>
        <f>(1334/1.1)+(3022.5/3.1)</f>
        <v>2187.7272727272725</v>
      </c>
      <c r="F17" s="261" t="s">
        <v>325</v>
      </c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1</v>
      </c>
      <c r="I20" s="204">
        <f>100</f>
        <v>100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30</v>
      </c>
      <c r="C23" s="206">
        <v>6</v>
      </c>
      <c r="D23" s="194">
        <f>B23*C23</f>
        <v>180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-5921.2852016415918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30</v>
      </c>
      <c r="B24" s="193">
        <f>'Données projet'!D37</f>
        <v>40</v>
      </c>
      <c r="C24" s="206">
        <v>10</v>
      </c>
      <c r="D24" s="194">
        <f t="shared" ref="D24:D42" si="2">B24*C24</f>
        <v>400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5596.2055420469969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40</v>
      </c>
      <c r="B25" s="193">
        <f>'Données projet'!D38</f>
        <v>50</v>
      </c>
      <c r="C25" s="206">
        <v>14</v>
      </c>
      <c r="D25" s="194">
        <f t="shared" si="2"/>
        <v>700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80</v>
      </c>
      <c r="Q25" s="265"/>
      <c r="R25" s="25"/>
      <c r="S25" s="198" t="s">
        <v>266</v>
      </c>
      <c r="T25" s="336">
        <f ca="1">T23-T24</f>
        <v>-11517.490743688588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50</v>
      </c>
      <c r="B26" s="193">
        <f>'Données projet'!D39</f>
        <v>60</v>
      </c>
      <c r="C26" s="206">
        <v>15</v>
      </c>
      <c r="D26" s="194">
        <f t="shared" si="2"/>
        <v>900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60</v>
      </c>
      <c r="B27" s="193">
        <f>'Données projet'!D40</f>
        <v>70</v>
      </c>
      <c r="C27" s="206">
        <v>20</v>
      </c>
      <c r="D27" s="194">
        <f t="shared" si="2"/>
        <v>1400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70</v>
      </c>
      <c r="B28" s="193">
        <f>'Données projet'!D41</f>
        <v>80</v>
      </c>
      <c r="C28" s="206">
        <v>30</v>
      </c>
      <c r="D28" s="194">
        <f t="shared" si="2"/>
        <v>2400</v>
      </c>
      <c r="E28" s="206"/>
      <c r="F28" s="264"/>
      <c r="G28" s="222"/>
      <c r="H28" s="203"/>
      <c r="I28" s="204"/>
      <c r="K28" s="225"/>
      <c r="L28" s="1" t="s">
        <v>324</v>
      </c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80</v>
      </c>
      <c r="B29" s="193">
        <f>'Données projet'!D42</f>
        <v>222</v>
      </c>
      <c r="C29" s="206">
        <v>40</v>
      </c>
      <c r="D29" s="194">
        <f t="shared" si="2"/>
        <v>8880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1805.2275942087088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80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76.555023923444978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73.258396098990417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70.103728324392748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67.084907487457187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64.19608372005473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61.431659062253345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58.786276614596495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56.254810157508629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53.832354217711611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51.51421456240346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49.295899102778435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47.173109189261666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45.141731281590111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43.197828977598206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>
        <f>(2420/1.3)+(3022.5/3.1)</f>
        <v>2836.5384615384614</v>
      </c>
      <c r="F48" s="262" t="s">
        <v>326</v>
      </c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41.337635385261436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39.557545823216699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37.854110835614065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36.224029507764662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34.664143069631258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33.171428774766767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31.742994042839005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25</v>
      </c>
      <c r="B55" s="193">
        <f>'Données projet'!D63</f>
        <v>8</v>
      </c>
      <c r="C55" s="204">
        <v>0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30.376070854391404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30</v>
      </c>
      <c r="B56" s="193">
        <f>'Données projet'!D64</f>
        <v>21</v>
      </c>
      <c r="C56" s="204">
        <v>4</v>
      </c>
      <c r="D56" s="191">
        <f t="shared" si="4"/>
        <v>84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29.068010386977416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35</v>
      </c>
      <c r="B57" s="193">
        <f>'Données projet'!D65</f>
        <v>21</v>
      </c>
      <c r="C57" s="204">
        <v>5</v>
      </c>
      <c r="D57" s="191">
        <f t="shared" si="4"/>
        <v>105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27.816277882275045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40</v>
      </c>
      <c r="B58" s="193">
        <f>'Données projet'!D66</f>
        <v>21</v>
      </c>
      <c r="C58" s="204">
        <v>7</v>
      </c>
      <c r="D58" s="191">
        <f t="shared" si="4"/>
        <v>147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26.618447734234497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45</v>
      </c>
      <c r="B59" s="193">
        <f>'Données projet'!D67</f>
        <v>21</v>
      </c>
      <c r="C59" s="204">
        <v>9</v>
      </c>
      <c r="D59" s="191">
        <f t="shared" si="4"/>
        <v>189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25.472198788741153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50</v>
      </c>
      <c r="B60" s="193">
        <f>'Données projet'!D68</f>
        <v>21</v>
      </c>
      <c r="C60" s="204">
        <v>10</v>
      </c>
      <c r="D60" s="191">
        <f t="shared" si="4"/>
        <v>210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24.375309845685312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55</v>
      </c>
      <c r="B61" s="193">
        <f>'Données projet'!D69</f>
        <v>21</v>
      </c>
      <c r="C61" s="204">
        <v>11</v>
      </c>
      <c r="D61" s="191">
        <f t="shared" si="4"/>
        <v>231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23.325655354722791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60</v>
      </c>
      <c r="B62" s="193">
        <f>'Données projet'!D70</f>
        <v>21</v>
      </c>
      <c r="C62" s="204">
        <v>11</v>
      </c>
      <c r="D62" s="191">
        <f t="shared" si="4"/>
        <v>231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22.321201296385443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65</v>
      </c>
      <c r="B63" s="193">
        <f>'Données projet'!D71</f>
        <v>21</v>
      </c>
      <c r="C63" s="204">
        <v>11</v>
      </c>
      <c r="D63" s="191">
        <f t="shared" si="4"/>
        <v>231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21.360001240560241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70</v>
      </c>
      <c r="B64" s="193">
        <f>'Données projet'!D72</f>
        <v>21</v>
      </c>
      <c r="C64" s="204">
        <v>11</v>
      </c>
      <c r="D64" s="191">
        <f t="shared" si="4"/>
        <v>231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20.440192574698791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75</v>
      </c>
      <c r="B65" s="193">
        <f>'Données projet'!D73</f>
        <v>21</v>
      </c>
      <c r="C65" s="204">
        <v>13</v>
      </c>
      <c r="D65" s="191">
        <f t="shared" si="4"/>
        <v>273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19.559992894448612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80</v>
      </c>
      <c r="B66" s="193">
        <f>'Données projet'!D74</f>
        <v>21</v>
      </c>
      <c r="C66" s="204">
        <v>13</v>
      </c>
      <c r="D66" s="191">
        <f t="shared" si="4"/>
        <v>273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18.717696549711594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85</v>
      </c>
      <c r="B67" s="193">
        <f>'Données projet'!D75</f>
        <v>21</v>
      </c>
      <c r="C67" s="204">
        <v>15</v>
      </c>
      <c r="D67" s="191">
        <f t="shared" si="4"/>
        <v>315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17.911671339436936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90</v>
      </c>
      <c r="B68" s="193">
        <f>'Données projet'!D76</f>
        <v>21</v>
      </c>
      <c r="C68" s="204">
        <v>15</v>
      </c>
      <c r="D68" s="191">
        <f t="shared" si="4"/>
        <v>315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17.14035534874348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95</v>
      </c>
      <c r="B69" s="193">
        <f>'Données projet'!D77</f>
        <v>21</v>
      </c>
      <c r="C69" s="204">
        <v>25</v>
      </c>
      <c r="D69" s="191">
        <f t="shared" si="4"/>
        <v>525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16.402253922242565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100</v>
      </c>
      <c r="B70" s="193">
        <f>'Données projet'!D78</f>
        <v>21</v>
      </c>
      <c r="C70" s="204">
        <v>35</v>
      </c>
      <c r="D70" s="191">
        <f t="shared" si="4"/>
        <v>735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15.695936767696237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105</v>
      </c>
      <c r="B71" s="193">
        <f>'Données projet'!D79</f>
        <v>20</v>
      </c>
      <c r="C71" s="204">
        <v>35</v>
      </c>
      <c r="D71" s="191">
        <f t="shared" si="4"/>
        <v>700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15.020035184398315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110</v>
      </c>
      <c r="B72" s="193">
        <f>'Données projet'!D80</f>
        <v>19</v>
      </c>
      <c r="C72" s="204">
        <v>50</v>
      </c>
      <c r="D72" s="191">
        <f t="shared" si="4"/>
        <v>950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14.373239410907479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115</v>
      </c>
      <c r="B73" s="193">
        <f>'Données projet'!D81</f>
        <v>285</v>
      </c>
      <c r="C73" s="204">
        <v>70</v>
      </c>
      <c r="D73" s="191">
        <f t="shared" si="4"/>
        <v>19950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13.754296086992806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13.1620058248735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12.595220885046414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Charme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12.052842952197524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11.533821006887585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11.03714928888764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>
        <f>(550/0.7)+(3022.5/3.1)</f>
        <v>1760.7142857142858</v>
      </c>
      <c r="F79" s="262" t="s">
        <v>327</v>
      </c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10.561865348217841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10.107048180112765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9.6718164402993008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9.2553267371285184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8.8567719972521726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8.4753799016767193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20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8.1104113891643266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25</v>
      </c>
      <c r="B86" s="193">
        <f>'Données projet'!D89</f>
        <v>8</v>
      </c>
      <c r="C86" s="204">
        <v>0</v>
      </c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7.7611592240806955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30</v>
      </c>
      <c r="B87" s="193">
        <f>'Données projet'!D90</f>
        <v>21</v>
      </c>
      <c r="C87" s="204">
        <v>4</v>
      </c>
      <c r="D87" s="191">
        <f t="shared" si="6"/>
        <v>84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7.4269466259145442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35</v>
      </c>
      <c r="B88" s="193">
        <f>'Données projet'!D91</f>
        <v>21</v>
      </c>
      <c r="C88" s="204">
        <v>5</v>
      </c>
      <c r="D88" s="191">
        <f t="shared" si="6"/>
        <v>105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7.1071259578129595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40</v>
      </c>
      <c r="B89" s="193">
        <f>'Données projet'!D92</f>
        <v>21</v>
      </c>
      <c r="C89" s="204">
        <v>7</v>
      </c>
      <c r="D89" s="191">
        <f t="shared" si="6"/>
        <v>147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6.8010774715913502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45</v>
      </c>
      <c r="B90" s="193">
        <f>'Données projet'!D93</f>
        <v>21</v>
      </c>
      <c r="C90" s="204">
        <v>9</v>
      </c>
      <c r="D90" s="191">
        <f t="shared" si="6"/>
        <v>189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6.5082081067859825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50</v>
      </c>
      <c r="B91" s="193">
        <f>'Données projet'!D94</f>
        <v>21</v>
      </c>
      <c r="C91" s="204">
        <v>10</v>
      </c>
      <c r="D91" s="191">
        <f t="shared" si="6"/>
        <v>210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6.2279503414219937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55</v>
      </c>
      <c r="B92" s="193">
        <f>'Données projet'!D95</f>
        <v>21</v>
      </c>
      <c r="C92" s="204">
        <v>11</v>
      </c>
      <c r="D92" s="191">
        <f t="shared" si="6"/>
        <v>231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5.9597610922698507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60</v>
      </c>
      <c r="B93" s="193">
        <f>'Données projet'!D96</f>
        <v>21</v>
      </c>
      <c r="C93" s="204">
        <v>11</v>
      </c>
      <c r="D93" s="191">
        <f t="shared" si="6"/>
        <v>231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5.7031206624591881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65</v>
      </c>
      <c r="B94" s="193">
        <f>'Données projet'!D97</f>
        <v>21</v>
      </c>
      <c r="C94" s="204">
        <v>11</v>
      </c>
      <c r="D94" s="191">
        <f t="shared" si="6"/>
        <v>231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5.457531734410705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70</v>
      </c>
      <c r="B95" s="193">
        <f>'Données projet'!D98</f>
        <v>21</v>
      </c>
      <c r="C95" s="204">
        <v>11</v>
      </c>
      <c r="D95" s="191">
        <f t="shared" si="6"/>
        <v>231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5.2225184061346486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75</v>
      </c>
      <c r="B96" s="193">
        <f>'Données projet'!D99</f>
        <v>21</v>
      </c>
      <c r="C96" s="204">
        <v>13</v>
      </c>
      <c r="D96" s="191">
        <f t="shared" si="6"/>
        <v>273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4.9976252690283705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80</v>
      </c>
      <c r="B97" s="193">
        <f>'Données projet'!D100</f>
        <v>21</v>
      </c>
      <c r="C97" s="204">
        <v>13</v>
      </c>
      <c r="D97" s="191">
        <f t="shared" si="6"/>
        <v>273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4.7824165253860036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85</v>
      </c>
      <c r="B98" s="193">
        <f>'Données projet'!D101</f>
        <v>21</v>
      </c>
      <c r="C98" s="204">
        <v>15</v>
      </c>
      <c r="D98" s="191">
        <f t="shared" si="6"/>
        <v>315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4.5764751439100513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90</v>
      </c>
      <c r="B99" s="193">
        <f>'Données projet'!D102</f>
        <v>21</v>
      </c>
      <c r="C99" s="204">
        <v>15</v>
      </c>
      <c r="D99" s="191">
        <f t="shared" si="6"/>
        <v>315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4.379402051588567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95</v>
      </c>
      <c r="B100" s="193">
        <f>'Données projet'!D103</f>
        <v>21</v>
      </c>
      <c r="C100" s="204">
        <v>25</v>
      </c>
      <c r="D100" s="191">
        <f t="shared" si="6"/>
        <v>525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4.1908153603718343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100</v>
      </c>
      <c r="B101" s="193">
        <f>'Données projet'!D104</f>
        <v>21</v>
      </c>
      <c r="C101" s="204">
        <v>35</v>
      </c>
      <c r="D101" s="191">
        <f t="shared" si="6"/>
        <v>735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4.0103496271500809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105</v>
      </c>
      <c r="B102" s="193">
        <f>'Données projet'!D105</f>
        <v>20</v>
      </c>
      <c r="C102" s="204">
        <v>35</v>
      </c>
      <c r="D102" s="191">
        <f t="shared" si="6"/>
        <v>700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3.837655145598164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110</v>
      </c>
      <c r="B103" s="193">
        <f>'Données projet'!D106</f>
        <v>19</v>
      </c>
      <c r="C103" s="204">
        <v>50</v>
      </c>
      <c r="D103" s="191">
        <f t="shared" si="6"/>
        <v>950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3.6723972685149904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115</v>
      </c>
      <c r="B104" s="193">
        <f>'Données projet'!D107</f>
        <v>285</v>
      </c>
      <c r="C104" s="204">
        <v>70</v>
      </c>
      <c r="D104" s="191">
        <f t="shared" si="6"/>
        <v>19950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3.5142557593444885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3.362924171621521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3.2181092551402117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3.0795303876939828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2.9469190312861078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2.8200182117570418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2.6985820208201354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2.5823751395408001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2.4711723823356939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2.3647582606083204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str">
        <f>IF(O113+1&lt;=MIN('Données projet'!$E$9:$E$18),O113+1,"STOP")</f>
        <v>STOP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2022-04-19T16:55:36Z</dcterms:modified>
</cp:coreProperties>
</file>