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T-VERGERS/3-DEPOSE/055-R-BUREAU-PDL(49)-LE BOIS DES DOLMENS-Gennes Val de Loire/"/>
    </mc:Choice>
  </mc:AlternateContent>
  <xr:revisionPtr revIDLastSave="0" documentId="13_ncr:1_{57376AB2-AA8A-3041-BBA0-96D2E6B9E1E9}" xr6:coauthVersionLast="47" xr6:coauthVersionMax="47" xr10:uidLastSave="{00000000-0000-0000-0000-000000000000}"/>
  <bookViews>
    <workbookView xWindow="-12340" yWindow="-28300" windowWidth="24400" windowHeight="2830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Valeur BO BI BE" sheetId="8" r:id="rId8"/>
  </sheets>
  <externalReferences>
    <externalReference r:id="rId9"/>
  </externalReference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I20" i="6"/>
  <c r="E17" i="6" l="1"/>
  <c r="E48" i="6"/>
  <c r="E79" i="6"/>
  <c r="C98" i="6"/>
  <c r="C99" i="6"/>
  <c r="C100" i="6"/>
  <c r="C101" i="6"/>
  <c r="C102" i="6"/>
  <c r="C103" i="6"/>
  <c r="C104" i="6"/>
  <c r="C55" i="6"/>
  <c r="C56" i="6"/>
  <c r="C57" i="6"/>
  <c r="C58" i="6"/>
  <c r="C24" i="6"/>
  <c r="C25" i="6"/>
  <c r="C26" i="6"/>
  <c r="C27" i="6"/>
  <c r="C28" i="6"/>
  <c r="C29" i="6"/>
  <c r="C30" i="6"/>
  <c r="C31" i="6"/>
  <c r="C32" i="6"/>
  <c r="C33" i="6"/>
  <c r="C34" i="6"/>
  <c r="C35" i="6"/>
  <c r="C23" i="6"/>
  <c r="D107" i="1"/>
  <c r="G62" i="1"/>
  <c r="F62" i="1"/>
  <c r="C54" i="6" s="1"/>
  <c r="C10" i="1" l="1"/>
  <c r="C11" i="1" s="1"/>
  <c r="C59" i="6" l="1"/>
  <c r="C60" i="6"/>
  <c r="C61" i="6"/>
  <c r="C36" i="6"/>
  <c r="C117" i="6" l="1"/>
  <c r="C118" i="6"/>
  <c r="C119" i="6"/>
  <c r="C120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85" i="6"/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62" i="6"/>
  <c r="C63" i="6"/>
  <c r="C64" i="6"/>
  <c r="C65" i="6"/>
  <c r="C66" i="6"/>
  <c r="C67" i="6"/>
  <c r="C68" i="6"/>
  <c r="C69" i="6"/>
  <c r="C70" i="6"/>
  <c r="C71" i="6"/>
  <c r="C72" i="6"/>
  <c r="C73" i="6"/>
  <c r="C37" i="6"/>
  <c r="C38" i="6"/>
  <c r="C39" i="6"/>
  <c r="C40" i="6"/>
  <c r="C41" i="6"/>
  <c r="C4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FR4" i="2"/>
  <c r="GL4" i="2"/>
  <c r="FQ4" i="2"/>
  <c r="EA4" i="2"/>
  <c r="HI4" i="2"/>
  <c r="BQ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C5" i="2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EC6" i="2"/>
  <c r="FR6" i="2"/>
  <c r="EA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FS7" i="2"/>
  <c r="EB7" i="2"/>
  <c r="EA7" i="2"/>
  <c r="EW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FS8" i="2" l="1"/>
  <c r="EX8" i="2"/>
  <c r="EC8" i="2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I10" i="2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FS11" i="2" l="1"/>
  <c r="HG11" i="2"/>
  <c r="EW11" i="2"/>
  <c r="EX11" i="2"/>
  <c r="EC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I16" i="2" l="1"/>
  <c r="FS16" i="2"/>
  <c r="HH16" i="2"/>
  <c r="EX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FS18" i="2"/>
  <c r="EA18" i="2"/>
  <c r="HI18" i="2"/>
  <c r="EV18" i="2"/>
  <c r="EW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EC19" i="2"/>
  <c r="FS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I20" i="2"/>
  <c r="FS20" i="2"/>
  <c r="EV20" i="2"/>
  <c r="EW20" i="2"/>
  <c r="EC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X21" i="2"/>
  <c r="HH21" i="2"/>
  <c r="EW21" i="2"/>
  <c r="EB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C22" i="2"/>
  <c r="EB22" i="2"/>
  <c r="EA22" i="2"/>
  <c r="HI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C24" i="2"/>
  <c r="HI24" i="2"/>
  <c r="FR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X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C30" i="2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HG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S35" i="2"/>
  <c r="EA35" i="2"/>
  <c r="FQ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HI39" i="2" l="1"/>
  <c r="EX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FS40" i="2" l="1"/>
  <c r="EX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G44" i="2"/>
  <c r="HI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FS46" i="2"/>
  <c r="EC46" i="2"/>
  <c r="HI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HH48" i="2"/>
  <c r="EC48" i="2"/>
  <c r="HG48" i="2"/>
  <c r="FS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EC49" i="2"/>
  <c r="HI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EX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B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C57" i="2"/>
  <c r="FS57" i="2"/>
  <c r="HH57" i="2"/>
  <c r="EB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HI58" i="2" l="1"/>
  <c r="EC58" i="2"/>
  <c r="FS58" i="2"/>
  <c r="EA58" i="2"/>
  <c r="EX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V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FS61" i="2"/>
  <c r="EX61" i="2"/>
  <c r="EA61" i="2"/>
  <c r="HI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C64" i="2"/>
  <c r="EA64" i="2"/>
  <c r="EV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FS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C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B70" i="2"/>
  <c r="HG70" i="2"/>
  <c r="FS70" i="2"/>
  <c r="HI70" i="2"/>
  <c r="EW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A71" i="2"/>
  <c r="HH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FR74" i="2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HH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FS77" i="2"/>
  <c r="EX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HH79" i="2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EC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EV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EW83" i="2"/>
  <c r="HI83" i="2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FS85" i="2"/>
  <c r="EW85" i="2"/>
  <c r="EV85" i="2"/>
  <c r="EC85" i="2"/>
  <c r="HH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A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FS87" i="2"/>
  <c r="HI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X89" i="2"/>
  <c r="EC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X91" i="2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S92" i="2" l="1"/>
  <c r="HI92" i="2"/>
  <c r="EX92" i="2"/>
  <c r="EW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HI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HI98" i="2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I99" i="2" l="1"/>
  <c r="FS99" i="2"/>
  <c r="EX99" i="2"/>
  <c r="EB99" i="2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EC102" i="2"/>
  <c r="HI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FS103" i="2"/>
  <c r="EC103" i="2"/>
  <c r="EX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FS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X109" i="2"/>
  <c r="EC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HG110" i="2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X111" i="2" l="1"/>
  <c r="FS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C114" i="2"/>
  <c r="EW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C116" i="2"/>
  <c r="EA116" i="2"/>
  <c r="HG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A117" i="2"/>
  <c r="HG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HI118" i="2"/>
  <c r="EX118" i="2"/>
  <c r="EC118" i="2"/>
  <c r="FS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EX119" i="2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EC120" i="2"/>
  <c r="FQ120" i="2"/>
  <c r="HI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EC124" i="2"/>
  <c r="HG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A126" i="2"/>
  <c r="EX126" i="2"/>
  <c r="HG126" i="2"/>
  <c r="FS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HI128" i="2"/>
  <c r="EX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C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W133" i="2"/>
  <c r="HH133" i="2"/>
  <c r="EV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C134" i="2"/>
  <c r="HG134" i="2"/>
  <c r="EV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EA135" i="2"/>
  <c r="EX135" i="2"/>
  <c r="FS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EC136" i="2"/>
  <c r="HI136" i="2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FS140" i="2"/>
  <c r="EC140" i="2"/>
  <c r="EX140" i="2"/>
  <c r="EB140" i="2"/>
  <c r="FR140" i="2"/>
  <c r="HH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I141" i="2"/>
  <c r="HG141" i="2"/>
  <c r="FS141" i="2"/>
  <c r="EB141" i="2"/>
  <c r="EA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C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HI143" i="2"/>
  <c r="EC143" i="2"/>
  <c r="EA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A144" i="2"/>
  <c r="EB144" i="2"/>
  <c r="FR144" i="2"/>
  <c r="EX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G145" i="2"/>
  <c r="EB145" i="2"/>
  <c r="HH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X146" i="2"/>
  <c r="EA146" i="2"/>
  <c r="HH146" i="2"/>
  <c r="FR146" i="2"/>
  <c r="HG146" i="2"/>
  <c r="FS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W147" i="2"/>
  <c r="EC147" i="2"/>
  <c r="EX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X149" i="2"/>
  <c r="EC149" i="2"/>
  <c r="HH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HH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FS152" i="2"/>
  <c r="EB152" i="2"/>
  <c r="EC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EB154" i="2"/>
  <c r="HG154" i="2"/>
  <c r="HJ154" i="2" s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ED154" i="2"/>
  <c r="DI154" i="2"/>
  <c r="EA155" i="2"/>
  <c r="AC154" i="2"/>
  <c r="EW155" i="2"/>
  <c r="EC155" i="2"/>
  <c r="EX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D155" i="2"/>
  <c r="EX156" i="2"/>
  <c r="EB156" i="2"/>
  <c r="DH156" i="2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CN156" i="2"/>
  <c r="FS157" i="2"/>
  <c r="EX157" i="2"/>
  <c r="EB157" i="2"/>
  <c r="EC157" i="2"/>
  <c r="EA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D157" i="2"/>
  <c r="EV158" i="2"/>
  <c r="EC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A159" i="2"/>
  <c r="EX159" i="2"/>
  <c r="FS159" i="2"/>
  <c r="EC159" i="2"/>
  <c r="HI159" i="2"/>
  <c r="ED158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DG160" i="2"/>
  <c r="EC160" i="2"/>
  <c r="ED159" i="2"/>
  <c r="EX160" i="2"/>
  <c r="FS160" i="2"/>
  <c r="HI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X161" i="2"/>
  <c r="EB161" i="2"/>
  <c r="ED160" i="2"/>
  <c r="A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DI161" i="2"/>
  <c r="EW162" i="2"/>
  <c r="HH162" i="2"/>
  <c r="HG162" i="2"/>
  <c r="FS162" i="2"/>
  <c r="EB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HI163" i="2"/>
  <c r="EY162" i="2"/>
  <c r="EB163" i="2"/>
  <c r="EC163" i="2"/>
  <c r="ED162" i="2"/>
  <c r="EA163" i="2"/>
  <c r="EV163" i="2"/>
  <c r="FS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G164" i="2"/>
  <c r="HH164" i="2"/>
  <c r="EY163" i="2"/>
  <c r="FS164" i="2"/>
  <c r="EX164" i="2"/>
  <c r="DH164" i="2"/>
  <c r="EC164" i="2"/>
  <c r="EA164" i="2"/>
  <c r="HI164" i="2"/>
  <c r="EV164" i="2"/>
  <c r="FR164" i="2"/>
  <c r="DI163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EX166" i="2"/>
  <c r="EC166" i="2"/>
  <c r="CN165" i="2"/>
  <c r="FS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Y166" i="2"/>
  <c r="FR167" i="2"/>
  <c r="EX167" i="2"/>
  <c r="EC167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DG168" i="2"/>
  <c r="EX168" i="2"/>
  <c r="EB168" i="2"/>
  <c r="EC168" i="2"/>
  <c r="DI167" i="2"/>
  <c r="FS168" i="2"/>
  <c r="EV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B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EX170" i="2"/>
  <c r="HI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HI171" i="2" l="1"/>
  <c r="EX171" i="2"/>
  <c r="EA171" i="2"/>
  <c r="EB171" i="2"/>
  <c r="FS171" i="2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Y171" i="2"/>
  <c r="ED171" i="2"/>
  <c r="EB172" i="2"/>
  <c r="EW172" i="2"/>
  <c r="EV172" i="2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I173" i="2" l="1"/>
  <c r="ED172" i="2"/>
  <c r="EW173" i="2"/>
  <c r="EC173" i="2"/>
  <c r="EB173" i="2"/>
  <c r="EX173" i="2"/>
  <c r="HH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X175" i="2"/>
  <c r="EC175" i="2"/>
  <c r="EB175" i="2"/>
  <c r="AA175" i="2"/>
  <c r="EW175" i="2"/>
  <c r="EA175" i="2"/>
  <c r="HI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FQ177" i="2"/>
  <c r="FS177" i="2"/>
  <c r="EC177" i="2"/>
  <c r="EW177" i="2"/>
  <c r="EX177" i="2"/>
  <c r="HH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D177" i="2"/>
  <c r="EW178" i="2"/>
  <c r="EB178" i="2"/>
  <c r="EA178" i="2"/>
  <c r="HH178" i="2"/>
  <c r="EX178" i="2"/>
  <c r="HG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X179" i="2"/>
  <c r="EB179" i="2"/>
  <c r="HH179" i="2"/>
  <c r="EV179" i="2"/>
  <c r="DF179" i="2"/>
  <c r="EA179" i="2"/>
  <c r="HG179" i="2"/>
  <c r="FS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HG180" i="2"/>
  <c r="HI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HG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H185" i="2"/>
  <c r="HG185" i="2"/>
  <c r="EV185" i="2"/>
  <c r="EA185" i="2"/>
  <c r="EB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D185" i="2"/>
  <c r="EW186" i="2"/>
  <c r="EB186" i="2"/>
  <c r="EA186" i="2"/>
  <c r="HH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Y186" i="2"/>
  <c r="EX187" i="2"/>
  <c r="EC187" i="2"/>
  <c r="EB187" i="2"/>
  <c r="HH187" i="2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FS188" i="2"/>
  <c r="HI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I189" i="2"/>
  <c r="HH189" i="2"/>
  <c r="EY188" i="2"/>
  <c r="EV189" i="2"/>
  <c r="EB189" i="2"/>
  <c r="EC189" i="2"/>
  <c r="FS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D189" i="2"/>
  <c r="HI190" i="2"/>
  <c r="EB190" i="2"/>
  <c r="EV190" i="2"/>
  <c r="EW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X191" i="2"/>
  <c r="EC191" i="2"/>
  <c r="EW191" i="2"/>
  <c r="HI191" i="2"/>
  <c r="HH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HG192" i="2"/>
  <c r="HI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ED192" i="2"/>
  <c r="FQ193" i="2"/>
  <c r="EB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G194" i="2" l="1"/>
  <c r="HI194" i="2"/>
  <c r="FQ194" i="2"/>
  <c r="ED193" i="2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FQ195" i="2"/>
  <c r="ED194" i="2"/>
  <c r="EX195" i="2"/>
  <c r="EY194" i="2"/>
  <c r="EB195" i="2"/>
  <c r="DH195" i="2"/>
  <c r="HG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FS196" i="2"/>
  <c r="EW196" i="2"/>
  <c r="EY195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I199" i="2" l="1"/>
  <c r="EY198" i="2"/>
  <c r="EV199" i="2"/>
  <c r="EW199" i="2"/>
  <c r="EB199" i="2"/>
  <c r="EA199" i="2"/>
  <c r="HH199" i="2"/>
  <c r="HG199" i="2"/>
  <c r="HJ199" i="2" s="1"/>
  <c r="FS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I200" i="2" l="1"/>
  <c r="EW200" i="2"/>
  <c r="EX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D200" i="2" l="1"/>
  <c r="HH201" i="2"/>
  <c r="HG201" i="2"/>
  <c r="DI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FZ6" i="2"/>
  <c r="ED201" i="2"/>
  <c r="HG202" i="2"/>
  <c r="EX202" i="2"/>
  <c r="HH202" i="2"/>
  <c r="FS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56" i="2" a="1"/>
  <c r="DN56" i="2" s="1"/>
  <c r="GT51" i="2" a="1"/>
  <c r="GT51" i="2" s="1"/>
  <c r="GT122" i="2" a="1"/>
  <c r="GT122" i="2" s="1"/>
  <c r="EI29" i="2" a="1"/>
  <c r="EI29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CS137" i="2" a="1"/>
  <c r="CS137" i="2" s="1"/>
  <c r="DN103" i="2" a="1"/>
  <c r="DN103" i="2" s="1"/>
  <c r="DN114" i="2" a="1"/>
  <c r="DN114" i="2" s="1"/>
  <c r="FD48" i="2" a="1"/>
  <c r="FD48" i="2" s="1"/>
  <c r="FD159" i="2" a="1"/>
  <c r="FD159" i="2" s="1"/>
  <c r="BC38" i="2" a="1"/>
  <c r="BC38" i="2" s="1"/>
  <c r="DN63" i="2" a="1"/>
  <c r="DN63" i="2" s="1"/>
  <c r="GT38" i="2" a="1"/>
  <c r="GT38" i="2" s="1"/>
  <c r="GT191" i="2" a="1"/>
  <c r="GT191" i="2" s="1"/>
  <c r="EI57" i="2" a="1"/>
  <c r="EI57" i="2" s="1"/>
  <c r="EI139" i="2" a="1"/>
  <c r="EI139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DN187" i="2" a="1"/>
  <c r="DN187" i="2" s="1"/>
  <c r="HJ202" i="2"/>
  <c r="AX200" i="2"/>
  <c r="EI170" i="2" l="1" a="1"/>
  <c r="EI170" i="2" s="1"/>
  <c r="CS24" i="2" a="1"/>
  <c r="CS24" i="2" s="1"/>
  <c r="CS114" i="2" a="1"/>
  <c r="CS114" i="2" s="1"/>
  <c r="EI16" i="2" a="1"/>
  <c r="EI16" i="2" s="1"/>
  <c r="EI109" i="2" a="1"/>
  <c r="EI109" i="2" s="1"/>
  <c r="GT74" i="2" a="1"/>
  <c r="GT74" i="2" s="1"/>
  <c r="CS116" i="2" a="1"/>
  <c r="CS116" i="2" s="1"/>
  <c r="CS52" i="2" a="1"/>
  <c r="CS52" i="2" s="1"/>
  <c r="EI166" i="2" a="1"/>
  <c r="EI166" i="2" s="1"/>
  <c r="GT184" i="2" a="1"/>
  <c r="GT184" i="2" s="1"/>
  <c r="CS56" i="2" a="1"/>
  <c r="CS56" i="2" s="1"/>
  <c r="EI113" i="2" a="1"/>
  <c r="EI113" i="2" s="1"/>
  <c r="EI38" i="2" a="1"/>
  <c r="EI38" i="2" s="1"/>
  <c r="GT178" i="2" a="1"/>
  <c r="GT178" i="2" s="1"/>
  <c r="CS38" i="2" a="1"/>
  <c r="CS38" i="2" s="1"/>
  <c r="EI198" i="2" a="1"/>
  <c r="EI198" i="2" s="1"/>
  <c r="GT115" i="2" a="1"/>
  <c r="GT115" i="2" s="1"/>
  <c r="CS134" i="2" a="1"/>
  <c r="CS134" i="2" s="1"/>
  <c r="EI128" i="2" a="1"/>
  <c r="EI128" i="2" s="1"/>
  <c r="GT15" i="2" a="1"/>
  <c r="GT15" i="2" s="1"/>
  <c r="GT189" i="2" a="1"/>
  <c r="GT189" i="2" s="1"/>
  <c r="CS105" i="2" a="1"/>
  <c r="CS105" i="2" s="1"/>
  <c r="CS66" i="2" a="1"/>
  <c r="CS66" i="2" s="1"/>
  <c r="GT11" i="2" a="1"/>
  <c r="GT11" i="2" s="1"/>
  <c r="EI106" i="2" a="1"/>
  <c r="EI106" i="2" s="1"/>
  <c r="EI195" i="2" a="1"/>
  <c r="EI195" i="2" s="1"/>
  <c r="GT138" i="2" a="1"/>
  <c r="GT138" i="2" s="1"/>
  <c r="GT198" i="2" a="1"/>
  <c r="GT198" i="2" s="1"/>
  <c r="CS161" i="2" a="1"/>
  <c r="CS161" i="2" s="1"/>
  <c r="GT102" i="2" a="1"/>
  <c r="GT102" i="2" s="1"/>
  <c r="EI36" i="2" a="1"/>
  <c r="EI36" i="2" s="1"/>
  <c r="EI87" i="2" a="1"/>
  <c r="EI87" i="2" s="1"/>
  <c r="GT68" i="2" a="1"/>
  <c r="GT68" i="2" s="1"/>
  <c r="CS185" i="2" a="1"/>
  <c r="CS185" i="2" s="1"/>
  <c r="EI34" i="2" a="1"/>
  <c r="EI34" i="2" s="1"/>
  <c r="GT107" i="2" a="1"/>
  <c r="GT107" i="2" s="1"/>
  <c r="GT21" i="2" a="1"/>
  <c r="GT21" i="2" s="1"/>
  <c r="CS77" i="2" a="1"/>
  <c r="CS77" i="2" s="1"/>
  <c r="EI142" i="2" a="1"/>
  <c r="EI142" i="2" s="1"/>
  <c r="GT147" i="2" a="1"/>
  <c r="GT147" i="2" s="1"/>
  <c r="EI67" i="2" a="1"/>
  <c r="EI67" i="2" s="1"/>
  <c r="CS129" i="2" a="1"/>
  <c r="CS129" i="2" s="1"/>
  <c r="EI37" i="2" a="1"/>
  <c r="EI37" i="2" s="1"/>
  <c r="GT174" i="2" a="1"/>
  <c r="GT174" i="2" s="1"/>
  <c r="GT12" i="2" a="1"/>
  <c r="GT12" i="2" s="1"/>
  <c r="EI178" i="2" a="1"/>
  <c r="EI178" i="2" s="1"/>
  <c r="GT152" i="2" a="1"/>
  <c r="GT152" i="2" s="1"/>
  <c r="GT126" i="2" a="1"/>
  <c r="GT126" i="2" s="1"/>
  <c r="EI153" i="2" a="1"/>
  <c r="EI153" i="2" s="1"/>
  <c r="EI20" i="2" a="1"/>
  <c r="EI20" i="2" s="1"/>
  <c r="EI165" i="2" a="1"/>
  <c r="EI165" i="2" s="1"/>
  <c r="EI35" i="2" a="1"/>
  <c r="EI35" i="2" s="1"/>
  <c r="EI71" i="2" a="1"/>
  <c r="EI71" i="2" s="1"/>
  <c r="GT190" i="2" a="1"/>
  <c r="GT190" i="2" s="1"/>
  <c r="CS120" i="2" a="1"/>
  <c r="CS120" i="2" s="1"/>
  <c r="EI145" i="2" a="1"/>
  <c r="EI145" i="2" s="1"/>
  <c r="GT33" i="2" a="1"/>
  <c r="GT33" i="2" s="1"/>
  <c r="FY186" i="2" a="1"/>
  <c r="FY186" i="2" s="1"/>
  <c r="HI203" i="2"/>
  <c r="BC181" i="2" a="1"/>
  <c r="BC181" i="2" s="1"/>
  <c r="BC55" i="2" a="1"/>
  <c r="BC55" i="2" s="1"/>
  <c r="BC58" i="2" a="1"/>
  <c r="BC58" i="2" s="1"/>
  <c r="BC7" i="2" a="1"/>
  <c r="BC7" i="2" s="1"/>
  <c r="BC185" i="2" a="1"/>
  <c r="BC185" i="2" s="1"/>
  <c r="BC151" i="2" a="1"/>
  <c r="BC151" i="2" s="1"/>
  <c r="BC143" i="2" a="1"/>
  <c r="BC143" i="2" s="1"/>
  <c r="BC83" i="2" a="1"/>
  <c r="BC83" i="2" s="1"/>
  <c r="BC31" i="2" a="1"/>
  <c r="BC31" i="2" s="1"/>
  <c r="BC18" i="2" a="1"/>
  <c r="BC18" i="2" s="1"/>
  <c r="BC84" i="2" a="1"/>
  <c r="BC84" i="2" s="1"/>
  <c r="BC130" i="2" a="1"/>
  <c r="BC130" i="2" s="1"/>
  <c r="BC65" i="2" a="1"/>
  <c r="BC65" i="2" s="1"/>
  <c r="BC47" i="2" a="1"/>
  <c r="BC47" i="2" s="1"/>
  <c r="BC32" i="2" a="1"/>
  <c r="BC32" i="2" s="1"/>
  <c r="BC164" i="2" a="1"/>
  <c r="BC164" i="2" s="1"/>
  <c r="BC192" i="2" a="1"/>
  <c r="BC192" i="2" s="1"/>
  <c r="BC117" i="2" a="1"/>
  <c r="BC117" i="2" s="1"/>
  <c r="BC34" i="2" a="1"/>
  <c r="BC34" i="2" s="1"/>
  <c r="BC114" i="2" a="1"/>
  <c r="BC114" i="2" s="1"/>
  <c r="BC126" i="2" a="1"/>
  <c r="BC126" i="2" s="1"/>
  <c r="BC82" i="2" a="1"/>
  <c r="BC82" i="2" s="1"/>
  <c r="BC68" i="2" a="1"/>
  <c r="BC68" i="2" s="1"/>
  <c r="AH92" i="2" a="1"/>
  <c r="AH92" i="2" s="1"/>
  <c r="AH163" i="2" a="1"/>
  <c r="AH163" i="2" s="1"/>
  <c r="AH19" i="2" a="1"/>
  <c r="AH19" i="2" s="1"/>
  <c r="AH62" i="2" a="1"/>
  <c r="AH62" i="2" s="1"/>
  <c r="AH166" i="2" a="1"/>
  <c r="AH166" i="2" s="1"/>
  <c r="AH90" i="2" a="1"/>
  <c r="AH90" i="2" s="1"/>
  <c r="AH151" i="2" a="1"/>
  <c r="AH151" i="2" s="1"/>
  <c r="DN113" i="2" a="1"/>
  <c r="DN113" i="2" s="1"/>
  <c r="GT181" i="2" a="1"/>
  <c r="GT181" i="2" s="1"/>
  <c r="GT133" i="2" a="1"/>
  <c r="GT133" i="2" s="1"/>
  <c r="GT121" i="2" a="1"/>
  <c r="GT121" i="2" s="1"/>
  <c r="FY69" i="2" a="1"/>
  <c r="FY69" i="2" s="1"/>
  <c r="FY35" i="2" a="1"/>
  <c r="FY35" i="2" s="1"/>
  <c r="FY30" i="2" a="1"/>
  <c r="FY30" i="2" s="1"/>
  <c r="FY104" i="2" a="1"/>
  <c r="FY104" i="2" s="1"/>
  <c r="FY190" i="2" a="1"/>
  <c r="FY190" i="2" s="1"/>
  <c r="FY50" i="2" a="1"/>
  <c r="FY50" i="2" s="1"/>
  <c r="FY78" i="2" a="1"/>
  <c r="FY78" i="2" s="1"/>
  <c r="EI162" i="2" a="1"/>
  <c r="EI162" i="2" s="1"/>
  <c r="EI150" i="2" a="1"/>
  <c r="EI150" i="2" s="1"/>
  <c r="DN184" i="2" a="1"/>
  <c r="DN184" i="2" s="1"/>
  <c r="BX107" i="2" a="1"/>
  <c r="BX107" i="2" s="1"/>
  <c r="AH199" i="2" a="1"/>
  <c r="AH199" i="2" s="1"/>
  <c r="FS203" i="2"/>
  <c r="EX203" i="2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EC203" i="2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D203" i="2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13" i="2" l="1"/>
  <c r="FJ156" i="2"/>
  <c r="FJ46" i="2"/>
  <c r="FJ155" i="2"/>
  <c r="FJ133" i="2"/>
  <c r="FJ91" i="2"/>
  <c r="FJ18" i="2"/>
  <c r="FJ134" i="2"/>
  <c r="FJ196" i="2"/>
  <c r="FJ70" i="2"/>
  <c r="FJ55" i="2"/>
  <c r="FJ59" i="2"/>
  <c r="FJ139" i="2"/>
  <c r="FJ132" i="2"/>
  <c r="FJ76" i="2"/>
  <c r="FJ171" i="2"/>
  <c r="FJ110" i="2"/>
  <c r="FJ49" i="2"/>
  <c r="FJ159" i="2"/>
  <c r="FJ77" i="2"/>
  <c r="FJ105" i="2"/>
  <c r="FJ30" i="2"/>
  <c r="FJ63" i="2"/>
  <c r="FJ48" i="2"/>
  <c r="FJ78" i="2"/>
  <c r="FJ7" i="2"/>
  <c r="FJ183" i="2"/>
  <c r="FJ200" i="2"/>
  <c r="FJ83" i="2"/>
  <c r="FJ27" i="2"/>
  <c r="FJ3" i="2"/>
  <c r="C13" i="4" s="1"/>
  <c r="E13" i="4" s="1"/>
  <c r="F13" i="4" s="1"/>
  <c r="G13" i="4" s="1"/>
  <c r="L13" i="4" s="1"/>
  <c r="FJ36" i="2"/>
  <c r="FJ34" i="2"/>
  <c r="FJ26" i="2"/>
  <c r="FJ89" i="2"/>
  <c r="FJ11" i="2"/>
  <c r="FJ20" i="2"/>
  <c r="FJ47" i="2"/>
  <c r="FJ82" i="2"/>
  <c r="FJ187" i="2"/>
  <c r="FJ69" i="2"/>
  <c r="FJ123" i="2"/>
  <c r="FJ122" i="2"/>
  <c r="FJ12" i="2"/>
  <c r="FJ179" i="2"/>
  <c r="FJ111" i="2"/>
  <c r="FJ17" i="2"/>
  <c r="FJ158" i="2"/>
  <c r="FJ152" i="2"/>
  <c r="FJ43" i="2"/>
  <c r="FJ84" i="2"/>
  <c r="FJ112" i="2"/>
  <c r="FJ194" i="2"/>
  <c r="FJ154" i="2"/>
  <c r="FJ10" i="2"/>
  <c r="FJ130" i="2"/>
  <c r="FJ142" i="2"/>
  <c r="FJ52" i="2"/>
  <c r="FJ115" i="2"/>
  <c r="FJ102" i="2"/>
  <c r="FJ73" i="2"/>
  <c r="FJ129" i="2"/>
  <c r="FJ5" i="2"/>
  <c r="FJ65" i="2"/>
  <c r="FJ146" i="2"/>
  <c r="FJ182" i="2"/>
  <c r="FJ178" i="2"/>
  <c r="FJ94" i="2"/>
  <c r="FJ184" i="2"/>
  <c r="FJ67" i="2"/>
  <c r="FJ181" i="2"/>
  <c r="FJ121" i="2"/>
  <c r="FJ124" i="2"/>
  <c r="FJ169" i="2"/>
  <c r="FJ202" i="2"/>
  <c r="FJ104" i="2"/>
  <c r="FJ145" i="2"/>
  <c r="FJ143" i="2"/>
  <c r="FJ54" i="2"/>
  <c r="FJ79" i="2"/>
  <c r="FJ62" i="2"/>
  <c r="FJ42" i="2"/>
  <c r="FJ98" i="2"/>
  <c r="FJ201" i="2"/>
  <c r="FJ188" i="2"/>
  <c r="FJ126" i="2"/>
  <c r="FJ165" i="2"/>
  <c r="FJ137" i="2"/>
  <c r="FJ23" i="2"/>
  <c r="FJ45" i="2"/>
  <c r="FJ119" i="2"/>
  <c r="FJ8" i="2"/>
  <c r="FJ61" i="2"/>
  <c r="FJ141" i="2"/>
  <c r="FJ107" i="2"/>
  <c r="FJ131" i="2"/>
  <c r="FJ166" i="2"/>
  <c r="FJ13" i="2"/>
  <c r="FJ135" i="2"/>
  <c r="FJ162" i="2"/>
  <c r="FJ101" i="2"/>
  <c r="FJ144" i="2"/>
  <c r="FJ177" i="2"/>
  <c r="FJ100" i="2"/>
  <c r="FJ29" i="2"/>
  <c r="FJ39" i="2"/>
  <c r="FJ193" i="2"/>
  <c r="FJ180" i="2"/>
  <c r="FJ37" i="2"/>
  <c r="FJ22" i="2"/>
  <c r="FJ97" i="2"/>
  <c r="FJ108" i="2"/>
  <c r="FJ161" i="2"/>
  <c r="FJ86" i="2"/>
  <c r="FJ163" i="2"/>
  <c r="FJ109" i="2"/>
  <c r="FJ72" i="2"/>
  <c r="FJ185" i="2"/>
  <c r="FJ136" i="2"/>
  <c r="FJ117" i="2"/>
  <c r="FJ31" i="2"/>
  <c r="FJ85" i="2"/>
  <c r="FJ138" i="2"/>
  <c r="FJ198" i="2"/>
  <c r="FJ28" i="2"/>
  <c r="FJ66" i="2"/>
  <c r="FJ195" i="2"/>
  <c r="FJ64" i="2"/>
  <c r="FJ148" i="2"/>
  <c r="FJ189" i="2"/>
  <c r="FJ57" i="2"/>
  <c r="FJ173" i="2"/>
  <c r="FJ19" i="2"/>
  <c r="FJ56" i="2"/>
  <c r="FJ103" i="2"/>
  <c r="FJ35" i="2"/>
  <c r="FJ68" i="2"/>
  <c r="FJ96" i="2"/>
  <c r="FJ128" i="2"/>
  <c r="FJ60" i="2"/>
  <c r="FJ106" i="2"/>
  <c r="FJ120" i="2"/>
  <c r="FJ21" i="2"/>
  <c r="FJ32" i="2"/>
  <c r="FJ170" i="2"/>
  <c r="FJ172" i="2"/>
  <c r="FJ38" i="2"/>
  <c r="FJ191" i="2"/>
  <c r="FJ88" i="2"/>
  <c r="FJ80" i="2"/>
  <c r="FJ147" i="2"/>
  <c r="FJ175" i="2"/>
  <c r="FJ164" i="2"/>
  <c r="FJ150" i="2"/>
  <c r="FJ33" i="2"/>
  <c r="FJ75" i="2"/>
  <c r="FJ6" i="2"/>
  <c r="FJ114" i="2"/>
  <c r="FJ197" i="2"/>
  <c r="FJ40" i="2"/>
  <c r="FJ71" i="2"/>
  <c r="FJ16" i="2"/>
  <c r="FJ95" i="2"/>
  <c r="FJ51" i="2"/>
  <c r="FJ157" i="2"/>
  <c r="FJ24" i="2"/>
  <c r="FJ58" i="2"/>
  <c r="FJ81" i="2"/>
  <c r="FJ25" i="2"/>
  <c r="FJ153" i="2"/>
  <c r="FJ176" i="2"/>
  <c r="FJ118" i="2"/>
  <c r="FJ140" i="2"/>
  <c r="FJ190" i="2"/>
  <c r="FJ4" i="2"/>
  <c r="FJ53" i="2"/>
  <c r="FJ168" i="2"/>
  <c r="FJ90" i="2"/>
  <c r="FJ149" i="2"/>
  <c r="FJ160" i="2"/>
  <c r="FJ174" i="2"/>
  <c r="FJ151" i="2"/>
  <c r="FJ125" i="2"/>
  <c r="FJ44" i="2"/>
  <c r="FJ99" i="2"/>
  <c r="FJ127" i="2"/>
  <c r="FJ116" i="2"/>
  <c r="FJ9" i="2"/>
  <c r="FJ15" i="2"/>
  <c r="FJ14" i="2"/>
  <c r="FJ186" i="2"/>
  <c r="FJ74" i="2"/>
  <c r="FJ203" i="2"/>
  <c r="FJ41" i="2"/>
  <c r="FJ199" i="2"/>
  <c r="FJ87" i="2"/>
  <c r="FJ93" i="2"/>
  <c r="FJ50" i="2"/>
  <c r="FJ192" i="2"/>
  <c r="FJ92" i="2"/>
  <c r="FJ167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24" i="2" l="1"/>
  <c r="CY195" i="2"/>
  <c r="CY182" i="2"/>
  <c r="CY58" i="2"/>
  <c r="CY155" i="2"/>
  <c r="CY130" i="2"/>
  <c r="CY11" i="2"/>
  <c r="CY51" i="2"/>
  <c r="CY190" i="2"/>
  <c r="CY150" i="2"/>
  <c r="CY153" i="2"/>
  <c r="CY77" i="2"/>
  <c r="CY60" i="2"/>
  <c r="CY144" i="2"/>
  <c r="CY40" i="2"/>
  <c r="CY107" i="2"/>
  <c r="CY121" i="2"/>
  <c r="CY12" i="2"/>
  <c r="CY147" i="2"/>
  <c r="CY42" i="2"/>
  <c r="CY167" i="2"/>
  <c r="CY99" i="2"/>
  <c r="CY15" i="2"/>
  <c r="CY145" i="2"/>
  <c r="CY78" i="2"/>
  <c r="CY38" i="2"/>
  <c r="CY116" i="2"/>
  <c r="CY43" i="2"/>
  <c r="CY202" i="2"/>
  <c r="CY56" i="2"/>
  <c r="CY52" i="2"/>
  <c r="CY81" i="2"/>
  <c r="CY137" i="2"/>
  <c r="CY126" i="2"/>
  <c r="CY185" i="2"/>
  <c r="CY73" i="2"/>
  <c r="CY102" i="2"/>
  <c r="CY25" i="2"/>
  <c r="CY87" i="2"/>
  <c r="CY34" i="2"/>
  <c r="CY93" i="2"/>
  <c r="CY3" i="2"/>
  <c r="C10" i="4" s="1"/>
  <c r="E10" i="4" s="1"/>
  <c r="F10" i="4" s="1"/>
  <c r="G10" i="4" s="1"/>
  <c r="L10" i="4" s="1"/>
  <c r="CY19" i="2"/>
  <c r="CY127" i="2"/>
  <c r="CY177" i="2"/>
  <c r="CY9" i="2"/>
  <c r="CY132" i="2"/>
  <c r="CY139" i="2"/>
  <c r="CY203" i="2"/>
  <c r="CY112" i="2"/>
  <c r="CY162" i="2"/>
  <c r="CY110" i="2"/>
  <c r="CY26" i="2"/>
  <c r="CY63" i="2"/>
  <c r="CY109" i="2"/>
  <c r="CY71" i="2"/>
  <c r="CY79" i="2"/>
  <c r="CY173" i="2"/>
  <c r="CY135" i="2"/>
  <c r="CY191" i="2"/>
  <c r="CY188" i="2"/>
  <c r="CY57" i="2"/>
  <c r="CY141" i="2"/>
  <c r="CY149" i="2"/>
  <c r="CY6" i="2"/>
  <c r="CY90" i="2"/>
  <c r="CY70" i="2"/>
  <c r="CY36" i="2"/>
  <c r="CY100" i="2"/>
  <c r="CY7" i="2"/>
  <c r="CY131" i="2"/>
  <c r="CY44" i="2"/>
  <c r="CY74" i="2"/>
  <c r="CY198" i="2"/>
  <c r="CY75" i="2"/>
  <c r="CY106" i="2"/>
  <c r="CY50" i="2"/>
  <c r="CY134" i="2"/>
  <c r="CY111" i="2"/>
  <c r="CY13" i="2"/>
  <c r="CY10" i="2"/>
  <c r="CY124" i="2"/>
  <c r="CY186" i="2"/>
  <c r="CY16" i="2"/>
  <c r="CY30" i="2"/>
  <c r="CY5" i="2"/>
  <c r="CY91" i="2"/>
  <c r="CY148" i="2"/>
  <c r="CY120" i="2"/>
  <c r="CY108" i="2"/>
  <c r="CY23" i="2"/>
  <c r="CY136" i="2"/>
  <c r="CY37" i="2"/>
  <c r="CY35" i="2"/>
  <c r="CY66" i="2"/>
  <c r="CY201" i="2"/>
  <c r="CY47" i="2"/>
  <c r="CY20" i="2"/>
  <c r="CY158" i="2"/>
  <c r="CY89" i="2"/>
  <c r="CY143" i="2"/>
  <c r="CY171" i="2"/>
  <c r="CY113" i="2"/>
  <c r="CY101" i="2"/>
  <c r="CY123" i="2"/>
  <c r="CY45" i="2"/>
  <c r="CY4" i="2"/>
  <c r="CY157" i="2"/>
  <c r="CY142" i="2"/>
  <c r="CY94" i="2"/>
  <c r="CY156" i="2"/>
  <c r="CY178" i="2"/>
  <c r="CY146" i="2"/>
  <c r="CY27" i="2"/>
  <c r="CY14" i="2"/>
  <c r="CY128" i="2"/>
  <c r="CY168" i="2"/>
  <c r="CY164" i="2"/>
  <c r="CY28" i="2"/>
  <c r="CY133" i="2"/>
  <c r="CY69" i="2"/>
  <c r="CY160" i="2"/>
  <c r="CY31" i="2"/>
  <c r="CY192" i="2"/>
  <c r="CY65" i="2"/>
  <c r="CY67" i="2"/>
  <c r="CY118" i="2"/>
  <c r="CY170" i="2"/>
  <c r="CY122" i="2"/>
  <c r="CY154" i="2"/>
  <c r="CY200" i="2"/>
  <c r="CY97" i="2"/>
  <c r="CY59" i="2"/>
  <c r="CY32" i="2"/>
  <c r="CY159" i="2"/>
  <c r="CY119" i="2"/>
  <c r="CY86" i="2"/>
  <c r="CY183" i="2"/>
  <c r="CY194" i="2"/>
  <c r="CY174" i="2"/>
  <c r="CY175" i="2"/>
  <c r="CY181" i="2"/>
  <c r="CY161" i="2"/>
  <c r="CY189" i="2"/>
  <c r="CY68" i="2"/>
  <c r="CY197" i="2"/>
  <c r="CY140" i="2"/>
  <c r="CY92" i="2"/>
  <c r="CY64" i="2"/>
  <c r="CY41" i="2"/>
  <c r="CY22" i="2"/>
  <c r="CY54" i="2"/>
  <c r="CY53" i="2"/>
  <c r="CY169" i="2"/>
  <c r="CY88" i="2"/>
  <c r="CY172" i="2"/>
  <c r="CY125" i="2"/>
  <c r="CY84" i="2"/>
  <c r="CY114" i="2"/>
  <c r="CY8" i="2"/>
  <c r="CY62" i="2"/>
  <c r="CY163" i="2"/>
  <c r="CY48" i="2"/>
  <c r="CY103" i="2"/>
  <c r="CY176" i="2"/>
  <c r="CY105" i="2"/>
  <c r="CY49" i="2"/>
  <c r="CY166" i="2"/>
  <c r="CY104" i="2"/>
  <c r="CY72" i="2"/>
  <c r="CY187" i="2"/>
  <c r="CY21" i="2"/>
  <c r="CY39" i="2"/>
  <c r="CY61" i="2"/>
  <c r="CY151" i="2"/>
  <c r="CY115" i="2"/>
  <c r="CY196" i="2"/>
  <c r="CY18" i="2"/>
  <c r="CY152" i="2"/>
  <c r="CY17" i="2"/>
  <c r="CY199" i="2"/>
  <c r="CY179" i="2"/>
  <c r="CY55" i="2"/>
  <c r="CY96" i="2"/>
  <c r="CY33" i="2"/>
  <c r="CY29" i="2"/>
  <c r="CY117" i="2"/>
  <c r="CY46" i="2"/>
  <c r="CY98" i="2"/>
  <c r="CY193" i="2"/>
  <c r="CY82" i="2"/>
  <c r="CY129" i="2"/>
  <c r="CY83" i="2"/>
  <c r="CY184" i="2"/>
  <c r="CY180" i="2"/>
  <c r="CY76" i="2"/>
  <c r="CY95" i="2"/>
  <c r="CY165" i="2"/>
  <c r="CY85" i="2"/>
  <c r="CY80" i="2"/>
  <c r="CY138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1" i="2"/>
  <c r="BI200" i="2"/>
  <c r="BI27" i="2"/>
  <c r="BI201" i="2"/>
  <c r="BI117" i="2"/>
  <c r="BI126" i="2"/>
  <c r="BI30" i="2"/>
  <c r="BI191" i="2"/>
  <c r="BI193" i="2"/>
  <c r="BI44" i="2"/>
  <c r="BI87" i="2"/>
  <c r="BI69" i="2"/>
  <c r="BI170" i="2"/>
  <c r="BI166" i="2"/>
  <c r="BI133" i="2"/>
  <c r="BI14" i="2"/>
  <c r="BI160" i="2"/>
  <c r="BI155" i="2"/>
  <c r="BI74" i="2"/>
  <c r="BI80" i="2"/>
  <c r="BI39" i="2"/>
  <c r="BI124" i="2"/>
  <c r="BI106" i="2"/>
  <c r="BI9" i="2"/>
  <c r="BI159" i="2"/>
  <c r="BI107" i="2"/>
  <c r="BI144" i="2"/>
  <c r="BI29" i="2"/>
  <c r="BI163" i="2"/>
  <c r="BI203" i="2"/>
  <c r="BI88" i="2"/>
  <c r="BI13" i="2"/>
  <c r="BI103" i="2"/>
  <c r="BI68" i="2"/>
  <c r="BI54" i="2"/>
  <c r="BI75" i="2"/>
  <c r="BI53" i="2"/>
  <c r="BI16" i="2"/>
  <c r="BI128" i="2"/>
  <c r="BI6" i="2"/>
  <c r="BI89" i="2"/>
  <c r="BI34" i="2"/>
  <c r="BI76" i="2"/>
  <c r="BI123" i="2"/>
  <c r="BI164" i="2"/>
  <c r="BI150" i="2"/>
  <c r="BI90" i="2"/>
  <c r="BI73" i="2"/>
  <c r="BI148" i="2"/>
  <c r="BI202" i="2"/>
  <c r="BI122" i="2"/>
  <c r="BI153" i="2"/>
  <c r="BI99" i="2"/>
  <c r="BI43" i="2"/>
  <c r="BI173" i="2"/>
  <c r="BI195" i="2"/>
  <c r="BI142" i="2"/>
  <c r="BI20" i="2"/>
  <c r="BI42" i="2"/>
  <c r="BI151" i="2"/>
  <c r="BI40" i="2"/>
  <c r="BI70" i="2"/>
  <c r="BI181" i="2"/>
  <c r="BI32" i="2"/>
  <c r="BI113" i="2"/>
  <c r="BI172" i="2"/>
  <c r="BI4" i="2"/>
  <c r="BI26" i="2"/>
  <c r="BI147" i="2"/>
  <c r="BI120" i="2"/>
  <c r="BI104" i="2"/>
  <c r="BI86" i="2"/>
  <c r="BI157" i="2"/>
  <c r="BI15" i="2"/>
  <c r="BI77" i="2"/>
  <c r="BI121" i="2"/>
  <c r="BI17" i="2"/>
  <c r="BI161" i="2"/>
  <c r="BI108" i="2"/>
  <c r="BI187" i="2"/>
  <c r="BI199" i="2"/>
  <c r="BI197" i="2"/>
  <c r="BI98" i="2"/>
  <c r="BI179" i="2"/>
  <c r="BI65" i="2"/>
  <c r="BI168" i="2"/>
  <c r="BI24" i="2"/>
  <c r="BI141" i="2"/>
  <c r="BI184" i="2"/>
  <c r="BI138" i="2"/>
  <c r="BI134" i="2"/>
  <c r="BI194" i="2"/>
  <c r="BI64" i="2"/>
  <c r="BI189" i="2"/>
  <c r="BI178" i="2"/>
  <c r="BI91" i="2"/>
  <c r="BI56" i="2"/>
  <c r="BI198" i="2"/>
  <c r="BI114" i="2"/>
  <c r="BI109" i="2"/>
  <c r="BI94" i="2"/>
  <c r="BI115" i="2"/>
  <c r="BI84" i="2"/>
  <c r="BI37" i="2"/>
  <c r="BI118" i="2"/>
  <c r="BI49" i="2"/>
  <c r="BI12" i="2"/>
  <c r="BI101" i="2"/>
  <c r="BI41" i="2"/>
  <c r="BI3" i="2"/>
  <c r="C8" i="4" s="1"/>
  <c r="E8" i="4" s="1"/>
  <c r="F8" i="4" s="1"/>
  <c r="G8" i="4" s="1"/>
  <c r="L8" i="4" s="1"/>
  <c r="BI146" i="2"/>
  <c r="BI190" i="2"/>
  <c r="BI25" i="2"/>
  <c r="BI192" i="2"/>
  <c r="BI46" i="2"/>
  <c r="BI63" i="2"/>
  <c r="BI36" i="2"/>
  <c r="BI60" i="2"/>
  <c r="BI18" i="2"/>
  <c r="BI145" i="2"/>
  <c r="BI51" i="2"/>
  <c r="BI143" i="2"/>
  <c r="BI7" i="2"/>
  <c r="BI125" i="2"/>
  <c r="BI129" i="2"/>
  <c r="BI10" i="2"/>
  <c r="BI92" i="2"/>
  <c r="BI21" i="2"/>
  <c r="BI33" i="2"/>
  <c r="BI35" i="2"/>
  <c r="BI183" i="2"/>
  <c r="BI78" i="2"/>
  <c r="BI23" i="2"/>
  <c r="BI127" i="2"/>
  <c r="BI176" i="2"/>
  <c r="BI149" i="2"/>
  <c r="BI48" i="2"/>
  <c r="BI156" i="2"/>
  <c r="BI93" i="2"/>
  <c r="BI85" i="2"/>
  <c r="BI188" i="2"/>
  <c r="BI154" i="2"/>
  <c r="BI162" i="2"/>
  <c r="BI82" i="2"/>
  <c r="BI165" i="2"/>
  <c r="BI22" i="2"/>
  <c r="BI105" i="2"/>
  <c r="BI66" i="2"/>
  <c r="BI112" i="2"/>
  <c r="BI62" i="2"/>
  <c r="BI11" i="2"/>
  <c r="BI111" i="2"/>
  <c r="BI52" i="2"/>
  <c r="BI50" i="2"/>
  <c r="BI97" i="2"/>
  <c r="BI83" i="2"/>
  <c r="BI31" i="2"/>
  <c r="BI171" i="2"/>
  <c r="BI28" i="2"/>
  <c r="BI110" i="2"/>
  <c r="BI135" i="2"/>
  <c r="BI67" i="2"/>
  <c r="BI140" i="2"/>
  <c r="BI174" i="2"/>
  <c r="BI57" i="2"/>
  <c r="BI8" i="2"/>
  <c r="BI158" i="2"/>
  <c r="BI130" i="2"/>
  <c r="BI95" i="2"/>
  <c r="BI137" i="2"/>
  <c r="BI132" i="2"/>
  <c r="BI175" i="2"/>
  <c r="BI180" i="2"/>
  <c r="BI182" i="2"/>
  <c r="BI116" i="2"/>
  <c r="BI79" i="2"/>
  <c r="BI102" i="2"/>
  <c r="BI58" i="2"/>
  <c r="BI136" i="2"/>
  <c r="BI38" i="2"/>
  <c r="BI167" i="2"/>
  <c r="BI55" i="2"/>
  <c r="BI119" i="2"/>
  <c r="BI61" i="2"/>
  <c r="BI59" i="2"/>
  <c r="BI5" i="2"/>
  <c r="BI96" i="2"/>
  <c r="BI131" i="2"/>
  <c r="BI185" i="2"/>
  <c r="BI72" i="2"/>
  <c r="BI196" i="2"/>
  <c r="BI19" i="2"/>
  <c r="BI45" i="2"/>
  <c r="BI186" i="2"/>
  <c r="BI177" i="2"/>
  <c r="BI71" i="2"/>
  <c r="BI139" i="2"/>
  <c r="BI100" i="2"/>
  <c r="BI169" i="2"/>
  <c r="BI15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<sst xmlns="http://schemas.openxmlformats.org/spreadsheetml/2006/main" count="1323" uniqueCount="409">
  <si>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</si>
  <si>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</si>
  <si>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</si>
  <si>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</si>
  <si>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</si>
  <si>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</si>
  <si>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</si>
  <si>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</si>
  <si>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</si>
  <si>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</si>
  <si>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</si>
  <si>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</si>
  <si>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</si>
  <si>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</si>
  <si>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</si>
  <si>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</si>
  <si>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</si>
  <si>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</si>
  <si>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</si>
  <si>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</si>
  <si>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</si>
  <si>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</si>
  <si>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</si>
  <si>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</si>
  <si>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</si>
  <si>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</si>
  <si>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</si>
  <si>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</si>
  <si>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</si>
  <si>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</si>
  <si>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</si>
  <si>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</si>
  <si>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</si>
  <si>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</si>
  <si>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</si>
  <si>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</si>
  <si>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</si>
  <si>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</si>
  <si>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</si>
  <si>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</si>
  <si>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</si>
  <si>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</si>
  <si>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</si>
  <si>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</si>
  <si>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</si>
  <si>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</si>
  <si>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</si>
  <si>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</si>
  <si>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</si>
  <si>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</si>
  <si>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</si>
  <si>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</si>
  <si>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</si>
  <si>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</si>
  <si>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</si>
  <si>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</si>
  <si>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</si>
  <si>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</si>
  <si>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</si>
  <si>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</si>
  <si>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</si>
  <si>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</si>
  <si>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</si>
  <si>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</si>
  <si>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</si>
  <si>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</si>
  <si>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</si>
  <si>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</si>
  <si>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</si>
  <si>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</si>
  <si>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</si>
  <si>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</si>
  <si>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</si>
  <si>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</si>
  <si>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</si>
  <si>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</si>
  <si>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</si>
  <si>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</si>
  <si>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</si>
  <si>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</si>
  <si>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</si>
  <si>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</si>
  <si>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</si>
  <si>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</si>
  <si>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</si>
  <si>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</si>
  <si>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</si>
  <si>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</si>
  <si>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</si>
  <si>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</si>
  <si>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</si>
  <si>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</si>
  <si>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</si>
  <si>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</si>
  <si>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</si>
  <si>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</si>
  <si>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</si>
  <si>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</si>
  <si>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</si>
  <si>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</si>
  <si>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</si>
  <si>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</si>
  <si>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</si>
  <si>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</si>
  <si>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</si>
  <si>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</si>
  <si>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</si>
  <si>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</si>
  <si>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</si>
  <si>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</si>
  <si>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</si>
  <si>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</si>
  <si>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</si>
  <si>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</si>
  <si>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</si>
  <si>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</si>
  <si>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</si>
  <si>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</si>
  <si>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</si>
  <si>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</si>
  <si>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</si>
  <si>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</si>
  <si>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</si>
  <si>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</si>
  <si>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</si>
  <si>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</si>
  <si>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</si>
  <si>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</si>
  <si>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</si>
  <si>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</si>
  <si>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</si>
  <si>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</si>
  <si>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</si>
  <si>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</si>
  <si>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</si>
  <si>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</si>
  <si>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</si>
  <si>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</si>
  <si>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</si>
  <si>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</si>
  <si>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</si>
  <si>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</si>
  <si>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</si>
  <si>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</si>
  <si>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</si>
  <si>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</si>
  <si>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</si>
  <si>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</si>
  <si>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</si>
  <si>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</si>
  <si>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</si>
  <si>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</si>
  <si>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</si>
  <si>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</si>
  <si>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</si>
  <si>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</si>
  <si>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</si>
  <si>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</si>
  <si>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</si>
  <si>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</si>
  <si>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</si>
  <si>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</si>
  <si>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</si>
  <si>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</si>
  <si>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</si>
  <si>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</si>
  <si>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</si>
  <si>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</si>
  <si>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</si>
  <si>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</si>
  <si>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</si>
  <si>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</si>
  <si>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</si>
  <si>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</si>
  <si>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</si>
  <si>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</si>
  <si>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</si>
  <si>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</si>
  <si>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</si>
  <si>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</si>
  <si>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</si>
  <si>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</si>
  <si>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</si>
  <si>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</si>
  <si>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</si>
  <si>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</si>
  <si>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</si>
  <si>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</si>
  <si>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</si>
  <si>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</si>
  <si>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</si>
  <si>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</si>
  <si>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</si>
  <si>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</si>
  <si>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</si>
  <si>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</si>
  <si>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</si>
  <si>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</si>
  <si>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</si>
  <si>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</si>
  <si>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</si>
  <si>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</si>
  <si>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</si>
  <si>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</si>
  <si>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</si>
  <si>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</si>
  <si>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</si>
  <si>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</si>
  <si>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</si>
  <si>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</si>
  <si>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</si>
  <si>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</si>
  <si>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</si>
  <si>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</si>
  <si>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</si>
  <si>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</si>
  <si>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</si>
  <si>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</si>
  <si>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</si>
  <si>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</si>
  <si>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</si>
  <si>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</si>
  <si>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</si>
  <si>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</si>
  <si>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</si>
  <si>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</si>
  <si>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</si>
  <si>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</si>
  <si>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</si>
  <si>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</si>
  <si>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</si>
  <si>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</si>
  <si>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</si>
  <si>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</si>
  <si>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</si>
  <si>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</si>
  <si>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</si>
  <si>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</si>
  <si>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</si>
  <si>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</si>
  <si>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</si>
  <si>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</si>
  <si>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</si>
  <si>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</si>
  <si>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</si>
  <si>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</si>
  <si>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</si>
  <si>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</si>
  <si>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</si>
  <si>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</si>
  <si>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</si>
  <si>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</si>
  <si>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</si>
  <si>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</si>
  <si>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</si>
  <si>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</si>
  <si>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</si>
  <si>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</si>
  <si>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</si>
  <si>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</si>
  <si>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</si>
  <si>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</si>
  <si>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</si>
  <si>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</si>
  <si>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</si>
  <si>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</si>
  <si>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</si>
  <si>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</si>
  <si>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</si>
  <si>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</si>
  <si>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</si>
  <si>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</si>
  <si>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</si>
  <si>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</si>
  <si>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</si>
  <si>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</si>
  <si>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</si>
  <si>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</si>
  <si>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</si>
  <si>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</si>
  <si>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</si>
  <si>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</si>
  <si>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</si>
  <si>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</si>
  <si>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</si>
  <si>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</si>
  <si>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</si>
  <si>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</si>
  <si>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</si>
  <si>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</si>
  <si>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</si>
  <si>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</si>
  <si>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</si>
  <si>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</si>
  <si>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</si>
  <si>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</si>
  <si>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</si>
  <si>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</si>
  <si>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</si>
  <si>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</si>
  <si>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</si>
  <si>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</si>
  <si>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</si>
  <si>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</si>
  <si>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</si>
  <si>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</si>
  <si>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</si>
  <si>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</si>
  <si>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</si>
  <si>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</si>
  <si>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</si>
  <si>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</si>
  <si>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</si>
  <si>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</si>
  <si>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</si>
  <si>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</si>
  <si>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</si>
  <si>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</si>
  <si>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</si>
  <si>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</si>
  <si>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</si>
  <si>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r>
      <rPr>
        <b/>
        <sz val="11"/>
        <color rgb="FF000000"/>
        <rFont val="Times New Roman"/>
        <family val="1"/>
      </rP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</si>
  <si>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>Type</t>
  </si>
  <si>
    <t>Valeur BO</t>
  </si>
  <si>
    <t>Valeur BI</t>
  </si>
  <si>
    <t>Valeur BE</t>
  </si>
  <si>
    <t xml:space="preserve">Alisier torminal </t>
  </si>
  <si>
    <t>Feuillus</t>
  </si>
  <si>
    <t xml:space="preserve">Arbousier </t>
  </si>
  <si>
    <t>??</t>
  </si>
  <si>
    <t xml:space="preserve">Aulne vert </t>
  </si>
  <si>
    <t xml:space="preserve">Grands aulnes </t>
  </si>
  <si>
    <t xml:space="preserve">Bouleaux </t>
  </si>
  <si>
    <t xml:space="preserve">Cèdre de l’Atlas </t>
  </si>
  <si>
    <t>Résineux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</si>
  <si>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</si>
  <si>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</si>
  <si>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</si>
  <si>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</si>
  <si>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</si>
  <si>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</si>
  <si>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</si>
  <si>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</si>
  <si>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</si>
  <si>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</si>
  <si>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</si>
  <si>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</si>
  <si>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</si>
  <si>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</si>
  <si>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</si>
  <si>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</si>
  <si>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</si>
  <si>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</si>
  <si>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</si>
  <si>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</si>
  <si>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</si>
  <si>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</si>
  <si>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</si>
  <si>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</si>
  <si>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</si>
  <si>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</si>
  <si>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</si>
  <si>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</si>
  <si>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</si>
  <si>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</si>
  <si>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</si>
  <si>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</si>
  <si>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</si>
  <si>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</si>
  <si>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</si>
  <si>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</si>
  <si>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>Peupliers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</si>
  <si>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</si>
  <si>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</si>
  <si>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</si>
  <si>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</si>
  <si>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</si>
  <si>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</si>
  <si>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>Pin Maritime intensif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</si>
  <si>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</si>
  <si>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</si>
  <si>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</si>
  <si>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</si>
  <si>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</si>
  <si>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</si>
  <si>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</si>
  <si>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</si>
  <si>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</si>
  <si>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</si>
  <si>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</si>
  <si>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</si>
  <si>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</si>
  <si>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</si>
  <si>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</si>
  <si>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</si>
  <si>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</si>
  <si>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</si>
  <si>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</si>
  <si>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</si>
  <si>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</si>
  <si>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</si>
  <si>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</si>
  <si>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</si>
  <si>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</si>
  <si>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t>l</t>
  </si>
  <si>
    <t>Pin Maritime</t>
  </si>
  <si>
    <t>Bouleau</t>
  </si>
  <si>
    <t>Chêne Pubescent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</si>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</sst>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.00\ _€_-;\-* #,##0.00\ _€_-;_-* &quot;-&quot;??\ _€_-;_-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D9EAD3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168" fontId="0" fillId="14" borderId="1" xfId="0" quotePrefix="1" applyNumberForma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vertical="center" wrapText="1"/>
    </xf>
    <xf numFmtId="169" fontId="32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164" fontId="35" fillId="0" borderId="0" xfId="0" applyNumberFormat="1" applyFont="1" applyAlignment="1">
      <alignment vertical="center" wrapText="1"/>
    </xf>
    <xf numFmtId="0" fontId="35" fillId="21" borderId="0" xfId="0" applyFont="1" applyFill="1" applyAlignment="1">
      <alignment vertical="center" wrapText="1"/>
    </xf>
    <xf numFmtId="0" fontId="34" fillId="22" borderId="0" xfId="0" applyFont="1" applyFill="1" applyAlignment="1">
      <alignment vertical="center"/>
    </xf>
    <xf numFmtId="0" fontId="34" fillId="22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6" fillId="0" borderId="0" xfId="0" applyFont="1"/>
    <xf numFmtId="0" fontId="9" fillId="14" borderId="54" xfId="0" applyFont="1" applyFill="1" applyBorder="1" applyAlignment="1" applyProtection="1">
      <alignment horizontal="center"/>
      <protection locked="0"/>
    </xf>
    <xf numFmtId="0" fontId="37" fillId="23" borderId="55" xfId="0" applyFont="1" applyFill="1" applyBorder="1" applyAlignment="1">
      <alignment wrapText="1"/>
    </xf>
    <xf numFmtId="0" fontId="37" fillId="23" borderId="0" xfId="0" applyFont="1" applyFill="1" applyAlignment="1">
      <alignment wrapText="1"/>
    </xf>
    <xf numFmtId="0" fontId="37" fillId="23" borderId="56" xfId="0" applyFont="1" applyFill="1" applyBorder="1" applyAlignment="1">
      <alignment wrapText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35" fillId="0" borderId="0" xfId="0" applyFont="1" applyFill="1" applyAlignment="1">
      <alignment vertical="center" wrapText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VAN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2.0103287982609221</c:v>
                </c:pt>
                <c:pt idx="2">
                  <c:v>2.6060892570454466</c:v>
                </c:pt>
                <c:pt idx="3">
                  <c:v>3.3791205981056223</c:v>
                </c:pt>
                <c:pt idx="4">
                  <c:v>4.3823718656892181</c:v>
                </c:pt>
                <c:pt idx="5">
                  <c:v>5.684663761141354</c:v>
                </c:pt>
                <c:pt idx="6">
                  <c:v>7.3754619086735183</c:v>
                </c:pt>
                <c:pt idx="7">
                  <c:v>9.5710899925120358</c:v>
                </c:pt>
                <c:pt idx="8">
                  <c:v>12.422818311323612</c:v>
                </c:pt>
                <c:pt idx="9">
                  <c:v>16.127395375881125</c:v>
                </c:pt>
                <c:pt idx="10">
                  <c:v>20.940762400827264</c:v>
                </c:pt>
                <c:pt idx="11">
                  <c:v>27.195915137912309</c:v>
                </c:pt>
                <c:pt idx="12">
                  <c:v>35.326170423757155</c:v>
                </c:pt>
                <c:pt idx="13">
                  <c:v>45.895476898516826</c:v>
                </c:pt>
                <c:pt idx="14">
                  <c:v>59.637907781469067</c:v>
                </c:pt>
                <c:pt idx="15">
                  <c:v>77.509123859564752</c:v>
                </c:pt>
                <c:pt idx="16">
                  <c:v>94.66015539957867</c:v>
                </c:pt>
                <c:pt idx="17">
                  <c:v>111.73348684590691</c:v>
                </c:pt>
                <c:pt idx="18">
                  <c:v>128.74270297836009</c:v>
                </c:pt>
                <c:pt idx="19">
                  <c:v>145.69748442995333</c:v>
                </c:pt>
                <c:pt idx="20">
                  <c:v>162.60506557753638</c:v>
                </c:pt>
                <c:pt idx="21">
                  <c:v>152.72601307009882</c:v>
                </c:pt>
                <c:pt idx="22">
                  <c:v>172.72934057335951</c:v>
                </c:pt>
                <c:pt idx="23">
                  <c:v>192.67816640336261</c:v>
                </c:pt>
                <c:pt idx="24">
                  <c:v>212.5789297342011</c:v>
                </c:pt>
                <c:pt idx="25">
                  <c:v>232.43676367300134</c:v>
                </c:pt>
                <c:pt idx="26">
                  <c:v>199.1444513476257</c:v>
                </c:pt>
                <c:pt idx="27">
                  <c:v>220.06265042528548</c:v>
                </c:pt>
                <c:pt idx="28">
                  <c:v>240.93518629239611</c:v>
                </c:pt>
                <c:pt idx="29">
                  <c:v>261.76657078667432</c:v>
                </c:pt>
                <c:pt idx="30">
                  <c:v>282.56053853494785</c:v>
                </c:pt>
                <c:pt idx="31">
                  <c:v>249.68400503471705</c:v>
                </c:pt>
                <c:pt idx="32">
                  <c:v>270.75601350883971</c:v>
                </c:pt>
                <c:pt idx="33">
                  <c:v>291.79113098496725</c:v>
                </c:pt>
                <c:pt idx="34">
                  <c:v>312.79238991915594</c:v>
                </c:pt>
                <c:pt idx="35">
                  <c:v>333.76238230119105</c:v>
                </c:pt>
                <c:pt idx="36">
                  <c:v>300.75906487667152</c:v>
                </c:pt>
                <c:pt idx="37">
                  <c:v>321.49092385733064</c:v>
                </c:pt>
                <c:pt idx="38">
                  <c:v>342.19321863218693</c:v>
                </c:pt>
                <c:pt idx="39">
                  <c:v>362.86798845598605</c:v>
                </c:pt>
                <c:pt idx="40">
                  <c:v>383.51702130873826</c:v>
                </c:pt>
                <c:pt idx="41">
                  <c:v>349.59836202746737</c:v>
                </c:pt>
                <c:pt idx="42">
                  <c:v>369.24381536730135</c:v>
                </c:pt>
                <c:pt idx="43">
                  <c:v>388.86647144917623</c:v>
                </c:pt>
                <c:pt idx="44">
                  <c:v>408.46764188924226</c:v>
                </c:pt>
                <c:pt idx="45">
                  <c:v>428.04850220658614</c:v>
                </c:pt>
                <c:pt idx="46">
                  <c:v>392.94116952468863</c:v>
                </c:pt>
                <c:pt idx="47">
                  <c:v>411.26612524340595</c:v>
                </c:pt>
                <c:pt idx="48">
                  <c:v>429.5734620875748</c:v>
                </c:pt>
                <c:pt idx="49">
                  <c:v>447.86403623255546</c:v>
                </c:pt>
                <c:pt idx="50">
                  <c:v>466.13862825055838</c:v>
                </c:pt>
                <c:pt idx="51">
                  <c:v>432.11480353422752</c:v>
                </c:pt>
                <c:pt idx="52">
                  <c:v>448.87970375338074</c:v>
                </c:pt>
                <c:pt idx="53">
                  <c:v>465.63121002118237</c:v>
                </c:pt>
                <c:pt idx="54">
                  <c:v>482.36987183006198</c:v>
                </c:pt>
                <c:pt idx="55">
                  <c:v>499.09619744323066</c:v>
                </c:pt>
                <c:pt idx="56">
                  <c:v>471.71945469929392</c:v>
                </c:pt>
                <c:pt idx="57">
                  <c:v>487.43973576580606</c:v>
                </c:pt>
                <c:pt idx="58">
                  <c:v>503.14926026454168</c:v>
                </c:pt>
                <c:pt idx="59">
                  <c:v>518.84841119879445</c:v>
                </c:pt>
                <c:pt idx="60">
                  <c:v>534.5375465142705</c:v>
                </c:pt>
                <c:pt idx="61">
                  <c:v>511.00010949725942</c:v>
                </c:pt>
                <c:pt idx="62">
                  <c:v>525.42892558905544</c:v>
                </c:pt>
                <c:pt idx="63">
                  <c:v>539.84939763658917</c:v>
                </c:pt>
                <c:pt idx="64">
                  <c:v>554.26177984010576</c:v>
                </c:pt>
                <c:pt idx="65">
                  <c:v>568.66631210732578</c:v>
                </c:pt>
                <c:pt idx="66">
                  <c:v>548.44721509505109</c:v>
                </c:pt>
                <c:pt idx="67">
                  <c:v>561.0859436787116</c:v>
                </c:pt>
                <c:pt idx="68">
                  <c:v>573.71871604099454</c:v>
                </c:pt>
                <c:pt idx="69">
                  <c:v>586.34568177540336</c:v>
                </c:pt>
                <c:pt idx="70">
                  <c:v>598.96698350911936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207.81851684809405</c:v>
                </c:pt>
                <c:pt idx="42">
                  <c:v>218.42504214863564</c:v>
                </c:pt>
                <c:pt idx="43">
                  <c:v>229.01973385636325</c:v>
                </c:pt>
                <c:pt idx="44">
                  <c:v>239.60321698163875</c:v>
                </c:pt>
                <c:pt idx="45">
                  <c:v>250.1760567625594</c:v>
                </c:pt>
                <c:pt idx="46">
                  <c:v>260.73876672061448</c:v>
                </c:pt>
                <c:pt idx="47">
                  <c:v>271.29181534136131</c:v>
                </c:pt>
                <c:pt idx="48">
                  <c:v>281.83563166027687</c:v>
                </c:pt>
                <c:pt idx="49">
                  <c:v>292.37060996830348</c:v>
                </c:pt>
                <c:pt idx="50">
                  <c:v>302.89711380319795</c:v>
                </c:pt>
                <c:pt idx="51">
                  <c:v>273.30086057644479</c:v>
                </c:pt>
                <c:pt idx="52">
                  <c:v>283.84296405810716</c:v>
                </c:pt>
                <c:pt idx="53">
                  <c:v>294.37630103352757</c:v>
                </c:pt>
                <c:pt idx="54">
                  <c:v>304.90122958502047</c:v>
                </c:pt>
                <c:pt idx="55">
                  <c:v>315.41808104045475</c:v>
                </c:pt>
                <c:pt idx="56">
                  <c:v>325.92716281690332</c:v>
                </c:pt>
                <c:pt idx="57">
                  <c:v>336.42876087816654</c:v>
                </c:pt>
                <c:pt idx="58">
                  <c:v>346.92314186926529</c:v>
                </c:pt>
                <c:pt idx="59">
                  <c:v>357.41055497905433</c:v>
                </c:pt>
                <c:pt idx="60">
                  <c:v>367.89123357271274</c:v>
                </c:pt>
                <c:pt idx="61">
                  <c:v>337.92839403108081</c:v>
                </c:pt>
                <c:pt idx="62">
                  <c:v>347.92223953697521</c:v>
                </c:pt>
                <c:pt idx="63">
                  <c:v>357.90978583474595</c:v>
                </c:pt>
                <c:pt idx="64">
                  <c:v>367.89123357271274</c:v>
                </c:pt>
                <c:pt idx="65">
                  <c:v>377.86677161777311</c:v>
                </c:pt>
                <c:pt idx="66">
                  <c:v>387.83657804664409</c:v>
                </c:pt>
                <c:pt idx="67">
                  <c:v>397.80082102983079</c:v>
                </c:pt>
                <c:pt idx="68">
                  <c:v>407.75965962237683</c:v>
                </c:pt>
                <c:pt idx="69">
                  <c:v>417.71324447331716</c:v>
                </c:pt>
                <c:pt idx="70">
                  <c:v>427.66171846396475</c:v>
                </c:pt>
                <c:pt idx="71">
                  <c:v>387.83657804664409</c:v>
                </c:pt>
                <c:pt idx="72">
                  <c:v>397.80082102983079</c:v>
                </c:pt>
                <c:pt idx="73">
                  <c:v>407.75965962237683</c:v>
                </c:pt>
                <c:pt idx="74">
                  <c:v>417.71324447331716</c:v>
                </c:pt>
                <c:pt idx="75">
                  <c:v>427.66171846396475</c:v>
                </c:pt>
                <c:pt idx="76">
                  <c:v>437.60521728369707</c:v>
                </c:pt>
                <c:pt idx="77">
                  <c:v>447.54386995067085</c:v>
                </c:pt>
                <c:pt idx="78">
                  <c:v>457.47779928386609</c:v>
                </c:pt>
                <c:pt idx="79">
                  <c:v>467.40712233198587</c:v>
                </c:pt>
                <c:pt idx="80">
                  <c:v>477.33195076400972</c:v>
                </c:pt>
                <c:pt idx="81">
                  <c:v>425.67242592235567</c:v>
                </c:pt>
                <c:pt idx="82">
                  <c:v>433.62840637542763</c:v>
                </c:pt>
                <c:pt idx="83">
                  <c:v>441.5812528768941</c:v>
                </c:pt>
                <c:pt idx="84">
                  <c:v>449.53102985794368</c:v>
                </c:pt>
                <c:pt idx="85">
                  <c:v>457.47779928386609</c:v>
                </c:pt>
                <c:pt idx="86">
                  <c:v>465.42162079055765</c:v>
                </c:pt>
                <c:pt idx="87">
                  <c:v>473.36255181121783</c:v>
                </c:pt>
                <c:pt idx="88">
                  <c:v>481.30064769410069</c:v>
                </c:pt>
                <c:pt idx="89">
                  <c:v>489.2359618120895</c:v>
                </c:pt>
                <c:pt idx="90">
                  <c:v>497.16854566479356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4.357544741629817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159.63384589481379</c:v>
                </c:pt>
                <c:pt idx="37">
                  <c:v>171.9623375706858</c:v>
                </c:pt>
                <c:pt idx="38">
                  <c:v>184.27003778059017</c:v>
                </c:pt>
                <c:pt idx="39">
                  <c:v>196.55853182882296</c:v>
                </c:pt>
                <c:pt idx="40">
                  <c:v>208.82919038278192</c:v>
                </c:pt>
                <c:pt idx="41">
                  <c:v>190.41659540288171</c:v>
                </c:pt>
                <c:pt idx="42">
                  <c:v>202.69601208813597</c:v>
                </c:pt>
                <c:pt idx="43">
                  <c:v>214.95821110174313</c:v>
                </c:pt>
                <c:pt idx="44">
                  <c:v>227.20431355624589</c:v>
                </c:pt>
                <c:pt idx="45">
                  <c:v>239.43530973942788</c:v>
                </c:pt>
                <c:pt idx="46">
                  <c:v>221.08320971383401</c:v>
                </c:pt>
                <c:pt idx="47">
                  <c:v>233.32164253354526</c:v>
                </c:pt>
                <c:pt idx="48">
                  <c:v>245.54542201155996</c:v>
                </c:pt>
                <c:pt idx="49">
                  <c:v>257.75538075421969</c:v>
                </c:pt>
                <c:pt idx="50">
                  <c:v>269.95226599479969</c:v>
                </c:pt>
                <c:pt idx="51">
                  <c:v>251.65208042823178</c:v>
                </c:pt>
                <c:pt idx="52">
                  <c:v>263.85541384215639</c:v>
                </c:pt>
                <c:pt idx="53">
                  <c:v>276.04601929282188</c:v>
                </c:pt>
                <c:pt idx="54">
                  <c:v>288.22453829402519</c:v>
                </c:pt>
                <c:pt idx="55">
                  <c:v>300.39155369431393</c:v>
                </c:pt>
                <c:pt idx="56">
                  <c:v>281.70179813149122</c:v>
                </c:pt>
                <c:pt idx="57">
                  <c:v>293.4403499688969</c:v>
                </c:pt>
                <c:pt idx="58">
                  <c:v>305.16842283850013</c:v>
                </c:pt>
                <c:pt idx="59">
                  <c:v>316.88647637416949</c:v>
                </c:pt>
                <c:pt idx="60">
                  <c:v>328.59493342700068</c:v>
                </c:pt>
                <c:pt idx="61">
                  <c:v>309.94362938891305</c:v>
                </c:pt>
                <c:pt idx="62">
                  <c:v>321.65772413618168</c:v>
                </c:pt>
                <c:pt idx="63">
                  <c:v>333.36238511080353</c:v>
                </c:pt>
                <c:pt idx="64">
                  <c:v>345.05799032946624</c:v>
                </c:pt>
                <c:pt idx="65">
                  <c:v>356.74489008321899</c:v>
                </c:pt>
                <c:pt idx="66">
                  <c:v>337.26190853958724</c:v>
                </c:pt>
                <c:pt idx="67">
                  <c:v>348.088749686146</c:v>
                </c:pt>
                <c:pt idx="68">
                  <c:v>358.90820183854038</c:v>
                </c:pt>
                <c:pt idx="69">
                  <c:v>369.72051922288398</c:v>
                </c:pt>
                <c:pt idx="70">
                  <c:v>380.52593997693924</c:v>
                </c:pt>
                <c:pt idx="71">
                  <c:v>361.07122825453934</c:v>
                </c:pt>
                <c:pt idx="72">
                  <c:v>371.88214774985937</c:v>
                </c:pt>
                <c:pt idx="73">
                  <c:v>382.68621644309729</c:v>
                </c:pt>
                <c:pt idx="74">
                  <c:v>393.48365507240237</c:v>
                </c:pt>
                <c:pt idx="75">
                  <c:v>404.27467126938308</c:v>
                </c:pt>
                <c:pt idx="76">
                  <c:v>383.98225493635567</c:v>
                </c:pt>
                <c:pt idx="77">
                  <c:v>393.91541769108926</c:v>
                </c:pt>
                <c:pt idx="78">
                  <c:v>403.84315144097832</c:v>
                </c:pt>
                <c:pt idx="79">
                  <c:v>413.76560851360477</c:v>
                </c:pt>
                <c:pt idx="80">
                  <c:v>423.68293333202678</c:v>
                </c:pt>
                <c:pt idx="81">
                  <c:v>402.98008185125155</c:v>
                </c:pt>
                <c:pt idx="82">
                  <c:v>412.47166904727538</c:v>
                </c:pt>
                <c:pt idx="83">
                  <c:v>421.95854377334376</c:v>
                </c:pt>
                <c:pt idx="84">
                  <c:v>431.44082695809357</c:v>
                </c:pt>
                <c:pt idx="85">
                  <c:v>440.91863377904139</c:v>
                </c:pt>
                <c:pt idx="86">
                  <c:v>419.80284331345212</c:v>
                </c:pt>
                <c:pt idx="87">
                  <c:v>428.85519840828556</c:v>
                </c:pt>
                <c:pt idx="88">
                  <c:v>437.90344674688339</c:v>
                </c:pt>
                <c:pt idx="89">
                  <c:v>446.94768518373331</c:v>
                </c:pt>
                <c:pt idx="90">
                  <c:v>455.98800633231923</c:v>
                </c:pt>
                <c:pt idx="91">
                  <c:v>434.02612258593172</c:v>
                </c:pt>
                <c:pt idx="92">
                  <c:v>442.21072127655151</c:v>
                </c:pt>
                <c:pt idx="93">
                  <c:v>450.39207405650859</c:v>
                </c:pt>
                <c:pt idx="94">
                  <c:v>458.57024822962632</c:v>
                </c:pt>
                <c:pt idx="95">
                  <c:v>466.74530850225352</c:v>
                </c:pt>
                <c:pt idx="96">
                  <c:v>444.36402075569322</c:v>
                </c:pt>
                <c:pt idx="97">
                  <c:v>452.11405687747123</c:v>
                </c:pt>
                <c:pt idx="98">
                  <c:v>459.86125261266926</c:v>
                </c:pt>
                <c:pt idx="99">
                  <c:v>467.60566258446215</c:v>
                </c:pt>
                <c:pt idx="100">
                  <c:v>475.34733945827844</c:v>
                </c:pt>
                <c:pt idx="101">
                  <c:v>448.8852235510679</c:v>
                </c:pt>
                <c:pt idx="102">
                  <c:v>452.54453064357722</c:v>
                </c:pt>
                <c:pt idx="103">
                  <c:v>456.20320506571079</c:v>
                </c:pt>
                <c:pt idx="104">
                  <c:v>459.86125261266903</c:v>
                </c:pt>
                <c:pt idx="105">
                  <c:v>463.51867897983834</c:v>
                </c:pt>
                <c:pt idx="106">
                  <c:v>467.17548976530162</c:v>
                </c:pt>
                <c:pt idx="107">
                  <c:v>470.83169047226693</c:v>
                </c:pt>
                <c:pt idx="108">
                  <c:v>474.48728651141568</c:v>
                </c:pt>
                <c:pt idx="109">
                  <c:v>478.14228320317648</c:v>
                </c:pt>
                <c:pt idx="110">
                  <c:v>481.79668577992356</c:v>
                </c:pt>
                <c:pt idx="111">
                  <c:v>457.06397832006201</c:v>
                </c:pt>
                <c:pt idx="112">
                  <c:v>460.29157019967244</c:v>
                </c:pt>
                <c:pt idx="113">
                  <c:v>463.51867897983828</c:v>
                </c:pt>
                <c:pt idx="114">
                  <c:v>466.74530850225307</c:v>
                </c:pt>
                <c:pt idx="115">
                  <c:v>469.97146255110664</c:v>
                </c:pt>
                <c:pt idx="116">
                  <c:v>473.19714485434048</c:v>
                </c:pt>
                <c:pt idx="117">
                  <c:v>476.42235908487299</c:v>
                </c:pt>
                <c:pt idx="118">
                  <c:v>479.64710886178545</c:v>
                </c:pt>
                <c:pt idx="119">
                  <c:v>482.87139775147688</c:v>
                </c:pt>
                <c:pt idx="120">
                  <c:v>486.09522926878526</c:v>
                </c:pt>
                <c:pt idx="121">
                  <c:v>462.65816365677983</c:v>
                </c:pt>
                <c:pt idx="122">
                  <c:v>465.02449883304172</c:v>
                </c:pt>
                <c:pt idx="123">
                  <c:v>467.39057722981255</c:v>
                </c:pt>
                <c:pt idx="124">
                  <c:v>469.75640033198715</c:v>
                </c:pt>
                <c:pt idx="125">
                  <c:v>472.12196960826662</c:v>
                </c:pt>
                <c:pt idx="126">
                  <c:v>474.48728651141545</c:v>
                </c:pt>
                <c:pt idx="127">
                  <c:v>476.85235247851648</c:v>
                </c:pt>
                <c:pt idx="128">
                  <c:v>479.21716893121743</c:v>
                </c:pt>
                <c:pt idx="129">
                  <c:v>481.581737275975</c:v>
                </c:pt>
                <c:pt idx="130">
                  <c:v>483.94605890429176</c:v>
                </c:pt>
                <c:pt idx="131">
                  <c:v>464.1640431030271</c:v>
                </c:pt>
                <c:pt idx="132">
                  <c:v>465.8849206089007</c:v>
                </c:pt>
                <c:pt idx="133">
                  <c:v>467.60566258446192</c:v>
                </c:pt>
                <c:pt idx="134">
                  <c:v>469.32626959947964</c:v>
                </c:pt>
                <c:pt idx="135">
                  <c:v>471.04674221919845</c:v>
                </c:pt>
                <c:pt idx="136">
                  <c:v>472.76708100439237</c:v>
                </c:pt>
                <c:pt idx="137">
                  <c:v>474.48728651141568</c:v>
                </c:pt>
                <c:pt idx="138">
                  <c:v>476.20735929225475</c:v>
                </c:pt>
                <c:pt idx="139">
                  <c:v>477.92729989457797</c:v>
                </c:pt>
                <c:pt idx="140">
                  <c:v>479.64710886178551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UBIN/Desktop/VAN-Re&#769;fe&#769;rence%20valeur%20BI%20BO%20B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N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7" displayName="Table_7" ref="B2:G68">
  <tableColumns count="6">
    <tableColumn id="1" xr3:uid="{00000000-0010-0000-0000-000001000000}" name="l"/>
    <tableColumn id="2" xr3:uid="{00000000-0010-0000-0000-000002000000}" name="Infradensité (tMS/m3) "/>
    <tableColumn id="3" xr3:uid="{00000000-0010-0000-0000-000003000000}" name="Type"/>
    <tableColumn id="4" xr3:uid="{00000000-0010-0000-0000-000004000000}" name="Valeur BO"/>
    <tableColumn id="5" xr3:uid="{00000000-0010-0000-0000-000005000000}" name="Valeur BI"/>
    <tableColumn id="6" xr3:uid="{00000000-0010-0000-0000-000006000000}" name="Valeur BE"/>
  </tableColumns>
  <tableStyleInfo name="VAN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9" t="s">
        <v>292</v>
      </c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</row>
    <row r="13" spans="2:13" ht="15" customHeight="1" x14ac:dyDescent="0.2"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</row>
    <row r="14" spans="2:13" ht="15" customHeight="1" x14ac:dyDescent="0.2">
      <c r="B14" s="299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</row>
    <row r="15" spans="2:13" ht="18.75" customHeight="1" x14ac:dyDescent="0.2">
      <c r="B15" s="299"/>
      <c r="C15" s="299"/>
      <c r="D15" s="299"/>
      <c r="E15" s="299"/>
      <c r="F15" s="299"/>
      <c r="G15" s="299"/>
      <c r="H15" s="299"/>
      <c r="I15" s="299"/>
      <c r="J15" s="299"/>
      <c r="K15" s="299"/>
      <c r="L15" s="299"/>
      <c r="M15" s="299"/>
    </row>
    <row r="16" spans="2:13" ht="18.75" customHeight="1" x14ac:dyDescent="0.2">
      <c r="B16" s="299"/>
      <c r="C16" s="299"/>
      <c r="D16" s="299"/>
      <c r="E16" s="299"/>
      <c r="F16" s="299"/>
      <c r="G16" s="299"/>
      <c r="H16" s="299"/>
      <c r="I16" s="299"/>
      <c r="J16" s="299"/>
      <c r="K16" s="299"/>
      <c r="L16" s="299"/>
      <c r="M16" s="299"/>
    </row>
    <row r="18" spans="2:13" ht="12" customHeight="1" x14ac:dyDescent="0.2">
      <c r="B18" s="299" t="s">
        <v>293</v>
      </c>
      <c r="C18" s="299"/>
      <c r="D18" s="299"/>
      <c r="E18" s="299"/>
      <c r="F18" s="299"/>
      <c r="G18" s="299"/>
      <c r="H18" s="299"/>
      <c r="I18" s="299"/>
      <c r="J18" s="299"/>
      <c r="K18" s="299"/>
      <c r="L18" s="299"/>
      <c r="M18" s="299"/>
    </row>
    <row r="19" spans="2:13" ht="12" customHeight="1" x14ac:dyDescent="0.2">
      <c r="B19" s="299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</row>
    <row r="20" spans="2:13" ht="12" customHeight="1" x14ac:dyDescent="0.2">
      <c r="B20" s="299"/>
      <c r="C20" s="299"/>
      <c r="D20" s="299"/>
      <c r="E20" s="299"/>
      <c r="F20" s="299"/>
      <c r="G20" s="299"/>
      <c r="H20" s="299"/>
      <c r="I20" s="299"/>
      <c r="J20" s="299"/>
      <c r="K20" s="299"/>
      <c r="L20" s="299"/>
      <c r="M20" s="299"/>
    </row>
    <row r="21" spans="2:13" ht="12" customHeight="1" x14ac:dyDescent="0.2">
      <c r="B21" s="299"/>
      <c r="C21" s="299"/>
      <c r="D21" s="299"/>
      <c r="E21" s="299"/>
      <c r="F21" s="299"/>
      <c r="G21" s="299"/>
      <c r="H21" s="299"/>
      <c r="I21" s="299"/>
      <c r="J21" s="299"/>
      <c r="K21" s="299"/>
      <c r="L21" s="299"/>
      <c r="M21" s="299"/>
    </row>
    <row r="22" spans="2:13" ht="12" customHeight="1" x14ac:dyDescent="0.2"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</row>
    <row r="23" spans="2:13" ht="12" customHeight="1" x14ac:dyDescent="0.2"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</row>
    <row r="24" spans="2:13" ht="12" customHeight="1" x14ac:dyDescent="0.2"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</row>
    <row r="25" spans="2:13" ht="12" customHeight="1" x14ac:dyDescent="0.2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299"/>
      <c r="M25" s="299"/>
    </row>
    <row r="26" spans="2:13" ht="12" customHeight="1" x14ac:dyDescent="0.2"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</row>
    <row r="27" spans="2:13" ht="12" customHeight="1" x14ac:dyDescent="0.2"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</row>
    <row r="28" spans="2:13" ht="12" customHeight="1" x14ac:dyDescent="0.2">
      <c r="B28" s="299"/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</row>
    <row r="29" spans="2:13" ht="12" customHeight="1" x14ac:dyDescent="0.2">
      <c r="B29" s="299"/>
      <c r="C29" s="299"/>
      <c r="D29" s="299"/>
      <c r="E29" s="299"/>
      <c r="F29" s="299"/>
      <c r="G29" s="299"/>
      <c r="H29" s="299"/>
      <c r="I29" s="299"/>
      <c r="J29" s="299"/>
      <c r="K29" s="299"/>
      <c r="L29" s="299"/>
      <c r="M29" s="299"/>
    </row>
    <row r="30" spans="2:13" ht="12" customHeight="1" x14ac:dyDescent="0.2">
      <c r="B30" s="299"/>
      <c r="C30" s="299"/>
      <c r="D30" s="299"/>
      <c r="E30" s="299"/>
      <c r="F30" s="299"/>
      <c r="G30" s="299"/>
      <c r="H30" s="299"/>
      <c r="I30" s="299"/>
      <c r="J30" s="299"/>
      <c r="K30" s="299"/>
      <c r="L30" s="299"/>
      <c r="M30" s="299"/>
    </row>
    <row r="31" spans="2:13" ht="12" customHeight="1" x14ac:dyDescent="0.2"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3" zoomScaleNormal="90" workbookViewId="0">
      <selection activeCell="F77" sqref="F77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300" t="s">
        <v>190</v>
      </c>
      <c r="D1" s="300"/>
      <c r="E1" s="30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3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305" t="s">
        <v>192</v>
      </c>
      <c r="C3" s="306"/>
      <c r="D3" s="306"/>
      <c r="E3" s="306"/>
      <c r="F3" s="307"/>
      <c r="G3" s="91"/>
      <c r="I3" s="223" t="s">
        <v>305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3"/>
      <c r="B4" s="93"/>
      <c r="C4" s="93"/>
      <c r="D4" s="93"/>
      <c r="E4" s="93"/>
      <c r="F4" s="93"/>
      <c r="G4" s="233"/>
      <c r="I4" s="223" t="s">
        <v>306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11" t="s">
        <v>231</v>
      </c>
      <c r="B5" s="311"/>
      <c r="C5" s="26">
        <v>4.5</v>
      </c>
      <c r="D5" s="312" t="s">
        <v>229</v>
      </c>
      <c r="E5" s="313"/>
      <c r="F5" s="93"/>
      <c r="G5" s="233"/>
      <c r="H5" s="234"/>
      <c r="I5" s="234"/>
      <c r="J5" s="242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4"/>
      <c r="B6" s="94"/>
      <c r="C6" s="95"/>
      <c r="D6" s="89"/>
      <c r="E6" s="89"/>
      <c r="F6" s="29"/>
      <c r="G6" s="235"/>
      <c r="H6" s="236"/>
      <c r="I6" s="236"/>
      <c r="J6" s="243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" x14ac:dyDescent="0.2">
      <c r="A7" s="309" t="s">
        <v>226</v>
      </c>
      <c r="B7" s="309"/>
      <c r="C7" s="93"/>
      <c r="D7" s="93"/>
      <c r="E7" s="5"/>
      <c r="F7" s="93"/>
      <c r="G7" s="233"/>
      <c r="H7" s="234"/>
      <c r="I7" s="234"/>
      <c r="J7" s="242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8"/>
      <c r="J8" s="242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35</v>
      </c>
      <c r="C9" s="35">
        <v>0.36359999999999998</v>
      </c>
      <c r="D9" s="36">
        <f t="shared" ref="D9:D18" si="0">C9*$C$5</f>
        <v>1.6361999999999999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2" t="s">
        <v>307</v>
      </c>
      <c r="I9" s="249"/>
      <c r="J9" s="24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164</v>
      </c>
      <c r="C10" s="35">
        <f>C9</f>
        <v>0.36359999999999998</v>
      </c>
      <c r="D10" s="36">
        <f t="shared" si="0"/>
        <v>1.6361999999999999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49"/>
      <c r="J10" s="24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12</v>
      </c>
      <c r="C11" s="35">
        <f>1-C10-C9</f>
        <v>0.2728000000000001</v>
      </c>
      <c r="D11" s="36">
        <f t="shared" si="0"/>
        <v>1.2276000000000005</v>
      </c>
      <c r="E11" s="37">
        <v>140</v>
      </c>
      <c r="F11" s="38" t="str">
        <f t="array" ref="F11">IF(E11="","",IF(INDEX(A:A,MAX(IF(ISNUMBER($A$88:$A$107),ROW($A$88:$A$107),"")))&lt;&gt;E11,"Corrigez : révolution incorrecte","OK"))</f>
        <v>OK</v>
      </c>
      <c r="H11" s="226"/>
      <c r="I11" s="249"/>
      <c r="J11" s="24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26"/>
      <c r="I12" s="249"/>
      <c r="J12" s="24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6"/>
      <c r="I13" s="249"/>
      <c r="J13" s="24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6"/>
      <c r="I14" s="249"/>
      <c r="J14" s="24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6"/>
      <c r="I15" s="249"/>
      <c r="J15" s="24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6"/>
      <c r="I16" s="249"/>
      <c r="J16" s="24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ht="16" thickBot="1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6"/>
      <c r="I17" s="249"/>
      <c r="J17" s="24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6"/>
      <c r="I18" s="293" t="s">
        <v>405</v>
      </c>
      <c r="J18" s="24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96"/>
      <c r="B19" s="39" t="s">
        <v>175</v>
      </c>
      <c r="C19" s="40">
        <f>SUM(C9:C18)</f>
        <v>1</v>
      </c>
      <c r="D19" s="41">
        <f>SUM(D9:D18)</f>
        <v>4.5</v>
      </c>
      <c r="E19" s="5"/>
      <c r="F19" s="97"/>
      <c r="G19" s="237"/>
      <c r="H19" s="238"/>
      <c r="I19" s="294" t="s">
        <v>406</v>
      </c>
      <c r="J19" s="24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96"/>
      <c r="B20" s="42" t="s">
        <v>230</v>
      </c>
      <c r="C20" s="43" t="str">
        <f>IF(C19&gt;100%,"Erreur : corrigez","OK")</f>
        <v>OK</v>
      </c>
      <c r="D20" s="244"/>
      <c r="F20" s="236"/>
      <c r="G20" s="236"/>
      <c r="H20" s="238"/>
      <c r="I20" s="294" t="s">
        <v>407</v>
      </c>
      <c r="J20" s="24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ht="16" thickBot="1" x14ac:dyDescent="0.25">
      <c r="A21" s="5"/>
      <c r="B21" s="5"/>
      <c r="C21" s="5"/>
      <c r="H21" s="239"/>
      <c r="I21" s="295" t="s">
        <v>164</v>
      </c>
      <c r="J21" s="24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8" t="s">
        <v>232</v>
      </c>
      <c r="B22" s="308"/>
      <c r="C22" s="95"/>
      <c r="H22" s="225"/>
      <c r="I22" s="243"/>
      <c r="J22" s="243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">
      <c r="A23" s="5"/>
      <c r="B23" s="5"/>
      <c r="C23" s="5"/>
      <c r="H23" s="216"/>
      <c r="I23" s="242"/>
      <c r="J23" s="24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0"/>
      <c r="H24" s="226"/>
      <c r="I24" s="240"/>
      <c r="J24" s="241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99"/>
      <c r="E25" s="5"/>
      <c r="F25" s="99"/>
      <c r="G25" s="241"/>
      <c r="H25" s="226"/>
      <c r="I25" s="241"/>
      <c r="J25" s="24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0"/>
      <c r="I26" s="240"/>
      <c r="J26" s="240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0"/>
      <c r="I27" s="240"/>
      <c r="J27" s="240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2"/>
      <c r="I28" s="242"/>
      <c r="J28" s="24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2"/>
      <c r="I29" s="242"/>
      <c r="J29" s="24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10" t="s">
        <v>227</v>
      </c>
      <c r="B30" s="310"/>
      <c r="D30" s="245"/>
      <c r="H30" s="243"/>
      <c r="I30" s="243"/>
      <c r="J30" s="243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">
      <c r="A31" s="5"/>
      <c r="B31" s="5"/>
      <c r="H31" s="242"/>
      <c r="I31" s="242"/>
      <c r="J31" s="242"/>
      <c r="K31" s="24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laricio</v>
      </c>
      <c r="D32" s="253" t="s">
        <v>308</v>
      </c>
      <c r="K32" s="2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88" t="s">
        <v>185</v>
      </c>
      <c r="C34" s="301" t="s">
        <v>186</v>
      </c>
      <c r="D34" s="301"/>
      <c r="E34" s="302" t="s">
        <v>187</v>
      </c>
      <c r="F34" s="303"/>
      <c r="G34" s="303"/>
      <c r="H34" s="304"/>
      <c r="I34" s="100"/>
      <c r="J34" s="246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7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292">
        <v>15</v>
      </c>
      <c r="B36" s="61">
        <v>57</v>
      </c>
      <c r="C36" s="61">
        <v>1</v>
      </c>
      <c r="D36" s="61">
        <v>0</v>
      </c>
      <c r="E36" s="54"/>
      <c r="F36" s="54">
        <v>0.56000000000000005</v>
      </c>
      <c r="G36" s="54">
        <v>0.44</v>
      </c>
      <c r="H36" s="54"/>
      <c r="I36" s="52">
        <f>IFERROR(B36/A36,"")</f>
        <v>3.8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292">
        <v>20</v>
      </c>
      <c r="B37" s="61">
        <v>122</v>
      </c>
      <c r="C37" s="61">
        <v>2</v>
      </c>
      <c r="D37" s="61">
        <v>23</v>
      </c>
      <c r="E37" s="54"/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292">
        <v>25</v>
      </c>
      <c r="B38" s="61">
        <v>176</v>
      </c>
      <c r="C38" s="61">
        <v>3</v>
      </c>
      <c r="D38" s="61">
        <v>42</v>
      </c>
      <c r="E38" s="54"/>
      <c r="F38" s="54">
        <v>0.56000000000000005</v>
      </c>
      <c r="G38" s="54">
        <v>0.44</v>
      </c>
      <c r="H38" s="54"/>
      <c r="I38" s="56">
        <f t="shared" si="1"/>
        <v>15.4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292">
        <v>30</v>
      </c>
      <c r="B39" s="61">
        <v>215</v>
      </c>
      <c r="C39" s="61">
        <v>4</v>
      </c>
      <c r="D39" s="61">
        <v>42</v>
      </c>
      <c r="E39" s="54"/>
      <c r="F39" s="54">
        <v>0.56000000000000005</v>
      </c>
      <c r="G39" s="54">
        <v>0.44</v>
      </c>
      <c r="H39" s="54"/>
      <c r="I39" s="52">
        <f t="shared" si="1"/>
        <v>16.2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292">
        <v>35</v>
      </c>
      <c r="B40" s="61">
        <v>255</v>
      </c>
      <c r="C40" s="61">
        <v>5</v>
      </c>
      <c r="D40" s="61">
        <v>42</v>
      </c>
      <c r="E40" s="54">
        <v>0.2</v>
      </c>
      <c r="F40" s="54">
        <v>0.44800000000000006</v>
      </c>
      <c r="G40" s="54">
        <v>0.35200000000000004</v>
      </c>
      <c r="H40" s="54"/>
      <c r="I40" s="52">
        <f t="shared" si="1"/>
        <v>16.399999999999999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292">
        <v>40</v>
      </c>
      <c r="B41" s="61">
        <v>294</v>
      </c>
      <c r="C41" s="61">
        <v>6</v>
      </c>
      <c r="D41" s="61">
        <v>42</v>
      </c>
      <c r="E41" s="54">
        <v>0.2</v>
      </c>
      <c r="F41" s="54">
        <v>0.44800000000000006</v>
      </c>
      <c r="G41" s="54">
        <v>0.35200000000000004</v>
      </c>
      <c r="H41" s="54"/>
      <c r="I41" s="56">
        <f t="shared" si="1"/>
        <v>16.2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292">
        <v>45</v>
      </c>
      <c r="B42" s="61">
        <v>329</v>
      </c>
      <c r="C42" s="61">
        <v>7</v>
      </c>
      <c r="D42" s="61">
        <v>42</v>
      </c>
      <c r="E42" s="54">
        <v>0.4</v>
      </c>
      <c r="F42" s="54">
        <v>0.33600000000000002</v>
      </c>
      <c r="G42" s="54">
        <v>0.26400000000000001</v>
      </c>
      <c r="H42" s="54"/>
      <c r="I42" s="56">
        <f t="shared" si="1"/>
        <v>15.4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92">
        <v>50</v>
      </c>
      <c r="B43" s="61">
        <v>359</v>
      </c>
      <c r="C43" s="61">
        <v>8</v>
      </c>
      <c r="D43" s="61">
        <v>40</v>
      </c>
      <c r="E43" s="54">
        <v>0.4</v>
      </c>
      <c r="F43" s="54">
        <v>0.33600000000000002</v>
      </c>
      <c r="G43" s="54">
        <v>0.26400000000000001</v>
      </c>
      <c r="H43" s="54"/>
      <c r="I43" s="52">
        <f t="shared" si="1"/>
        <v>14.4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92">
        <v>55</v>
      </c>
      <c r="B44" s="61">
        <v>385</v>
      </c>
      <c r="C44" s="61">
        <v>9</v>
      </c>
      <c r="D44" s="61">
        <v>34</v>
      </c>
      <c r="E44" s="54">
        <v>0.6</v>
      </c>
      <c r="F44" s="54">
        <v>0.22400000000000003</v>
      </c>
      <c r="G44" s="54">
        <v>0.17600000000000002</v>
      </c>
      <c r="H44" s="54"/>
      <c r="I44" s="52">
        <f t="shared" si="1"/>
        <v>13.2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92">
        <v>60</v>
      </c>
      <c r="B45" s="61">
        <v>413</v>
      </c>
      <c r="C45" s="61">
        <v>10</v>
      </c>
      <c r="D45" s="61">
        <v>30</v>
      </c>
      <c r="E45" s="54">
        <v>0.6</v>
      </c>
      <c r="F45" s="54">
        <v>0.22400000000000003</v>
      </c>
      <c r="G45" s="54">
        <v>0.17600000000000002</v>
      </c>
      <c r="H45" s="54"/>
      <c r="I45" s="52">
        <f t="shared" si="1"/>
        <v>12.4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92">
        <v>65</v>
      </c>
      <c r="B46" s="61">
        <v>440</v>
      </c>
      <c r="C46" s="61">
        <v>11</v>
      </c>
      <c r="D46" s="61">
        <v>26</v>
      </c>
      <c r="E46" s="54">
        <v>0.8</v>
      </c>
      <c r="F46" s="54">
        <v>0.11200000000000002</v>
      </c>
      <c r="G46" s="54">
        <v>8.8000000000000009E-2</v>
      </c>
      <c r="H46" s="54"/>
      <c r="I46" s="52">
        <f t="shared" si="1"/>
        <v>11.4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92">
        <v>70</v>
      </c>
      <c r="B47" s="61">
        <v>464</v>
      </c>
      <c r="C47" s="61">
        <v>12</v>
      </c>
      <c r="D47" s="61">
        <v>464</v>
      </c>
      <c r="E47" s="54">
        <v>0.8</v>
      </c>
      <c r="F47" s="54">
        <v>0.11200000000000002</v>
      </c>
      <c r="G47" s="54">
        <v>8.8000000000000009E-2</v>
      </c>
      <c r="H47" s="54"/>
      <c r="I47" s="52">
        <f t="shared" si="1"/>
        <v>10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92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92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77"/>
      <c r="B50" s="53"/>
      <c r="C50" s="61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77"/>
      <c r="B51" s="53"/>
      <c r="C51" s="61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77"/>
      <c r="B52" s="53"/>
      <c r="C52" s="61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77"/>
      <c r="B53" s="53"/>
      <c r="C53" s="61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77"/>
      <c r="B54" s="53"/>
      <c r="C54" s="61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77"/>
      <c r="B55" s="53"/>
      <c r="C55" s="61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Cèdre de l'Atlas</v>
      </c>
      <c r="D58" s="253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88" t="s">
        <v>185</v>
      </c>
      <c r="C60" s="301" t="s">
        <v>186</v>
      </c>
      <c r="D60" s="301"/>
      <c r="E60" s="302" t="s">
        <v>187</v>
      </c>
      <c r="F60" s="303"/>
      <c r="G60" s="303"/>
      <c r="H60" s="304"/>
      <c r="I60" s="100"/>
      <c r="J60" s="24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30</v>
      </c>
      <c r="B62" s="61">
        <v>170</v>
      </c>
      <c r="C62" s="61">
        <v>1</v>
      </c>
      <c r="D62" s="61">
        <v>40</v>
      </c>
      <c r="E62" s="54">
        <v>0</v>
      </c>
      <c r="F62" s="54">
        <f>56%</f>
        <v>0.56000000000000005</v>
      </c>
      <c r="G62" s="54">
        <f>44%</f>
        <v>0.44</v>
      </c>
      <c r="H62" s="54"/>
      <c r="I62" s="56">
        <f>IFERROR(B62/A62,"")</f>
        <v>5.666666666666667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40</v>
      </c>
      <c r="B63" s="61">
        <v>230</v>
      </c>
      <c r="C63" s="61">
        <v>2</v>
      </c>
      <c r="D63" s="61">
        <v>40</v>
      </c>
      <c r="E63" s="54">
        <v>0.2</v>
      </c>
      <c r="F63" s="54">
        <v>0.44800000000000006</v>
      </c>
      <c r="G63" s="54">
        <v>0.35200000000000004</v>
      </c>
      <c r="H63" s="54"/>
      <c r="I63" s="52">
        <f>IF(A63&lt;&gt;0,(B63-(B62-D62))/(A63-A62),"")</f>
        <v>10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50</v>
      </c>
      <c r="B64" s="61">
        <v>295</v>
      </c>
      <c r="C64" s="61">
        <v>3</v>
      </c>
      <c r="D64" s="61">
        <v>40</v>
      </c>
      <c r="E64" s="54">
        <v>0.2</v>
      </c>
      <c r="F64" s="54">
        <v>0.44800000000000006</v>
      </c>
      <c r="G64" s="54">
        <v>0.35200000000000004</v>
      </c>
      <c r="H64" s="54"/>
      <c r="I64" s="52">
        <f>IF(A64&lt;&gt;0,(B64-(B63-D63))/(A64-A63),"")</f>
        <v>10.5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60</v>
      </c>
      <c r="B65" s="61">
        <v>360</v>
      </c>
      <c r="C65" s="61">
        <v>4</v>
      </c>
      <c r="D65" s="61">
        <v>40</v>
      </c>
      <c r="E65" s="54">
        <v>0.4</v>
      </c>
      <c r="F65" s="54">
        <v>0.33600000000000002</v>
      </c>
      <c r="G65" s="54">
        <v>0.26400000000000001</v>
      </c>
      <c r="H65" s="54"/>
      <c r="I65" s="52">
        <f>IF(A65&lt;&gt;0,(B65-(B64-D64))/(A65-A64),"")</f>
        <v>10.5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70</v>
      </c>
      <c r="B66" s="61">
        <v>420</v>
      </c>
      <c r="C66" s="61">
        <v>5</v>
      </c>
      <c r="D66" s="61">
        <v>50</v>
      </c>
      <c r="E66" s="54">
        <v>0.4</v>
      </c>
      <c r="F66" s="54">
        <v>0.33600000000000002</v>
      </c>
      <c r="G66" s="54">
        <v>0.26400000000000001</v>
      </c>
      <c r="H66" s="54"/>
      <c r="I66" s="52">
        <f t="shared" ref="I66:I81" si="2">IF(A66&lt;&gt;0,(B66-(B65-D65))/(A66-A65),"")</f>
        <v>10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80</v>
      </c>
      <c r="B67" s="61">
        <v>470</v>
      </c>
      <c r="C67" s="61">
        <v>6</v>
      </c>
      <c r="D67" s="61">
        <v>60</v>
      </c>
      <c r="E67" s="54">
        <v>0.6</v>
      </c>
      <c r="F67" s="54">
        <v>0.22400000000000003</v>
      </c>
      <c r="G67" s="54">
        <v>0.17600000000000002</v>
      </c>
      <c r="H67" s="54"/>
      <c r="I67" s="52">
        <f t="shared" si="2"/>
        <v>10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90</v>
      </c>
      <c r="B68" s="61">
        <v>490</v>
      </c>
      <c r="C68" s="61">
        <v>7</v>
      </c>
      <c r="D68" s="61">
        <v>490</v>
      </c>
      <c r="E68" s="54">
        <v>0.8</v>
      </c>
      <c r="F68" s="54">
        <v>0.11200000000000002</v>
      </c>
      <c r="G68" s="54">
        <v>8.8000000000000009E-2</v>
      </c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61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61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61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61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61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61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61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61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61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61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61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61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61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pubescent</v>
      </c>
      <c r="D84" s="253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88" t="s">
        <v>185</v>
      </c>
      <c r="C86" s="301" t="s">
        <v>186</v>
      </c>
      <c r="D86" s="301"/>
      <c r="E86" s="302" t="s">
        <v>187</v>
      </c>
      <c r="F86" s="303"/>
      <c r="G86" s="303"/>
      <c r="H86" s="304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61">
        <v>25</v>
      </c>
      <c r="B88" s="61">
        <v>30</v>
      </c>
      <c r="C88" s="61">
        <v>1</v>
      </c>
      <c r="D88" s="61">
        <v>0</v>
      </c>
      <c r="E88" s="54">
        <v>0</v>
      </c>
      <c r="F88" s="54"/>
      <c r="G88" s="54"/>
      <c r="H88" s="296">
        <v>1</v>
      </c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61">
        <v>30</v>
      </c>
      <c r="B89" s="61">
        <v>54</v>
      </c>
      <c r="C89" s="61">
        <v>2</v>
      </c>
      <c r="D89" s="61">
        <v>0</v>
      </c>
      <c r="E89" s="296">
        <v>0</v>
      </c>
      <c r="F89" s="296"/>
      <c r="G89" s="296"/>
      <c r="H89" s="296">
        <v>1</v>
      </c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61">
        <v>35</v>
      </c>
      <c r="B90" s="61">
        <v>79</v>
      </c>
      <c r="C90" s="61">
        <v>3</v>
      </c>
      <c r="D90" s="61">
        <v>14</v>
      </c>
      <c r="E90" s="296">
        <v>0</v>
      </c>
      <c r="F90" s="296"/>
      <c r="G90" s="296"/>
      <c r="H90" s="296">
        <v>1</v>
      </c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61">
        <v>40</v>
      </c>
      <c r="B91" s="61">
        <v>93</v>
      </c>
      <c r="C91" s="61">
        <v>4</v>
      </c>
      <c r="D91" s="61">
        <v>14</v>
      </c>
      <c r="E91" s="296">
        <v>0.2</v>
      </c>
      <c r="F91" s="296"/>
      <c r="G91" s="296"/>
      <c r="H91" s="296">
        <v>0.8</v>
      </c>
      <c r="I91" s="56">
        <f t="shared" si="3"/>
        <v>5.6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61">
        <v>45</v>
      </c>
      <c r="B92" s="61">
        <v>107</v>
      </c>
      <c r="C92" s="61">
        <v>5</v>
      </c>
      <c r="D92" s="61">
        <v>14</v>
      </c>
      <c r="E92" s="296">
        <v>0.2</v>
      </c>
      <c r="F92" s="296"/>
      <c r="G92" s="296"/>
      <c r="H92" s="296">
        <v>0.8</v>
      </c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61">
        <v>50</v>
      </c>
      <c r="B93" s="61">
        <v>121</v>
      </c>
      <c r="C93" s="61">
        <v>6</v>
      </c>
      <c r="D93" s="61">
        <v>14</v>
      </c>
      <c r="E93" s="296">
        <v>0.3</v>
      </c>
      <c r="F93" s="296"/>
      <c r="G93" s="296"/>
      <c r="H93" s="296">
        <v>0.7</v>
      </c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61">
        <v>55</v>
      </c>
      <c r="B94" s="61">
        <v>135</v>
      </c>
      <c r="C94" s="61">
        <v>7</v>
      </c>
      <c r="D94" s="61">
        <v>14</v>
      </c>
      <c r="E94" s="296">
        <v>0.3</v>
      </c>
      <c r="F94" s="296"/>
      <c r="G94" s="296"/>
      <c r="H94" s="296">
        <v>0.7</v>
      </c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1">
        <v>60</v>
      </c>
      <c r="B95" s="61">
        <v>148</v>
      </c>
      <c r="C95" s="61">
        <v>8</v>
      </c>
      <c r="D95" s="61">
        <v>14</v>
      </c>
      <c r="E95" s="296">
        <v>0.4</v>
      </c>
      <c r="F95" s="296"/>
      <c r="G95" s="296"/>
      <c r="H95" s="296">
        <v>0.6</v>
      </c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1">
        <v>65</v>
      </c>
      <c r="B96" s="61">
        <v>161</v>
      </c>
      <c r="C96" s="61">
        <v>9</v>
      </c>
      <c r="D96" s="61">
        <v>14</v>
      </c>
      <c r="E96" s="296">
        <v>0.4</v>
      </c>
      <c r="F96" s="296"/>
      <c r="G96" s="296"/>
      <c r="H96" s="296">
        <v>0.6</v>
      </c>
      <c r="I96" s="56">
        <f t="shared" si="3"/>
        <v>5.4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1">
        <v>70</v>
      </c>
      <c r="B97" s="61">
        <v>172</v>
      </c>
      <c r="C97" s="61">
        <v>10</v>
      </c>
      <c r="D97" s="61">
        <v>14</v>
      </c>
      <c r="E97" s="296">
        <v>0.5</v>
      </c>
      <c r="F97" s="296"/>
      <c r="G97" s="296"/>
      <c r="H97" s="296">
        <v>0.5</v>
      </c>
      <c r="I97" s="56">
        <f t="shared" si="3"/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1">
        <v>75</v>
      </c>
      <c r="B98" s="61">
        <v>183</v>
      </c>
      <c r="C98" s="61">
        <v>11</v>
      </c>
      <c r="D98" s="61">
        <v>14</v>
      </c>
      <c r="E98" s="296">
        <v>0.5</v>
      </c>
      <c r="F98" s="296"/>
      <c r="G98" s="296"/>
      <c r="H98" s="296">
        <v>0.5</v>
      </c>
      <c r="I98" s="56">
        <f t="shared" si="3"/>
        <v>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1">
        <v>80</v>
      </c>
      <c r="B99" s="61">
        <v>192</v>
      </c>
      <c r="C99" s="61">
        <v>12</v>
      </c>
      <c r="D99" s="61">
        <v>14</v>
      </c>
      <c r="E99" s="298">
        <v>0.6</v>
      </c>
      <c r="F99" s="298"/>
      <c r="G99" s="298"/>
      <c r="H99" s="298">
        <v>0.4</v>
      </c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1">
        <v>85</v>
      </c>
      <c r="B100" s="61">
        <v>200</v>
      </c>
      <c r="C100" s="61">
        <v>13</v>
      </c>
      <c r="D100" s="61">
        <v>14</v>
      </c>
      <c r="E100" s="298">
        <v>0.6</v>
      </c>
      <c r="F100" s="298"/>
      <c r="G100" s="298"/>
      <c r="H100" s="298">
        <v>0.4</v>
      </c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1">
        <v>90</v>
      </c>
      <c r="B101" s="53">
        <v>207</v>
      </c>
      <c r="C101" s="61">
        <v>14</v>
      </c>
      <c r="D101" s="61">
        <v>14</v>
      </c>
      <c r="E101" s="57">
        <v>0.7</v>
      </c>
      <c r="F101" s="57"/>
      <c r="G101" s="57"/>
      <c r="H101" s="57">
        <v>0.3</v>
      </c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1">
        <v>95</v>
      </c>
      <c r="B102" s="53">
        <v>212</v>
      </c>
      <c r="C102" s="61">
        <v>15</v>
      </c>
      <c r="D102" s="61">
        <v>14</v>
      </c>
      <c r="E102" s="57">
        <v>0.7</v>
      </c>
      <c r="F102" s="57"/>
      <c r="G102" s="57"/>
      <c r="H102" s="57">
        <v>0.3</v>
      </c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1">
        <v>100</v>
      </c>
      <c r="B103" s="53">
        <v>216</v>
      </c>
      <c r="C103" s="61">
        <v>16</v>
      </c>
      <c r="D103" s="53">
        <v>14</v>
      </c>
      <c r="E103" s="57">
        <v>0.8</v>
      </c>
      <c r="F103" s="57"/>
      <c r="G103" s="57"/>
      <c r="H103" s="57">
        <v>0.2</v>
      </c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53">
        <v>110</v>
      </c>
      <c r="B104" s="53">
        <v>219</v>
      </c>
      <c r="C104" s="61">
        <v>17</v>
      </c>
      <c r="D104" s="53">
        <v>13</v>
      </c>
      <c r="E104" s="57">
        <v>0.8</v>
      </c>
      <c r="F104" s="57"/>
      <c r="G104" s="57"/>
      <c r="H104" s="57">
        <v>0.2</v>
      </c>
      <c r="I104" s="56">
        <f t="shared" si="3"/>
        <v>1.7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120</v>
      </c>
      <c r="B105" s="53">
        <v>221</v>
      </c>
      <c r="C105" s="61">
        <v>18</v>
      </c>
      <c r="D105" s="53">
        <v>12</v>
      </c>
      <c r="E105" s="57">
        <v>0.8</v>
      </c>
      <c r="F105" s="57"/>
      <c r="G105" s="57"/>
      <c r="H105" s="57">
        <v>0.2</v>
      </c>
      <c r="I105" s="56">
        <f t="shared" si="3"/>
        <v>1.5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>
        <v>130</v>
      </c>
      <c r="B106" s="53">
        <v>220</v>
      </c>
      <c r="C106" s="61">
        <v>19</v>
      </c>
      <c r="D106" s="53">
        <v>10</v>
      </c>
      <c r="E106" s="57">
        <v>0.8</v>
      </c>
      <c r="F106" s="57"/>
      <c r="G106" s="57"/>
      <c r="H106" s="57">
        <v>0.2</v>
      </c>
      <c r="I106" s="56">
        <f t="shared" si="3"/>
        <v>1.1000000000000001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>
        <v>140</v>
      </c>
      <c r="B107" s="53">
        <v>218</v>
      </c>
      <c r="C107" s="61">
        <v>20</v>
      </c>
      <c r="D107" s="53">
        <f>B107</f>
        <v>218</v>
      </c>
      <c r="E107" s="57">
        <v>0.8</v>
      </c>
      <c r="F107" s="57"/>
      <c r="G107" s="57"/>
      <c r="H107" s="57">
        <v>0.2</v>
      </c>
      <c r="I107" s="56">
        <f t="shared" si="3"/>
        <v>0.8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3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88" t="s">
        <v>185</v>
      </c>
      <c r="C112" s="301" t="s">
        <v>186</v>
      </c>
      <c r="D112" s="301"/>
      <c r="E112" s="302" t="s">
        <v>187</v>
      </c>
      <c r="F112" s="303"/>
      <c r="G112" s="303"/>
      <c r="H112" s="304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61"/>
      <c r="B114" s="61"/>
      <c r="C114" s="61"/>
      <c r="D114" s="61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61"/>
      <c r="B115" s="61"/>
      <c r="C115" s="61"/>
      <c r="D115" s="61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61"/>
      <c r="B116" s="61"/>
      <c r="C116" s="61"/>
      <c r="D116" s="61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61"/>
      <c r="B117" s="61"/>
      <c r="C117" s="61"/>
      <c r="D117" s="61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292"/>
      <c r="B118" s="61"/>
      <c r="C118" s="61"/>
      <c r="D118" s="61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292"/>
      <c r="B119" s="61"/>
      <c r="C119" s="61"/>
      <c r="D119" s="61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292"/>
      <c r="B120" s="61"/>
      <c r="C120" s="61"/>
      <c r="D120" s="61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292"/>
      <c r="B121" s="61"/>
      <c r="C121" s="61"/>
      <c r="D121" s="61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292"/>
      <c r="B122" s="61"/>
      <c r="C122" s="61"/>
      <c r="D122" s="61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292"/>
      <c r="B123" s="61"/>
      <c r="C123" s="61"/>
      <c r="D123" s="61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292"/>
      <c r="B124" s="61"/>
      <c r="C124" s="61"/>
      <c r="D124" s="61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292"/>
      <c r="B125" s="61"/>
      <c r="C125" s="61"/>
      <c r="D125" s="61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292"/>
      <c r="B126" s="61"/>
      <c r="C126" s="61"/>
      <c r="D126" s="61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277"/>
      <c r="B127" s="61"/>
      <c r="C127" s="61"/>
      <c r="D127" s="61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277"/>
      <c r="B128" s="53"/>
      <c r="C128" s="61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277"/>
      <c r="B129" s="53"/>
      <c r="C129" s="61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277"/>
      <c r="B130" s="53"/>
      <c r="C130" s="61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277"/>
      <c r="B131" s="53"/>
      <c r="C131" s="61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277"/>
      <c r="B132" s="53"/>
      <c r="C132" s="61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277"/>
      <c r="B133" s="53"/>
      <c r="C133" s="61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3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88" t="s">
        <v>185</v>
      </c>
      <c r="C138" s="301" t="s">
        <v>186</v>
      </c>
      <c r="D138" s="301"/>
      <c r="E138" s="302" t="s">
        <v>187</v>
      </c>
      <c r="F138" s="303"/>
      <c r="G138" s="303"/>
      <c r="H138" s="304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292"/>
      <c r="B140" s="61"/>
      <c r="C140" s="61"/>
      <c r="D140" s="61"/>
      <c r="E140" s="54"/>
      <c r="F140" s="54"/>
      <c r="G140" s="54"/>
      <c r="H140" s="54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292"/>
      <c r="B141" s="61"/>
      <c r="C141" s="61"/>
      <c r="D141" s="61"/>
      <c r="E141" s="54"/>
      <c r="F141" s="54"/>
      <c r="G141" s="54"/>
      <c r="H141" s="54"/>
      <c r="I141" s="59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292"/>
      <c r="B142" s="61"/>
      <c r="C142" s="61"/>
      <c r="D142" s="61"/>
      <c r="E142" s="54"/>
      <c r="F142" s="54"/>
      <c r="G142" s="54"/>
      <c r="H142" s="54"/>
      <c r="I142" s="59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292"/>
      <c r="B143" s="61"/>
      <c r="C143" s="61"/>
      <c r="D143" s="61"/>
      <c r="E143" s="54"/>
      <c r="F143" s="54"/>
      <c r="G143" s="54"/>
      <c r="H143" s="54"/>
      <c r="I143" s="59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292"/>
      <c r="B144" s="61"/>
      <c r="C144" s="61"/>
      <c r="D144" s="61"/>
      <c r="E144" s="54"/>
      <c r="F144" s="54"/>
      <c r="G144" s="54"/>
      <c r="H144" s="54"/>
      <c r="I144" s="59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292"/>
      <c r="B145" s="61"/>
      <c r="C145" s="61"/>
      <c r="D145" s="61"/>
      <c r="E145" s="54"/>
      <c r="F145" s="54"/>
      <c r="G145" s="54"/>
      <c r="H145" s="54"/>
      <c r="I145" s="59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292"/>
      <c r="B146" s="61"/>
      <c r="C146" s="61"/>
      <c r="D146" s="61"/>
      <c r="E146" s="54"/>
      <c r="F146" s="54"/>
      <c r="G146" s="54"/>
      <c r="H146" s="54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292"/>
      <c r="B147" s="61"/>
      <c r="C147" s="61"/>
      <c r="D147" s="61"/>
      <c r="E147" s="54"/>
      <c r="F147" s="54"/>
      <c r="G147" s="54"/>
      <c r="H147" s="5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292"/>
      <c r="B148" s="61"/>
      <c r="C148" s="61"/>
      <c r="D148" s="61"/>
      <c r="E148" s="54"/>
      <c r="F148" s="54"/>
      <c r="G148" s="54"/>
      <c r="H148" s="5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292"/>
      <c r="B149" s="61"/>
      <c r="C149" s="61"/>
      <c r="D149" s="61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292"/>
      <c r="B150" s="61"/>
      <c r="C150" s="61"/>
      <c r="D150" s="61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292"/>
      <c r="B151" s="61"/>
      <c r="C151" s="61"/>
      <c r="D151" s="61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292"/>
      <c r="B152" s="61"/>
      <c r="C152" s="61"/>
      <c r="D152" s="61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277"/>
      <c r="B153" s="61"/>
      <c r="C153" s="61"/>
      <c r="D153" s="61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277"/>
      <c r="B154" s="53"/>
      <c r="C154" s="61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277"/>
      <c r="B155" s="53"/>
      <c r="C155" s="61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277"/>
      <c r="B156" s="53"/>
      <c r="C156" s="61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277"/>
      <c r="B157" s="53"/>
      <c r="C157" s="61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277"/>
      <c r="B158" s="53"/>
      <c r="C158" s="61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277"/>
      <c r="B159" s="53"/>
      <c r="C159" s="61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3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88" t="s">
        <v>185</v>
      </c>
      <c r="C164" s="301" t="s">
        <v>186</v>
      </c>
      <c r="D164" s="301"/>
      <c r="E164" s="302" t="s">
        <v>187</v>
      </c>
      <c r="F164" s="303"/>
      <c r="G164" s="303"/>
      <c r="H164" s="304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292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292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292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292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292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292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292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292"/>
      <c r="B173" s="61"/>
      <c r="C173" s="61"/>
      <c r="D173" s="61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292"/>
      <c r="B174" s="61"/>
      <c r="C174" s="61"/>
      <c r="D174" s="61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292"/>
      <c r="B175" s="61"/>
      <c r="C175" s="61"/>
      <c r="D175" s="61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292"/>
      <c r="B176" s="61"/>
      <c r="C176" s="61"/>
      <c r="D176" s="61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292"/>
      <c r="B177" s="61"/>
      <c r="C177" s="61"/>
      <c r="D177" s="61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292"/>
      <c r="B178" s="61"/>
      <c r="C178" s="61"/>
      <c r="D178" s="61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277"/>
      <c r="B179" s="61"/>
      <c r="C179" s="61"/>
      <c r="D179" s="61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277"/>
      <c r="B180" s="53"/>
      <c r="C180" s="61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277"/>
      <c r="B181" s="53"/>
      <c r="C181" s="61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277"/>
      <c r="B182" s="53"/>
      <c r="C182" s="61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277"/>
      <c r="B183" s="53"/>
      <c r="C183" s="61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277"/>
      <c r="B184" s="53"/>
      <c r="C184" s="61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277"/>
      <c r="B185" s="53"/>
      <c r="C185" s="61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3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88" t="s">
        <v>185</v>
      </c>
      <c r="C190" s="301" t="s">
        <v>186</v>
      </c>
      <c r="D190" s="301"/>
      <c r="E190" s="302" t="s">
        <v>187</v>
      </c>
      <c r="F190" s="303"/>
      <c r="G190" s="303"/>
      <c r="H190" s="304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1"/>
      <c r="C192" s="61">
        <v>1</v>
      </c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1"/>
      <c r="C193" s="61">
        <v>2</v>
      </c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1"/>
      <c r="C194" s="61">
        <v>3</v>
      </c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1"/>
      <c r="C195" s="61">
        <v>4</v>
      </c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1"/>
      <c r="C196" s="61">
        <v>5</v>
      </c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1"/>
      <c r="C197" s="61">
        <v>6</v>
      </c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1"/>
      <c r="C198" s="61">
        <v>7</v>
      </c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61">
        <v>8</v>
      </c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61">
        <v>9</v>
      </c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61">
        <v>10</v>
      </c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61">
        <v>11</v>
      </c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61">
        <v>12</v>
      </c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61">
        <v>13</v>
      </c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61">
        <v>14</v>
      </c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61">
        <v>15</v>
      </c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61">
        <v>16</v>
      </c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61">
        <v>17</v>
      </c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61">
        <v>18</v>
      </c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61">
        <v>19</v>
      </c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61">
        <v>20</v>
      </c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3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88" t="s">
        <v>185</v>
      </c>
      <c r="C216" s="301" t="s">
        <v>186</v>
      </c>
      <c r="D216" s="301"/>
      <c r="E216" s="302" t="s">
        <v>187</v>
      </c>
      <c r="F216" s="303"/>
      <c r="G216" s="303"/>
      <c r="H216" s="304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1"/>
      <c r="C218" s="61">
        <v>1</v>
      </c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1"/>
      <c r="C219" s="61">
        <v>2</v>
      </c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1"/>
      <c r="C220" s="61">
        <v>3</v>
      </c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3"/>
      <c r="B221" s="61"/>
      <c r="C221" s="61">
        <v>4</v>
      </c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3"/>
      <c r="B222" s="61"/>
      <c r="C222" s="61">
        <v>5</v>
      </c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3"/>
      <c r="B223" s="61"/>
      <c r="C223" s="61">
        <v>6</v>
      </c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3"/>
      <c r="B224" s="61"/>
      <c r="C224" s="61">
        <v>7</v>
      </c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3"/>
      <c r="B225" s="53"/>
      <c r="C225" s="61">
        <v>8</v>
      </c>
      <c r="D225" s="53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3"/>
      <c r="B226" s="53"/>
      <c r="C226" s="61">
        <v>9</v>
      </c>
      <c r="D226" s="53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3"/>
      <c r="B227" s="53"/>
      <c r="C227" s="61">
        <v>10</v>
      </c>
      <c r="D227" s="53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3"/>
      <c r="B228" s="53"/>
      <c r="C228" s="61">
        <v>11</v>
      </c>
      <c r="D228" s="53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3"/>
      <c r="B229" s="53"/>
      <c r="C229" s="61">
        <v>12</v>
      </c>
      <c r="D229" s="53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3"/>
      <c r="B230" s="53"/>
      <c r="C230" s="61">
        <v>13</v>
      </c>
      <c r="D230" s="53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53"/>
      <c r="B231" s="53"/>
      <c r="C231" s="61">
        <v>14</v>
      </c>
      <c r="D231" s="53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61">
        <v>15</v>
      </c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61">
        <v>16</v>
      </c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61">
        <v>17</v>
      </c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61">
        <v>18</v>
      </c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61">
        <v>19</v>
      </c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61">
        <v>20</v>
      </c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3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88" t="s">
        <v>185</v>
      </c>
      <c r="C242" s="301" t="s">
        <v>186</v>
      </c>
      <c r="D242" s="301"/>
      <c r="E242" s="302" t="s">
        <v>187</v>
      </c>
      <c r="F242" s="303"/>
      <c r="G242" s="303"/>
      <c r="H242" s="304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1"/>
      <c r="C244" s="61">
        <v>1</v>
      </c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1"/>
      <c r="C245" s="61">
        <v>2</v>
      </c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1"/>
      <c r="C246" s="61">
        <v>3</v>
      </c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1"/>
      <c r="C247" s="61">
        <v>4</v>
      </c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1"/>
      <c r="C248" s="61">
        <v>5</v>
      </c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1"/>
      <c r="C249" s="61">
        <v>6</v>
      </c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1"/>
      <c r="C250" s="61">
        <v>7</v>
      </c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61">
        <v>8</v>
      </c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61">
        <v>9</v>
      </c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61">
        <v>10</v>
      </c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61">
        <v>11</v>
      </c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61">
        <v>12</v>
      </c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61">
        <v>13</v>
      </c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0"/>
      <c r="B257" s="61"/>
      <c r="C257" s="61">
        <v>14</v>
      </c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61">
        <v>15</v>
      </c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61">
        <v>16</v>
      </c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61">
        <v>17</v>
      </c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61">
        <v>18</v>
      </c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61">
        <v>19</v>
      </c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61">
        <v>20</v>
      </c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3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88" t="s">
        <v>185</v>
      </c>
      <c r="C268" s="301" t="s">
        <v>186</v>
      </c>
      <c r="D268" s="301"/>
      <c r="E268" s="302" t="s">
        <v>187</v>
      </c>
      <c r="F268" s="303"/>
      <c r="G268" s="303"/>
      <c r="H268" s="304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1"/>
      <c r="C270" s="61">
        <v>1</v>
      </c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1"/>
      <c r="C271" s="61">
        <v>2</v>
      </c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1"/>
      <c r="C272" s="61">
        <v>3</v>
      </c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1"/>
      <c r="C273" s="61">
        <v>4</v>
      </c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1"/>
      <c r="C274" s="61">
        <v>5</v>
      </c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1"/>
      <c r="C275" s="61">
        <v>6</v>
      </c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1"/>
      <c r="C276" s="61">
        <v>7</v>
      </c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61">
        <v>8</v>
      </c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61">
        <v>9</v>
      </c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61">
        <v>10</v>
      </c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61">
        <v>11</v>
      </c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61">
        <v>12</v>
      </c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61">
        <v>13</v>
      </c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0"/>
      <c r="B283" s="61"/>
      <c r="C283" s="61">
        <v>14</v>
      </c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61">
        <v>15</v>
      </c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61">
        <v>16</v>
      </c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61">
        <v>17</v>
      </c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61">
        <v>18</v>
      </c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61">
        <v>19</v>
      </c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61">
        <v>20</v>
      </c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4" zoomScale="115" zoomScaleNormal="115" workbookViewId="0">
      <selection activeCell="H8" sqref="H8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15" t="s">
        <v>191</v>
      </c>
      <c r="C2" s="316"/>
      <c r="D2" s="316"/>
      <c r="E2" s="316"/>
      <c r="F2" s="316"/>
      <c r="G2" s="31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14"/>
      <c r="C4" s="314"/>
      <c r="D4" s="314"/>
      <c r="E4" s="314"/>
      <c r="F4" s="314"/>
      <c r="G4" s="31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3" t="s">
        <v>297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2"/>
      <c r="C6" s="232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4"/>
      <c r="B7" s="29" t="s">
        <v>296</v>
      </c>
      <c r="C7" s="105" t="s">
        <v>214</v>
      </c>
      <c r="D7" s="230"/>
      <c r="E7" s="106"/>
      <c r="F7" s="29" t="s">
        <v>296</v>
      </c>
      <c r="G7" s="105" t="s">
        <v>215</v>
      </c>
      <c r="H7" s="231"/>
      <c r="I7" s="231"/>
      <c r="J7" s="231"/>
      <c r="K7" s="231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">
      <c r="A8" s="110">
        <v>1</v>
      </c>
      <c r="B8" s="62">
        <v>0</v>
      </c>
      <c r="C8" s="52" t="s">
        <v>177</v>
      </c>
      <c r="D8" s="25"/>
      <c r="E8" s="110">
        <v>4</v>
      </c>
      <c r="F8" s="62">
        <v>1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1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1"/>
      <c r="B13" s="112"/>
      <c r="C13" s="103" t="s">
        <v>273</v>
      </c>
      <c r="D13" s="231"/>
      <c r="E13" s="104"/>
      <c r="F13" s="112"/>
      <c r="G13" s="103" t="s">
        <v>302</v>
      </c>
      <c r="H13" s="231"/>
      <c r="I13" s="231"/>
      <c r="J13" s="231"/>
      <c r="K13" s="231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">
      <c r="A14" s="231"/>
      <c r="B14" s="112"/>
      <c r="C14" s="103" t="s">
        <v>310</v>
      </c>
      <c r="D14" s="231"/>
      <c r="E14" s="104"/>
      <c r="F14" s="112"/>
      <c r="G14" s="103" t="s">
        <v>295</v>
      </c>
      <c r="H14" s="231"/>
      <c r="I14" s="231"/>
      <c r="J14" s="231"/>
      <c r="K14" s="231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1">
        <f>SUM(B16:B18)</f>
        <v>0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5" defaultRowHeight="15" x14ac:dyDescent="0.2"/>
  <cols>
    <col min="1" max="1" width="6.83203125" style="68" bestFit="1" customWidth="1"/>
    <col min="2" max="4" width="11.5" style="68"/>
    <col min="5" max="5" width="9.5" style="68" customWidth="1"/>
    <col min="6" max="7" width="11.5" style="68"/>
    <col min="8" max="8" width="10.6640625" style="68" customWidth="1"/>
    <col min="9" max="9" width="9.5" style="68" customWidth="1"/>
    <col min="10" max="11" width="10.5" style="68" bestFit="1" customWidth="1"/>
    <col min="12" max="12" width="14" style="68" bestFit="1" customWidth="1"/>
    <col min="13" max="13" width="14" style="68" customWidth="1"/>
    <col min="14" max="23" width="11.5" style="68"/>
    <col min="24" max="24" width="11.6640625" style="68" bestFit="1" customWidth="1"/>
    <col min="25" max="25" width="14.5" style="68" bestFit="1" customWidth="1"/>
    <col min="26" max="26" width="12.5" style="68" bestFit="1" customWidth="1"/>
    <col min="27" max="27" width="9.6640625" style="68" bestFit="1" customWidth="1"/>
    <col min="28" max="28" width="11" style="68" bestFit="1" customWidth="1"/>
    <col min="29" max="29" width="9.5" style="68" bestFit="1" customWidth="1"/>
    <col min="30" max="31" width="9.5" style="68" customWidth="1"/>
    <col min="32" max="32" width="11.5" style="68"/>
    <col min="33" max="34" width="14" style="68" bestFit="1" customWidth="1"/>
    <col min="35" max="35" width="10.5" style="68" bestFit="1" customWidth="1"/>
    <col min="36" max="36" width="9.5" style="68" bestFit="1" customWidth="1"/>
    <col min="37" max="38" width="10.5" style="68" bestFit="1" customWidth="1"/>
    <col min="39" max="41" width="10.5" style="68" customWidth="1"/>
    <col min="42" max="42" width="9" style="68" bestFit="1" customWidth="1"/>
    <col min="43" max="43" width="10.5" style="68" bestFit="1" customWidth="1"/>
    <col min="44" max="44" width="9.33203125" style="68" bestFit="1" customWidth="1"/>
    <col min="45" max="45" width="11.6640625" style="68" bestFit="1" customWidth="1"/>
    <col min="46" max="46" width="8.5" style="68" bestFit="1" customWidth="1"/>
    <col min="47" max="47" width="9.5" style="68" bestFit="1" customWidth="1"/>
    <col min="48" max="48" width="9.6640625" style="68" bestFit="1" customWidth="1"/>
    <col min="49" max="49" width="11" style="68" bestFit="1" customWidth="1"/>
    <col min="50" max="50" width="9.5" style="68" bestFit="1" customWidth="1"/>
    <col min="51" max="52" width="9.5" style="68" customWidth="1"/>
    <col min="53" max="53" width="10.5" style="68" bestFit="1" customWidth="1"/>
    <col min="54" max="54" width="14.33203125" style="68" customWidth="1"/>
    <col min="55" max="55" width="14" style="68" customWidth="1"/>
    <col min="56" max="56" width="10.5" style="68" bestFit="1" customWidth="1"/>
    <col min="57" max="57" width="9.5" style="68" bestFit="1" customWidth="1"/>
    <col min="58" max="59" width="10.5" style="68" bestFit="1" customWidth="1"/>
    <col min="60" max="62" width="10.5" style="68" customWidth="1"/>
    <col min="63" max="63" width="9" style="68" bestFit="1" customWidth="1"/>
    <col min="64" max="64" width="10.5" style="68" bestFit="1" customWidth="1"/>
    <col min="65" max="65" width="9.33203125" style="68" bestFit="1" customWidth="1"/>
    <col min="66" max="66" width="11.6640625" style="68" bestFit="1" customWidth="1"/>
    <col min="67" max="67" width="8.5" style="68" bestFit="1" customWidth="1"/>
    <col min="68" max="68" width="9.5" style="68" bestFit="1" customWidth="1"/>
    <col min="69" max="69" width="9.6640625" style="68" bestFit="1" customWidth="1"/>
    <col min="70" max="70" width="11" style="68" bestFit="1" customWidth="1"/>
    <col min="71" max="71" width="9.5" style="68" bestFit="1" customWidth="1"/>
    <col min="72" max="73" width="9.5" style="68" customWidth="1"/>
    <col min="74" max="74" width="10.5" style="68" bestFit="1" customWidth="1"/>
    <col min="75" max="75" width="14" style="68" bestFit="1" customWidth="1"/>
    <col min="76" max="76" width="13.83203125" style="68" customWidth="1"/>
    <col min="77" max="77" width="10.5" style="68" bestFit="1" customWidth="1"/>
    <col min="78" max="78" width="9.5" style="68" bestFit="1" customWidth="1"/>
    <col min="79" max="80" width="10.5" style="68" bestFit="1" customWidth="1"/>
    <col min="81" max="83" width="10.5" style="68" customWidth="1"/>
    <col min="84" max="84" width="11.5" style="68"/>
    <col min="85" max="85" width="10.5" style="68" bestFit="1" customWidth="1"/>
    <col min="86" max="86" width="9.33203125" style="68" bestFit="1" customWidth="1"/>
    <col min="87" max="87" width="11.6640625" style="68" bestFit="1" customWidth="1"/>
    <col min="88" max="88" width="8.5" style="68" bestFit="1" customWidth="1"/>
    <col min="89" max="89" width="9.5" style="68" bestFit="1" customWidth="1"/>
    <col min="90" max="90" width="9.6640625" style="68" bestFit="1" customWidth="1"/>
    <col min="91" max="91" width="11" style="68" bestFit="1" customWidth="1"/>
    <col min="92" max="92" width="9.5" style="68" bestFit="1" customWidth="1"/>
    <col min="93" max="94" width="9.5" style="68" customWidth="1"/>
    <col min="95" max="95" width="11.5" style="68"/>
    <col min="96" max="97" width="14" style="68" customWidth="1"/>
    <col min="98" max="98" width="10.5" style="68" bestFit="1" customWidth="1"/>
    <col min="99" max="99" width="9.5" style="68" bestFit="1" customWidth="1"/>
    <col min="100" max="101" width="10.5" style="68" bestFit="1" customWidth="1"/>
    <col min="102" max="104" width="10.5" style="68" customWidth="1"/>
    <col min="105" max="105" width="9" style="68" bestFit="1" customWidth="1"/>
    <col min="106" max="106" width="10.5" style="68" bestFit="1" customWidth="1"/>
    <col min="107" max="107" width="9.33203125" style="68" bestFit="1" customWidth="1"/>
    <col min="108" max="108" width="11.6640625" style="68" bestFit="1" customWidth="1"/>
    <col min="109" max="109" width="8.5" style="68" bestFit="1" customWidth="1"/>
    <col min="110" max="110" width="9.5" style="68" bestFit="1" customWidth="1"/>
    <col min="111" max="111" width="9.6640625" style="68" bestFit="1" customWidth="1"/>
    <col min="112" max="112" width="11" style="68" bestFit="1" customWidth="1"/>
    <col min="113" max="113" width="9.5" style="68" bestFit="1" customWidth="1"/>
    <col min="114" max="115" width="9.5" style="68" customWidth="1"/>
    <col min="116" max="116" width="10.5" style="68" bestFit="1" customWidth="1"/>
    <col min="117" max="117" width="14.33203125" style="68" customWidth="1"/>
    <col min="118" max="118" width="14" style="68" bestFit="1" customWidth="1"/>
    <col min="119" max="119" width="10.5" style="68" bestFit="1" customWidth="1"/>
    <col min="120" max="120" width="9.5" style="68" bestFit="1" customWidth="1"/>
    <col min="121" max="122" width="10.5" style="68" bestFit="1" customWidth="1"/>
    <col min="123" max="125" width="10.5" style="68" customWidth="1"/>
    <col min="126" max="126" width="9" style="68" bestFit="1" customWidth="1"/>
    <col min="127" max="127" width="10.5" style="68" bestFit="1" customWidth="1"/>
    <col min="128" max="128" width="9.33203125" style="68" bestFit="1" customWidth="1"/>
    <col min="129" max="129" width="11.6640625" style="68" bestFit="1" customWidth="1"/>
    <col min="130" max="130" width="8.5" style="68" bestFit="1" customWidth="1"/>
    <col min="131" max="131" width="9.5" style="68" bestFit="1" customWidth="1"/>
    <col min="132" max="132" width="9.6640625" style="68" bestFit="1" customWidth="1"/>
    <col min="133" max="133" width="11" style="68" bestFit="1" customWidth="1"/>
    <col min="134" max="134" width="9.5" style="68" bestFit="1" customWidth="1"/>
    <col min="135" max="136" width="9.5" style="68" customWidth="1"/>
    <col min="137" max="137" width="10.5" style="68" bestFit="1" customWidth="1"/>
    <col min="138" max="139" width="14" style="68" customWidth="1"/>
    <col min="140" max="140" width="10.5" style="68" bestFit="1" customWidth="1"/>
    <col min="141" max="141" width="9.5" style="68" bestFit="1" customWidth="1"/>
    <col min="142" max="143" width="10.5" style="68" bestFit="1" customWidth="1"/>
    <col min="144" max="146" width="10.5" style="68" customWidth="1"/>
    <col min="147" max="147" width="9" style="68" bestFit="1" customWidth="1"/>
    <col min="148" max="148" width="10.5" style="68" bestFit="1" customWidth="1"/>
    <col min="149" max="149" width="9.33203125" style="68" bestFit="1" customWidth="1"/>
    <col min="150" max="150" width="11.6640625" style="68" bestFit="1" customWidth="1"/>
    <col min="151" max="151" width="8.5" style="68" bestFit="1" customWidth="1"/>
    <col min="152" max="152" width="9.5" style="68" bestFit="1" customWidth="1"/>
    <col min="153" max="153" width="9.6640625" style="68" bestFit="1" customWidth="1"/>
    <col min="154" max="154" width="11" style="68" bestFit="1" customWidth="1"/>
    <col min="155" max="155" width="9.5" style="68" bestFit="1" customWidth="1"/>
    <col min="156" max="157" width="9.5" style="68" customWidth="1"/>
    <col min="158" max="158" width="11.5" style="68"/>
    <col min="159" max="160" width="14" style="68" bestFit="1" customWidth="1"/>
    <col min="161" max="161" width="10.5" style="68" bestFit="1" customWidth="1"/>
    <col min="162" max="162" width="9.5" style="68" bestFit="1" customWidth="1"/>
    <col min="163" max="164" width="10.5" style="68" bestFit="1" customWidth="1"/>
    <col min="165" max="167" width="10.5" style="68" customWidth="1"/>
    <col min="168" max="168" width="9" style="68" bestFit="1" customWidth="1"/>
    <col min="169" max="169" width="10.5" style="68" bestFit="1" customWidth="1"/>
    <col min="170" max="170" width="9.33203125" style="68" bestFit="1" customWidth="1"/>
    <col min="171" max="171" width="11.6640625" style="68" bestFit="1" customWidth="1"/>
    <col min="172" max="172" width="8.1640625" style="68" bestFit="1" customWidth="1"/>
    <col min="173" max="173" width="9.5" style="68" bestFit="1" customWidth="1"/>
    <col min="174" max="174" width="9.6640625" style="68" bestFit="1" customWidth="1"/>
    <col min="175" max="175" width="11" style="68" bestFit="1" customWidth="1"/>
    <col min="176" max="176" width="9.5" style="68" bestFit="1" customWidth="1"/>
    <col min="177" max="178" width="9.5" style="68" customWidth="1"/>
    <col min="179" max="179" width="10.5" style="68" bestFit="1" customWidth="1"/>
    <col min="180" max="181" width="14" style="68" bestFit="1" customWidth="1"/>
    <col min="182" max="182" width="10.5" style="68" bestFit="1" customWidth="1"/>
    <col min="183" max="183" width="9.5" style="68" bestFit="1" customWidth="1"/>
    <col min="184" max="185" width="10.5" style="68" bestFit="1" customWidth="1"/>
    <col min="186" max="188" width="10.5" style="68" customWidth="1"/>
    <col min="189" max="189" width="9" style="68" bestFit="1" customWidth="1"/>
    <col min="190" max="190" width="10.5" style="68" bestFit="1" customWidth="1"/>
    <col min="191" max="191" width="9.33203125" style="68" bestFit="1" customWidth="1"/>
    <col min="192" max="192" width="11.5" style="68"/>
    <col min="193" max="193" width="8.5" style="68" bestFit="1" customWidth="1"/>
    <col min="194" max="194" width="9.5" style="68" bestFit="1" customWidth="1"/>
    <col min="195" max="195" width="9.6640625" style="68" bestFit="1" customWidth="1"/>
    <col min="196" max="196" width="11" style="68" bestFit="1" customWidth="1"/>
    <col min="197" max="197" width="9.5" style="68" bestFit="1" customWidth="1"/>
    <col min="198" max="199" width="9.5" style="68" customWidth="1"/>
    <col min="200" max="200" width="10.5" style="68" bestFit="1" customWidth="1"/>
    <col min="201" max="201" width="14" style="68" customWidth="1"/>
    <col min="202" max="202" width="14.33203125" style="68" customWidth="1"/>
    <col min="203" max="203" width="10.5" style="68" bestFit="1" customWidth="1"/>
    <col min="204" max="204" width="9.5" style="68" bestFit="1" customWidth="1"/>
    <col min="205" max="206" width="10.5" style="68" bestFit="1" customWidth="1"/>
    <col min="207" max="209" width="10.5" style="68" customWidth="1"/>
    <col min="210" max="210" width="9" style="68" bestFit="1" customWidth="1"/>
    <col min="211" max="211" width="10.5" style="68" bestFit="1" customWidth="1"/>
    <col min="212" max="212" width="9.33203125" style="68" bestFit="1" customWidth="1"/>
    <col min="213" max="213" width="11.6640625" style="68" bestFit="1" customWidth="1"/>
    <col min="214" max="214" width="8.5" style="68" bestFit="1" customWidth="1"/>
    <col min="215" max="215" width="9.5" style="68" bestFit="1" customWidth="1"/>
    <col min="216" max="216" width="9.6640625" style="68" bestFit="1" customWidth="1"/>
    <col min="217" max="217" width="11" style="68" bestFit="1" customWidth="1"/>
    <col min="218" max="218" width="9.5" style="68" bestFit="1" customWidth="1"/>
    <col min="219" max="16384" width="11.5" style="68"/>
  </cols>
  <sheetData>
    <row r="1" spans="1:218" s="5" customFormat="1" ht="27" thickBot="1" x14ac:dyDescent="0.35">
      <c r="B1" s="321" t="s">
        <v>176</v>
      </c>
      <c r="C1" s="322"/>
      <c r="D1" s="322"/>
      <c r="E1" s="322"/>
      <c r="F1" s="322"/>
      <c r="G1" s="322"/>
      <c r="H1" s="323"/>
      <c r="I1" s="318" t="str">
        <f>IF('Données projet'!$B$9="","",'Données projet'!$B$9)</f>
        <v>Pin laricio</v>
      </c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20"/>
      <c r="AD1" s="319" t="str">
        <f>IF('Données projet'!$B$10="","",'Données projet'!$B$10)</f>
        <v>Cèdre de l'Atlas</v>
      </c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20"/>
      <c r="AY1" s="318" t="str">
        <f>IF('Données projet'!$B$11="","",'Données projet'!$B$11)</f>
        <v>Chêne pubescent</v>
      </c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20"/>
      <c r="BT1" s="318" t="str">
        <f>IF('Données projet'!$B$12="","",'Données projet'!$B$12)</f>
        <v/>
      </c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20"/>
      <c r="CO1" s="318" t="str">
        <f>IF('Données projet'!$B$13="","",'Données projet'!$B$13)</f>
        <v/>
      </c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20"/>
      <c r="DJ1" s="318" t="str">
        <f>IF('Données projet'!$B$14="","",'Données projet'!$B$14)</f>
        <v/>
      </c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20"/>
      <c r="EE1" s="318" t="str">
        <f>IF('Données projet'!$B$15="","",'Données projet'!$B$15)</f>
        <v/>
      </c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20"/>
      <c r="EZ1" s="318" t="str">
        <f>IF('Données projet'!$B$16="","",'Données projet'!$B$16)</f>
        <v/>
      </c>
      <c r="FA1" s="319"/>
      <c r="FB1" s="319"/>
      <c r="FC1" s="319"/>
      <c r="FD1" s="319"/>
      <c r="FE1" s="319"/>
      <c r="FF1" s="319"/>
      <c r="FG1" s="319"/>
      <c r="FH1" s="319"/>
      <c r="FI1" s="319"/>
      <c r="FJ1" s="319"/>
      <c r="FK1" s="319"/>
      <c r="FL1" s="319"/>
      <c r="FM1" s="319"/>
      <c r="FN1" s="319"/>
      <c r="FO1" s="319"/>
      <c r="FP1" s="319"/>
      <c r="FQ1" s="319"/>
      <c r="FR1" s="319"/>
      <c r="FS1" s="319"/>
      <c r="FT1" s="320"/>
      <c r="FU1" s="318" t="str">
        <f>IF('Données projet'!$B$17="","",'Données projet'!$B$17)</f>
        <v/>
      </c>
      <c r="FV1" s="319"/>
      <c r="FW1" s="319"/>
      <c r="FX1" s="319"/>
      <c r="FY1" s="319"/>
      <c r="FZ1" s="319"/>
      <c r="GA1" s="319"/>
      <c r="GB1" s="319"/>
      <c r="GC1" s="319"/>
      <c r="GD1" s="319"/>
      <c r="GE1" s="319"/>
      <c r="GF1" s="319"/>
      <c r="GG1" s="319"/>
      <c r="GH1" s="319"/>
      <c r="GI1" s="319"/>
      <c r="GJ1" s="319"/>
      <c r="GK1" s="319"/>
      <c r="GL1" s="319"/>
      <c r="GM1" s="319"/>
      <c r="GN1" s="319"/>
      <c r="GO1" s="320"/>
      <c r="GP1" s="318" t="str">
        <f>IF('Données projet'!$B$18="","",'Données projet'!$B$18)</f>
        <v/>
      </c>
      <c r="GQ1" s="319"/>
      <c r="GR1" s="319"/>
      <c r="GS1" s="319"/>
      <c r="GT1" s="319"/>
      <c r="GU1" s="319"/>
      <c r="GV1" s="319"/>
      <c r="GW1" s="319"/>
      <c r="GX1" s="319"/>
      <c r="GY1" s="319"/>
      <c r="GZ1" s="319"/>
      <c r="HA1" s="319"/>
      <c r="HB1" s="319"/>
      <c r="HC1" s="319"/>
      <c r="HD1" s="319"/>
      <c r="HE1" s="319"/>
      <c r="HF1" s="319"/>
      <c r="HG1" s="319"/>
      <c r="HH1" s="319"/>
      <c r="HI1" s="319"/>
      <c r="HJ1" s="320"/>
    </row>
    <row r="2" spans="1:218" s="5" customFormat="1" ht="65" thickBot="1" x14ac:dyDescent="0.2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6" t="s">
        <v>300</v>
      </c>
      <c r="I2" s="69" t="s">
        <v>299</v>
      </c>
      <c r="J2" s="70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299</v>
      </c>
      <c r="AE2" s="70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299</v>
      </c>
      <c r="AZ2" s="70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299</v>
      </c>
      <c r="BU2" s="70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299</v>
      </c>
      <c r="CP2" s="70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299</v>
      </c>
      <c r="DK2" s="70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299</v>
      </c>
      <c r="EF2" s="70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299</v>
      </c>
      <c r="FA2" s="70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299</v>
      </c>
      <c r="FV2" s="70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299</v>
      </c>
      <c r="GQ2" s="70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222.57099967987045</v>
      </c>
      <c r="T3" s="60">
        <f>IF('Données projet'!E9&gt;30,$R$33-$H$33,LOOKUP('Données projet'!$E$9,$A$3:$A$203,R3:R203)-LOOKUP('Données projet'!$E$9,$A$3:$A$203,$H$3:$H$203))</f>
        <v>221.49027090502796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147.1675182177155</v>
      </c>
      <c r="AO3" s="60">
        <f>IF('Données projet'!E10&gt;30,$AM$33-$H$33,LOOKUP('Données projet'!$E$10,$A$3:$A$203,AM3:AM203)-LOOKUP('Données projet'!$E$10,$A$3:$A$203,$H$3:$H$203))</f>
        <v>115.86489547584461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166.48525819448878</v>
      </c>
      <c r="BJ3" s="60">
        <f>IF('Données projet'!E11&gt;30,$BH$33-$H$33,LOOKUP('Données projet'!$E$11,$A$3:$A$203,BH3:BH203)-LOOKUP('Données projet'!$E$11,$A$3:$A$203,$H$3:$H$203))</f>
        <v>61.876502626609977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0" t="e">
        <f>CB3+(BT3+BU3)*44/12</f>
        <v>#N/A</v>
      </c>
      <c r="CD3" s="60" t="e">
        <f ca="1">AVERAGE(OFFSET($CC$3,0,0,'Données projet'!$E$12+1,1))-AVERAGE(OFFSET($H$3,0,0,'Données projet'!$E$12+1,1))</f>
        <v>#N/A</v>
      </c>
      <c r="CE3" s="60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0" t="e">
        <f>CW3+(CO3+CP3)*44/12</f>
        <v>#N/A</v>
      </c>
      <c r="CY3" s="60" t="e">
        <f ca="1">AVERAGE(OFFSET($CX$3,0,0,'Données projet'!$E$13+1,1))-AVERAGE(OFFSET($H$3,0,0,'Données projet'!$E$13+1,1))</f>
        <v>#N/A</v>
      </c>
      <c r="CZ3" s="60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</v>
      </c>
      <c r="N4" s="14">
        <f>IF('Données projet'!$A$36&gt;35,N3+M4-V3,IF(A4&lt;'Données projet'!$A$36,$K$205^A4,IF(A4='Données projet'!$A$36,'Données projet'!$B$36,N3+M4-V3)))</f>
        <v>1.3093577517960842</v>
      </c>
      <c r="O4" s="14">
        <f>N4*VLOOKUP('Données projet'!$B$9,Paramètres!$A$1:$I$88,3,0)*VLOOKUP('Données projet'!$B$9,Paramètres!$A$1:$I$88,5,0)</f>
        <v>0.78299593557405833</v>
      </c>
      <c r="P4" s="14">
        <f>EXP(-1.0587+0.8836*LN(O4)+0.284)</f>
        <v>0.37125983376235627</v>
      </c>
      <c r="Q4" s="22">
        <f t="shared" ref="Q4:Q34" si="2">(O4+P4)*0.475*44/12</f>
        <v>2.0103287982609221</v>
      </c>
      <c r="R4" s="60">
        <f t="shared" si="0"/>
        <v>295.34366213159421</v>
      </c>
      <c r="S4" s="60">
        <f ca="1">AVERAGE(OFFSET($R$3,0,0,'Données projet'!$E$9+1,1))-AVERAGE(OFFSET($H$3,0,0,'Données projet'!$E$9+1,1))</f>
        <v>222.57099967987045</v>
      </c>
      <c r="T4" s="60">
        <f>$T$3</f>
        <v>221.49027090502796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5.666666666666667</v>
      </c>
      <c r="AI4" s="14">
        <f>IF('Données projet'!$A$62&gt;35,AI3+AH4-AQ3,IF(A4&lt;'Données projet'!$A$62,$AF$205^A4,IF(A4='Données projet'!$A$62,'Données projet'!$B$62,AI3+AH4-AQ3)))</f>
        <v>1.1867200975826817</v>
      </c>
      <c r="AJ4" s="14">
        <f>AI4*VLOOKUP('Données projet'!$B$10,Paramètres!$A$1:$I$88,3,0)*VLOOKUP('Données projet'!$B$10,Paramètres!$A$1:$I$88,5,0)</f>
        <v>0.55538500566869509</v>
      </c>
      <c r="AK4" s="14">
        <f>EXP(-1.0587+0.8836*LN(AJ4)+0.284)</f>
        <v>0.27407880760927583</v>
      </c>
      <c r="AL4" s="22">
        <f t="shared" ref="AL4:AL67" si="4">(AJ4+AK4)*0.475*44/12</f>
        <v>1.4446494747924661</v>
      </c>
      <c r="AM4" s="60">
        <f t="shared" ref="AM4:AM67" si="5">AL4+(AD4+AE4)*44/12</f>
        <v>294.77798280812578</v>
      </c>
      <c r="AN4" s="60">
        <f ca="1">AVERAGE(OFFSET($AM$3,0,0,'Données projet'!$E$10+1,1))-AVERAGE(OFFSET($H$3,0,0,'Données projet'!$E$10+1,1))</f>
        <v>147.1675182177155</v>
      </c>
      <c r="AO4" s="60">
        <f>$AO$3</f>
        <v>115.86489547584461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projet'!$B$11,Paramètres!$A$1:$I$88,3,0)*VLOOKUP('Données projet'!$B$11,Paramètres!$A$1:$I$88,5,0)</f>
        <v>1.161777082395637</v>
      </c>
      <c r="BF4" s="14">
        <f>EXP(-1.0587+0.8836*LN(BE4)+0.284)</f>
        <v>0.52613182870286601</v>
      </c>
      <c r="BG4" s="22">
        <f t="shared" ref="BG4:BG67" si="7">(BE4+BF4)*0.475*44/12</f>
        <v>2.9397746868298928</v>
      </c>
      <c r="BH4" s="60">
        <f t="shared" ref="BH4:BH67" si="8">BG4+(AY4+AZ4)*44/12</f>
        <v>296.27310802016319</v>
      </c>
      <c r="BI4" s="60">
        <f ca="1">AVERAGE(OFFSET($BH$3,0,0,'Données projet'!$E$11+1,1))-AVERAGE(OFFSET($H$3,0,0,'Données projet'!$E$11+1,1))</f>
        <v>166.48525819448878</v>
      </c>
      <c r="BJ4" s="60">
        <f>$BJ$3</f>
        <v>61.876502626609977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0" t="e">
        <f t="shared" ref="CC4:CC67" si="11">CB4+(BT4+BU4)*44/12</f>
        <v>#N/A</v>
      </c>
      <c r="CD4" s="60" t="e">
        <f ca="1">AVERAGE(OFFSET($CC$3,0,0,'Données projet'!$E$12+1,1))-AVERAGE(OFFSET($H$3,0,0,'Données projet'!$E$12+1,1))</f>
        <v>#N/A</v>
      </c>
      <c r="CE4" s="60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0" t="e">
        <f t="shared" ref="CX4:CX67" si="14">CW4+(CO4+CP4)*44/12</f>
        <v>#N/A</v>
      </c>
      <c r="CY4" s="60" t="e">
        <f ca="1">AVERAGE(OFFSET($CX$3,0,0,'Données projet'!$E$13+1,1))-AVERAGE(OFFSET($H$3,0,0,'Données projet'!$E$13+1,1))</f>
        <v>#N/A</v>
      </c>
      <c r="CZ4" s="60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</v>
      </c>
      <c r="N5" s="14">
        <f>IF('Données projet'!$A$36&gt;35,N4+M5-V4,IF(A5&lt;'Données projet'!$A$36,$K$205^A5,IF(A5='Données projet'!$A$36,'Données projet'!$B$36,N4+M5-V4)))</f>
        <v>1.714417722188496</v>
      </c>
      <c r="O5" s="14">
        <f>N5*VLOOKUP('Données projet'!$B$9,Paramètres!$A$1:$I$88,3,0)*VLOOKUP('Données projet'!$B$9,Paramètres!$A$1:$I$88,5,0)</f>
        <v>1.0252217978687208</v>
      </c>
      <c r="P5" s="14">
        <f t="shared" ref="P5:P68" si="33">EXP(-1.0587+0.8836*LN(O5)+0.284)</f>
        <v>0.47109739277938234</v>
      </c>
      <c r="Q5" s="22">
        <f t="shared" si="2"/>
        <v>2.6060892570454466</v>
      </c>
      <c r="R5" s="60">
        <f t="shared" si="0"/>
        <v>295.93942259037874</v>
      </c>
      <c r="S5" s="60">
        <f ca="1">AVERAGE(OFFSET($R$3,0,0,'Données projet'!$E$9+1,1))-AVERAGE(OFFSET($H$3,0,0,'Données projet'!$E$9+1,1))</f>
        <v>222.57099967987045</v>
      </c>
      <c r="T5" s="60">
        <f t="shared" ref="T5:T68" si="34">$T$3</f>
        <v>221.49027090502796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5.666666666666667</v>
      </c>
      <c r="AI5" s="14">
        <f>IF('Données projet'!$A$62&gt;35,AI4+AH5-AQ4,IF(A5&lt;'Données projet'!$A$62,$AF$205^A5,IF(A5='Données projet'!$A$62,'Données projet'!$B$62,AI4+AH5-AQ4)))</f>
        <v>1.4083045900066495</v>
      </c>
      <c r="AJ5" s="14">
        <f>AI5*VLOOKUP('Données projet'!$B$10,Paramètres!$A$1:$I$88,3,0)*VLOOKUP('Données projet'!$B$10,Paramètres!$A$1:$I$88,5,0)</f>
        <v>0.65908654812311196</v>
      </c>
      <c r="AK5" s="14">
        <f t="shared" ref="AK5:AK68" si="35">EXP(-1.0587+0.8836*LN(AJ5)+0.284)</f>
        <v>0.31883765901680755</v>
      </c>
      <c r="AL5" s="22">
        <f t="shared" si="4"/>
        <v>1.7032179941020262</v>
      </c>
      <c r="AM5" s="60">
        <f t="shared" si="5"/>
        <v>295.03655132743535</v>
      </c>
      <c r="AN5" s="60">
        <f ca="1">AVERAGE(OFFSET($AM$3,0,0,'Données projet'!$E$10+1,1))-AVERAGE(OFFSET($H$3,0,0,'Données projet'!$E$10+1,1))</f>
        <v>147.1675182177155</v>
      </c>
      <c r="AO5" s="60">
        <f t="shared" ref="AO5:AO68" si="36">$AO$3</f>
        <v>115.86489547584461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projet'!$B$11,Paramètres!$A$1:$I$88,3,0)*VLOOKUP('Données projet'!$B$11,Paramètres!$A$1:$I$88,5,0)</f>
        <v>1.3310907191121488</v>
      </c>
      <c r="BF5" s="14">
        <f t="shared" ref="BF5:BF68" si="37">EXP(-1.0587+0.8836*LN(BE5)+0.284)</f>
        <v>0.59333770733536928</v>
      </c>
      <c r="BG5" s="22">
        <f t="shared" si="7"/>
        <v>3.3517128427294267</v>
      </c>
      <c r="BH5" s="60">
        <f t="shared" si="8"/>
        <v>296.68504617606277</v>
      </c>
      <c r="BI5" s="60">
        <f ca="1">AVERAGE(OFFSET($BH$3,0,0,'Données projet'!$E$11+1,1))-AVERAGE(OFFSET($H$3,0,0,'Données projet'!$E$11+1,1))</f>
        <v>166.48525819448878</v>
      </c>
      <c r="BJ5" s="60">
        <f t="shared" ref="BJ5:BJ68" si="38">$BJ$3</f>
        <v>61.876502626609977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0" t="e">
        <f t="shared" si="11"/>
        <v>#N/A</v>
      </c>
      <c r="CD5" s="60" t="e">
        <f ca="1">AVERAGE(OFFSET($CC$3,0,0,'Données projet'!$E$12+1,1))-AVERAGE(OFFSET($H$3,0,0,'Données projet'!$E$12+1,1))</f>
        <v>#N/A</v>
      </c>
      <c r="CE5" s="60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0" t="e">
        <f t="shared" si="14"/>
        <v>#N/A</v>
      </c>
      <c r="CY5" s="60" t="e">
        <f ca="1">AVERAGE(OFFSET($CX$3,0,0,'Données projet'!$E$13+1,1))-AVERAGE(OFFSET($H$3,0,0,'Données projet'!$E$13+1,1))</f>
        <v>#N/A</v>
      </c>
      <c r="CZ5" s="60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</v>
      </c>
      <c r="N6" s="14">
        <f>IF('Données projet'!$A$36&gt;35,N5+M6-V5,IF(A6&lt;'Données projet'!$A$36,$K$205^A6,IF(A6='Données projet'!$A$36,'Données projet'!$B$36,N5+M6-V5)))</f>
        <v>2.2447861343640927</v>
      </c>
      <c r="O6" s="14">
        <f>N6*VLOOKUP('Données projet'!$B$9,Paramètres!$A$1:$I$88,3,0)*VLOOKUP('Données projet'!$B$9,Paramètres!$A$1:$I$88,5,0)</f>
        <v>1.3423821083497276</v>
      </c>
      <c r="P6" s="14">
        <f t="shared" si="33"/>
        <v>0.59778282836163454</v>
      </c>
      <c r="Q6" s="22">
        <f t="shared" si="2"/>
        <v>3.3791205981056223</v>
      </c>
      <c r="R6" s="60">
        <f t="shared" si="0"/>
        <v>296.71245393143892</v>
      </c>
      <c r="S6" s="60">
        <f ca="1">AVERAGE(OFFSET($R$3,0,0,'Données projet'!$E$9+1,1))-AVERAGE(OFFSET($H$3,0,0,'Données projet'!$E$9+1,1))</f>
        <v>222.57099967987045</v>
      </c>
      <c r="T6" s="60">
        <f t="shared" si="34"/>
        <v>221.49027090502796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5.666666666666667</v>
      </c>
      <c r="AI6" s="14">
        <f>IF('Données projet'!$A$62&gt;35,AI5+AH6-AQ5,IF(A6&lt;'Données projet'!$A$62,$AF$205^A6,IF(A6='Données projet'!$A$62,'Données projet'!$B$62,AI5+AH6-AQ5)))</f>
        <v>1.6712633604788296</v>
      </c>
      <c r="AJ6" s="14">
        <f>AI6*VLOOKUP('Données projet'!$B$10,Paramètres!$A$1:$I$88,3,0)*VLOOKUP('Données projet'!$B$10,Paramètres!$A$1:$I$88,5,0)</f>
        <v>0.78215125270409225</v>
      </c>
      <c r="AK6" s="14">
        <f t="shared" si="35"/>
        <v>0.37090592189177923</v>
      </c>
      <c r="AL6" s="22">
        <f t="shared" si="4"/>
        <v>2.0082412457544763</v>
      </c>
      <c r="AM6" s="60">
        <f t="shared" si="5"/>
        <v>295.34157457908782</v>
      </c>
      <c r="AN6" s="60">
        <f ca="1">AVERAGE(OFFSET($AM$3,0,0,'Données projet'!$E$10+1,1))-AVERAGE(OFFSET($H$3,0,0,'Données projet'!$E$10+1,1))</f>
        <v>147.1675182177155</v>
      </c>
      <c r="AO6" s="60">
        <f t="shared" si="36"/>
        <v>115.86489547584461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projet'!$B$11,Paramètres!$A$1:$I$88,3,0)*VLOOKUP('Données projet'!$B$11,Paramètres!$A$1:$I$88,5,0)</f>
        <v>1.525079577962547</v>
      </c>
      <c r="BF6" s="14">
        <f t="shared" si="37"/>
        <v>0.6691281837366525</v>
      </c>
      <c r="BG6" s="22">
        <f t="shared" si="7"/>
        <v>3.8215785182927724</v>
      </c>
      <c r="BH6" s="60">
        <f t="shared" si="8"/>
        <v>297.15491185162608</v>
      </c>
      <c r="BI6" s="60">
        <f ca="1">AVERAGE(OFFSET($BH$3,0,0,'Données projet'!$E$11+1,1))-AVERAGE(OFFSET($H$3,0,0,'Données projet'!$E$11+1,1))</f>
        <v>166.48525819448878</v>
      </c>
      <c r="BJ6" s="60">
        <f t="shared" si="38"/>
        <v>61.876502626609977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0" t="e">
        <f t="shared" si="11"/>
        <v>#N/A</v>
      </c>
      <c r="CD6" s="60" t="e">
        <f ca="1">AVERAGE(OFFSET($CC$3,0,0,'Données projet'!$E$12+1,1))-AVERAGE(OFFSET($H$3,0,0,'Données projet'!$E$12+1,1))</f>
        <v>#N/A</v>
      </c>
      <c r="CE6" s="60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0" t="e">
        <f t="shared" si="14"/>
        <v>#N/A</v>
      </c>
      <c r="CY6" s="60" t="e">
        <f ca="1">AVERAGE(OFFSET($CX$3,0,0,'Données projet'!$E$13+1,1))-AVERAGE(OFFSET($H$3,0,0,'Données projet'!$E$13+1,1))</f>
        <v>#N/A</v>
      </c>
      <c r="CZ6" s="60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</v>
      </c>
      <c r="N7" s="14">
        <f>IF('Données projet'!$A$36&gt;35,N6+M7-V6,IF(A7&lt;'Données projet'!$A$36,$K$205^A7,IF(A7='Données projet'!$A$36,'Données projet'!$B$36,N6+M7-V6)))</f>
        <v>2.9392281261539908</v>
      </c>
      <c r="O7" s="14">
        <f>N7*VLOOKUP('Données projet'!$B$9,Paramètres!$A$1:$I$88,3,0)*VLOOKUP('Données projet'!$B$9,Paramètres!$A$1:$I$88,5,0)</f>
        <v>1.7576584194400868</v>
      </c>
      <c r="P7" s="14">
        <f t="shared" si="33"/>
        <v>0.75853595320444034</v>
      </c>
      <c r="Q7" s="22">
        <f t="shared" si="2"/>
        <v>4.3823718656892181</v>
      </c>
      <c r="R7" s="60">
        <f t="shared" si="0"/>
        <v>297.71570519902252</v>
      </c>
      <c r="S7" s="60">
        <f ca="1">AVERAGE(OFFSET($R$3,0,0,'Données projet'!$E$9+1,1))-AVERAGE(OFFSET($H$3,0,0,'Données projet'!$E$9+1,1))</f>
        <v>222.57099967987045</v>
      </c>
      <c r="T7" s="60">
        <f t="shared" si="34"/>
        <v>221.49027090502796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5.666666666666667</v>
      </c>
      <c r="AI7" s="14">
        <f>IF('Données projet'!$A$62&gt;35,AI6+AH7-AQ6,IF(A7&lt;'Données projet'!$A$62,$AF$205^A7,IF(A7='Données projet'!$A$62,'Données projet'!$B$62,AI6+AH7-AQ6)))</f>
        <v>1.9833218182337973</v>
      </c>
      <c r="AJ7" s="14">
        <f>AI7*VLOOKUP('Données projet'!$B$10,Paramètres!$A$1:$I$88,3,0)*VLOOKUP('Données projet'!$B$10,Paramètres!$A$1:$I$88,5,0)</f>
        <v>0.92819461093341715</v>
      </c>
      <c r="AK7" s="14">
        <f t="shared" si="35"/>
        <v>0.43147727065433811</v>
      </c>
      <c r="AL7" s="22">
        <f t="shared" si="4"/>
        <v>2.3680951937653405</v>
      </c>
      <c r="AM7" s="60">
        <f t="shared" si="5"/>
        <v>295.70142852709864</v>
      </c>
      <c r="AN7" s="60">
        <f ca="1">AVERAGE(OFFSET($AM$3,0,0,'Données projet'!$E$10+1,1))-AVERAGE(OFFSET($H$3,0,0,'Données projet'!$E$10+1,1))</f>
        <v>147.1675182177155</v>
      </c>
      <c r="AO7" s="60">
        <f t="shared" si="36"/>
        <v>115.86489547584461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projet'!$B$11,Paramètres!$A$1:$I$88,3,0)*VLOOKUP('Données projet'!$B$11,Paramètres!$A$1:$I$88,5,0)</f>
        <v>1.7473397460616347</v>
      </c>
      <c r="BF7" s="14">
        <f t="shared" si="37"/>
        <v>0.7545998185105095</v>
      </c>
      <c r="BG7" s="22">
        <f t="shared" si="7"/>
        <v>4.357544741629817</v>
      </c>
      <c r="BH7" s="60">
        <f t="shared" si="8"/>
        <v>297.69087807496311</v>
      </c>
      <c r="BI7" s="60">
        <f ca="1">AVERAGE(OFFSET($BH$3,0,0,'Données projet'!$E$11+1,1))-AVERAGE(OFFSET($H$3,0,0,'Données projet'!$E$11+1,1))</f>
        <v>166.48525819448878</v>
      </c>
      <c r="BJ7" s="60">
        <f t="shared" si="38"/>
        <v>61.876502626609977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0" t="e">
        <f t="shared" si="11"/>
        <v>#N/A</v>
      </c>
      <c r="CD7" s="60" t="e">
        <f ca="1">AVERAGE(OFFSET($CC$3,0,0,'Données projet'!$E$12+1,1))-AVERAGE(OFFSET($H$3,0,0,'Données projet'!$E$12+1,1))</f>
        <v>#N/A</v>
      </c>
      <c r="CE7" s="60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0" t="e">
        <f t="shared" si="14"/>
        <v>#N/A</v>
      </c>
      <c r="CY7" s="60" t="e">
        <f ca="1">AVERAGE(OFFSET($CX$3,0,0,'Données projet'!$E$13+1,1))-AVERAGE(OFFSET($H$3,0,0,'Données projet'!$E$13+1,1))</f>
        <v>#N/A</v>
      </c>
      <c r="CZ7" s="60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</v>
      </c>
      <c r="N8" s="14">
        <f>IF('Données projet'!$A$36&gt;35,N7+M8-V7,IF(A8&lt;'Données projet'!$A$36,$K$205^A8,IF(A8='Données projet'!$A$36,'Données projet'!$B$36,N7+M8-V7)))</f>
        <v>3.8485011312768065</v>
      </c>
      <c r="O8" s="14">
        <f>N8*VLOOKUP('Données projet'!$B$9,Paramètres!$A$1:$I$88,3,0)*VLOOKUP('Données projet'!$B$9,Paramètres!$A$1:$I$88,5,0)</f>
        <v>2.3014036765035306</v>
      </c>
      <c r="P8" s="14">
        <f t="shared" si="33"/>
        <v>0.96251810022834772</v>
      </c>
      <c r="Q8" s="22">
        <f t="shared" si="2"/>
        <v>5.684663761141354</v>
      </c>
      <c r="R8" s="60">
        <f t="shared" si="0"/>
        <v>299.01799709447465</v>
      </c>
      <c r="S8" s="60">
        <f ca="1">AVERAGE(OFFSET($R$3,0,0,'Données projet'!$E$9+1,1))-AVERAGE(OFFSET($H$3,0,0,'Données projet'!$E$9+1,1))</f>
        <v>222.57099967987045</v>
      </c>
      <c r="T8" s="60">
        <f t="shared" si="34"/>
        <v>221.49027090502796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5.666666666666667</v>
      </c>
      <c r="AI8" s="14">
        <f>IF('Données projet'!$A$62&gt;35,AI7+AH8-AQ7,IF(A8&lt;'Données projet'!$A$62,$AF$205^A8,IF(A8='Données projet'!$A$62,'Données projet'!$B$62,AI7+AH8-AQ7)))</f>
        <v>2.3536478616722736</v>
      </c>
      <c r="AJ8" s="14">
        <f>AI8*VLOOKUP('Données projet'!$B$10,Paramètres!$A$1:$I$88,3,0)*VLOOKUP('Données projet'!$B$10,Paramètres!$A$1:$I$88,5,0)</f>
        <v>1.101507199262624</v>
      </c>
      <c r="AK8" s="14">
        <f t="shared" si="35"/>
        <v>0.50194031451899346</v>
      </c>
      <c r="AL8" s="22">
        <f t="shared" si="4"/>
        <v>2.7926710865029833</v>
      </c>
      <c r="AM8" s="60">
        <f t="shared" si="5"/>
        <v>296.12600441983631</v>
      </c>
      <c r="AN8" s="60">
        <f ca="1">AVERAGE(OFFSET($AM$3,0,0,'Données projet'!$E$10+1,1))-AVERAGE(OFFSET($H$3,0,0,'Données projet'!$E$10+1,1))</f>
        <v>147.1675182177155</v>
      </c>
      <c r="AO8" s="60">
        <f t="shared" si="36"/>
        <v>115.86489547584461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projet'!$B$11,Paramètres!$A$1:$I$88,3,0)*VLOOKUP('Données projet'!$B$11,Paramètres!$A$1:$I$88,5,0)</f>
        <v>2.0019913926365076</v>
      </c>
      <c r="BF8" s="14">
        <f t="shared" si="37"/>
        <v>0.85098924232460604</v>
      </c>
      <c r="BG8" s="22">
        <f t="shared" si="7"/>
        <v>4.9689412725572728</v>
      </c>
      <c r="BH8" s="60">
        <f t="shared" si="8"/>
        <v>298.3022746058906</v>
      </c>
      <c r="BI8" s="60">
        <f ca="1">AVERAGE(OFFSET($BH$3,0,0,'Données projet'!$E$11+1,1))-AVERAGE(OFFSET($H$3,0,0,'Données projet'!$E$11+1,1))</f>
        <v>166.48525819448878</v>
      </c>
      <c r="BJ8" s="60">
        <f t="shared" si="38"/>
        <v>61.876502626609977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0" t="e">
        <f t="shared" si="11"/>
        <v>#N/A</v>
      </c>
      <c r="CD8" s="60" t="e">
        <f ca="1">AVERAGE(OFFSET($CC$3,0,0,'Données projet'!$E$12+1,1))-AVERAGE(OFFSET($H$3,0,0,'Données projet'!$E$12+1,1))</f>
        <v>#N/A</v>
      </c>
      <c r="CE8" s="60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0" t="e">
        <f t="shared" si="14"/>
        <v>#N/A</v>
      </c>
      <c r="CY8" s="60" t="e">
        <f ca="1">AVERAGE(OFFSET($CX$3,0,0,'Données projet'!$E$13+1,1))-AVERAGE(OFFSET($H$3,0,0,'Données projet'!$E$13+1,1))</f>
        <v>#N/A</v>
      </c>
      <c r="CZ8" s="60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</v>
      </c>
      <c r="N9" s="14">
        <f>IF('Données projet'!$A$36&gt;35,N8+M9-V8,IF(A9&lt;'Données projet'!$A$36,$K$205^A9,IF(A9='Données projet'!$A$36,'Données projet'!$B$36,N8+M9-V8)))</f>
        <v>5.0390647890332865</v>
      </c>
      <c r="O9" s="14">
        <f>N9*VLOOKUP('Données projet'!$B$9,Paramètres!$A$1:$I$88,3,0)*VLOOKUP('Données projet'!$B$9,Paramètres!$A$1:$I$88,5,0)</f>
        <v>3.0133607438419054</v>
      </c>
      <c r="P9" s="14">
        <f t="shared" si="33"/>
        <v>1.2213542276452829</v>
      </c>
      <c r="Q9" s="22">
        <f t="shared" si="2"/>
        <v>7.3754619086735183</v>
      </c>
      <c r="R9" s="60">
        <f t="shared" si="0"/>
        <v>300.70879524200683</v>
      </c>
      <c r="S9" s="60">
        <f ca="1">AVERAGE(OFFSET($R$3,0,0,'Données projet'!$E$9+1,1))-AVERAGE(OFFSET($H$3,0,0,'Données projet'!$E$9+1,1))</f>
        <v>222.57099967987045</v>
      </c>
      <c r="T9" s="60">
        <f t="shared" si="34"/>
        <v>221.49027090502796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5.666666666666667</v>
      </c>
      <c r="AI9" s="14">
        <f>IF('Données projet'!$A$62&gt;35,AI8+AH9-AQ8,IF(A9&lt;'Données projet'!$A$62,$AF$205^A9,IF(A9='Données projet'!$A$62,'Données projet'!$B$62,AI8+AH9-AQ8)))</f>
        <v>2.7931212200789908</v>
      </c>
      <c r="AJ9" s="14">
        <f>AI9*VLOOKUP('Données projet'!$B$10,Paramètres!$A$1:$I$88,3,0)*VLOOKUP('Données projet'!$B$10,Paramètres!$A$1:$I$88,5,0)</f>
        <v>1.3071807309969676</v>
      </c>
      <c r="AK9" s="14">
        <f t="shared" si="35"/>
        <v>0.58391043161404843</v>
      </c>
      <c r="AL9" s="22">
        <f t="shared" si="4"/>
        <v>3.2936504415475194</v>
      </c>
      <c r="AM9" s="60">
        <f t="shared" si="5"/>
        <v>296.62698377488084</v>
      </c>
      <c r="AN9" s="60">
        <f ca="1">AVERAGE(OFFSET($AM$3,0,0,'Données projet'!$E$10+1,1))-AVERAGE(OFFSET($H$3,0,0,'Données projet'!$E$10+1,1))</f>
        <v>147.1675182177155</v>
      </c>
      <c r="AO9" s="60">
        <f t="shared" si="36"/>
        <v>115.86489547584461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projet'!$B$11,Paramètres!$A$1:$I$88,3,0)*VLOOKUP('Données projet'!$B$11,Paramètres!$A$1:$I$88,5,0)</f>
        <v>2.2937551470595863</v>
      </c>
      <c r="BF9" s="14">
        <f t="shared" si="37"/>
        <v>0.95969104787443238</v>
      </c>
      <c r="BG9" s="22">
        <f t="shared" si="7"/>
        <v>5.6664187895100824</v>
      </c>
      <c r="BH9" s="60">
        <f t="shared" si="8"/>
        <v>298.9997521228434</v>
      </c>
      <c r="BI9" s="60">
        <f ca="1">AVERAGE(OFFSET($BH$3,0,0,'Données projet'!$E$11+1,1))-AVERAGE(OFFSET($H$3,0,0,'Données projet'!$E$11+1,1))</f>
        <v>166.48525819448878</v>
      </c>
      <c r="BJ9" s="60">
        <f t="shared" si="38"/>
        <v>61.876502626609977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0" t="e">
        <f t="shared" si="11"/>
        <v>#N/A</v>
      </c>
      <c r="CD9" s="60" t="e">
        <f ca="1">AVERAGE(OFFSET($CC$3,0,0,'Données projet'!$E$12+1,1))-AVERAGE(OFFSET($H$3,0,0,'Données projet'!$E$12+1,1))</f>
        <v>#N/A</v>
      </c>
      <c r="CE9" s="60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0" t="e">
        <f t="shared" si="14"/>
        <v>#N/A</v>
      </c>
      <c r="CY9" s="60" t="e">
        <f ca="1">AVERAGE(OFFSET($CX$3,0,0,'Données projet'!$E$13+1,1))-AVERAGE(OFFSET($H$3,0,0,'Données projet'!$E$13+1,1))</f>
        <v>#N/A</v>
      </c>
      <c r="CZ9" s="60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</v>
      </c>
      <c r="N10" s="14">
        <f>IF('Données projet'!$A$36&gt;35,N9+M10-V9,IF(A10&lt;'Données projet'!$A$36,$K$205^A10,IF(A10='Données projet'!$A$36,'Données projet'!$B$36,N9+M10-V9)))</f>
        <v>6.5979385433234325</v>
      </c>
      <c r="O10" s="14">
        <f>N10*VLOOKUP('Données projet'!$B$9,Paramètres!$A$1:$I$88,3,0)*VLOOKUP('Données projet'!$B$9,Paramètres!$A$1:$I$88,5,0)</f>
        <v>3.9455672489074129</v>
      </c>
      <c r="P10" s="14">
        <f t="shared" si="33"/>
        <v>1.5497954262191154</v>
      </c>
      <c r="Q10" s="22">
        <f t="shared" si="2"/>
        <v>9.5710899925120358</v>
      </c>
      <c r="R10" s="60">
        <f t="shared" si="0"/>
        <v>302.90442332584536</v>
      </c>
      <c r="S10" s="60">
        <f ca="1">AVERAGE(OFFSET($R$3,0,0,'Données projet'!$E$9+1,1))-AVERAGE(OFFSET($H$3,0,0,'Données projet'!$E$9+1,1))</f>
        <v>222.57099967987045</v>
      </c>
      <c r="T10" s="60">
        <f t="shared" si="34"/>
        <v>221.49027090502796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5.666666666666667</v>
      </c>
      <c r="AI10" s="14">
        <f>IF('Données projet'!$A$62&gt;35,AI9+AH10-AQ9,IF(A10&lt;'Données projet'!$A$62,$AF$205^A10,IF(A10='Données projet'!$A$62,'Données projet'!$B$62,AI9+AH10-AQ9)))</f>
        <v>3.3146530868523985</v>
      </c>
      <c r="AJ10" s="14">
        <f>AI10*VLOOKUP('Données projet'!$B$10,Paramètres!$A$1:$I$88,3,0)*VLOOKUP('Données projet'!$B$10,Paramètres!$A$1:$I$88,5,0)</f>
        <v>1.5512576446469224</v>
      </c>
      <c r="AK10" s="14">
        <f t="shared" si="35"/>
        <v>0.67926680181972632</v>
      </c>
      <c r="AL10" s="22">
        <f t="shared" si="4"/>
        <v>3.8848300775960793</v>
      </c>
      <c r="AM10" s="60">
        <f t="shared" si="5"/>
        <v>297.21816341092938</v>
      </c>
      <c r="AN10" s="60">
        <f ca="1">AVERAGE(OFFSET($AM$3,0,0,'Données projet'!$E$10+1,1))-AVERAGE(OFFSET($H$3,0,0,'Données projet'!$E$10+1,1))</f>
        <v>147.1675182177155</v>
      </c>
      <c r="AO10" s="60">
        <f t="shared" si="36"/>
        <v>115.86489547584461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projet'!$B$11,Paramètres!$A$1:$I$88,3,0)*VLOOKUP('Données projet'!$B$11,Paramètres!$A$1:$I$88,5,0)</f>
        <v>2.6280396079692911</v>
      </c>
      <c r="BF10" s="14">
        <f t="shared" si="37"/>
        <v>1.082277967291873</v>
      </c>
      <c r="BG10" s="22">
        <f t="shared" si="7"/>
        <v>6.4621364435798609</v>
      </c>
      <c r="BH10" s="60">
        <f t="shared" si="8"/>
        <v>299.79546977691319</v>
      </c>
      <c r="BI10" s="60">
        <f ca="1">AVERAGE(OFFSET($BH$3,0,0,'Données projet'!$E$11+1,1))-AVERAGE(OFFSET($H$3,0,0,'Données projet'!$E$11+1,1))</f>
        <v>166.48525819448878</v>
      </c>
      <c r="BJ10" s="60">
        <f t="shared" si="38"/>
        <v>61.876502626609977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0" t="e">
        <f t="shared" si="11"/>
        <v>#N/A</v>
      </c>
      <c r="CD10" s="60" t="e">
        <f ca="1">AVERAGE(OFFSET($CC$3,0,0,'Données projet'!$E$12+1,1))-AVERAGE(OFFSET($H$3,0,0,'Données projet'!$E$12+1,1))</f>
        <v>#N/A</v>
      </c>
      <c r="CE10" s="60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0" t="e">
        <f t="shared" si="14"/>
        <v>#N/A</v>
      </c>
      <c r="CY10" s="60" t="e">
        <f ca="1">AVERAGE(OFFSET($CX$3,0,0,'Données projet'!$E$13+1,1))-AVERAGE(OFFSET($H$3,0,0,'Données projet'!$E$13+1,1))</f>
        <v>#N/A</v>
      </c>
      <c r="CZ10" s="60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</v>
      </c>
      <c r="N11" s="14">
        <f>IF('Données projet'!$A$36&gt;35,N10+M11-V10,IF(A11&lt;'Données projet'!$A$36,$K$205^A11,IF(A11='Données projet'!$A$36,'Données projet'!$B$36,N10+M11-V10)))</f>
        <v>8.6390619775747002</v>
      </c>
      <c r="O11" s="14">
        <f>N11*VLOOKUP('Données projet'!$B$9,Paramètres!$A$1:$I$88,3,0)*VLOOKUP('Données projet'!$B$9,Paramètres!$A$1:$I$88,5,0)</f>
        <v>5.1661590625896716</v>
      </c>
      <c r="P11" s="14">
        <f t="shared" si="33"/>
        <v>1.9665595850602504</v>
      </c>
      <c r="Q11" s="22">
        <f t="shared" si="2"/>
        <v>12.422818311323612</v>
      </c>
      <c r="R11" s="60">
        <f t="shared" si="0"/>
        <v>305.75615164465694</v>
      </c>
      <c r="S11" s="60">
        <f ca="1">AVERAGE(OFFSET($R$3,0,0,'Données projet'!$E$9+1,1))-AVERAGE(OFFSET($H$3,0,0,'Données projet'!$E$9+1,1))</f>
        <v>222.57099967987045</v>
      </c>
      <c r="T11" s="60">
        <f t="shared" si="34"/>
        <v>221.49027090502796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5.666666666666667</v>
      </c>
      <c r="AI11" s="14">
        <f>IF('Données projet'!$A$62&gt;35,AI10+AH11-AQ10,IF(A11&lt;'Données projet'!$A$62,$AF$205^A11,IF(A11='Données projet'!$A$62,'Données projet'!$B$62,AI10+AH11-AQ10)))</f>
        <v>3.9335654346822158</v>
      </c>
      <c r="AJ11" s="14">
        <f>AI11*VLOOKUP('Données projet'!$B$10,Paramètres!$A$1:$I$88,3,0)*VLOOKUP('Données projet'!$B$10,Paramètres!$A$1:$I$88,5,0)</f>
        <v>1.8409086234312768</v>
      </c>
      <c r="AK11" s="14">
        <f t="shared" si="35"/>
        <v>0.79019548730956168</v>
      </c>
      <c r="AL11" s="22">
        <f t="shared" si="4"/>
        <v>4.5825063262069596</v>
      </c>
      <c r="AM11" s="60">
        <f t="shared" si="5"/>
        <v>297.91583965954027</v>
      </c>
      <c r="AN11" s="60">
        <f ca="1">AVERAGE(OFFSET($AM$3,0,0,'Données projet'!$E$10+1,1))-AVERAGE(OFFSET($H$3,0,0,'Données projet'!$E$10+1,1))</f>
        <v>147.1675182177155</v>
      </c>
      <c r="AO11" s="60">
        <f t="shared" si="36"/>
        <v>115.86489547584461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projet'!$B$11,Paramètres!$A$1:$I$88,3,0)*VLOOKUP('Données projet'!$B$11,Paramètres!$A$1:$I$88,5,0)</f>
        <v>3.0110416056871174</v>
      </c>
      <c r="BF11" s="14">
        <f t="shared" si="37"/>
        <v>1.2205236269315363</v>
      </c>
      <c r="BG11" s="22">
        <f t="shared" si="7"/>
        <v>7.3699761134774882</v>
      </c>
      <c r="BH11" s="60">
        <f t="shared" si="8"/>
        <v>300.70330944681081</v>
      </c>
      <c r="BI11" s="60">
        <f ca="1">AVERAGE(OFFSET($BH$3,0,0,'Données projet'!$E$11+1,1))-AVERAGE(OFFSET($H$3,0,0,'Données projet'!$E$11+1,1))</f>
        <v>166.48525819448878</v>
      </c>
      <c r="BJ11" s="60">
        <f t="shared" si="38"/>
        <v>61.876502626609977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0" t="e">
        <f t="shared" si="11"/>
        <v>#N/A</v>
      </c>
      <c r="CD11" s="60" t="e">
        <f ca="1">AVERAGE(OFFSET($CC$3,0,0,'Données projet'!$E$12+1,1))-AVERAGE(OFFSET($H$3,0,0,'Données projet'!$E$12+1,1))</f>
        <v>#N/A</v>
      </c>
      <c r="CE11" s="60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0" t="e">
        <f t="shared" si="14"/>
        <v>#N/A</v>
      </c>
      <c r="CY11" s="60" t="e">
        <f ca="1">AVERAGE(OFFSET($CX$3,0,0,'Données projet'!$E$13+1,1))-AVERAGE(OFFSET($H$3,0,0,'Données projet'!$E$13+1,1))</f>
        <v>#N/A</v>
      </c>
      <c r="CZ11" s="60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</v>
      </c>
      <c r="N12" s="14">
        <f>IF('Données projet'!$A$36&gt;35,N11+M12-V11,IF(A12&lt;'Données projet'!$A$36,$K$205^A12,IF(A12='Données projet'!$A$36,'Données projet'!$B$36,N11+M12-V11)))</f>
        <v>11.311622768584241</v>
      </c>
      <c r="O12" s="14">
        <f>N12*VLOOKUP('Données projet'!$B$9,Paramètres!$A$1:$I$88,3,0)*VLOOKUP('Données projet'!$B$9,Paramètres!$A$1:$I$88,5,0)</f>
        <v>6.7643504156133769</v>
      </c>
      <c r="P12" s="14">
        <f t="shared" si="33"/>
        <v>2.4953981255623883</v>
      </c>
      <c r="Q12" s="22">
        <f t="shared" si="2"/>
        <v>16.127395375881125</v>
      </c>
      <c r="R12" s="60">
        <f t="shared" si="0"/>
        <v>309.46072870921444</v>
      </c>
      <c r="S12" s="60">
        <f ca="1">AVERAGE(OFFSET($R$3,0,0,'Données projet'!$E$9+1,1))-AVERAGE(OFFSET($H$3,0,0,'Données projet'!$E$9+1,1))</f>
        <v>222.57099967987045</v>
      </c>
      <c r="T12" s="60">
        <f t="shared" si="34"/>
        <v>221.49027090502796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5.666666666666667</v>
      </c>
      <c r="AI12" s="14">
        <f>IF('Données projet'!$A$62&gt;35,AI11+AH12-AQ11,IF(A12&lt;'Données projet'!$A$62,$AF$205^A12,IF(A12='Données projet'!$A$62,'Données projet'!$B$62,AI11+AH12-AQ11)))</f>
        <v>4.6680411564939428</v>
      </c>
      <c r="AJ12" s="14">
        <f>AI12*VLOOKUP('Données projet'!$B$10,Paramètres!$A$1:$I$88,3,0)*VLOOKUP('Données projet'!$B$10,Paramètres!$A$1:$I$88,5,0)</f>
        <v>2.1846432612391653</v>
      </c>
      <c r="AK12" s="14">
        <f t="shared" si="35"/>
        <v>0.91923954842431754</v>
      </c>
      <c r="AL12" s="22">
        <f t="shared" si="4"/>
        <v>5.4059292268305654</v>
      </c>
      <c r="AM12" s="60">
        <f t="shared" si="5"/>
        <v>298.73926256016387</v>
      </c>
      <c r="AN12" s="60">
        <f ca="1">AVERAGE(OFFSET($AM$3,0,0,'Données projet'!$E$10+1,1))-AVERAGE(OFFSET($H$3,0,0,'Données projet'!$E$10+1,1))</f>
        <v>147.1675182177155</v>
      </c>
      <c r="AO12" s="60">
        <f t="shared" si="36"/>
        <v>115.86489547584461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projet'!$B$11,Paramètres!$A$1:$I$88,3,0)*VLOOKUP('Données projet'!$B$11,Paramètres!$A$1:$I$88,5,0)</f>
        <v>3.4498610765552797</v>
      </c>
      <c r="BF12" s="14">
        <f t="shared" si="37"/>
        <v>1.3764282087582862</v>
      </c>
      <c r="BG12" s="22">
        <f t="shared" si="7"/>
        <v>8.4057871719211263</v>
      </c>
      <c r="BH12" s="60">
        <f t="shared" si="8"/>
        <v>301.73912050525445</v>
      </c>
      <c r="BI12" s="60">
        <f ca="1">AVERAGE(OFFSET($BH$3,0,0,'Données projet'!$E$11+1,1))-AVERAGE(OFFSET($H$3,0,0,'Données projet'!$E$11+1,1))</f>
        <v>166.48525819448878</v>
      </c>
      <c r="BJ12" s="60">
        <f t="shared" si="38"/>
        <v>61.876502626609977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0" t="e">
        <f t="shared" si="11"/>
        <v>#N/A</v>
      </c>
      <c r="CD12" s="60" t="e">
        <f ca="1">AVERAGE(OFFSET($CC$3,0,0,'Données projet'!$E$12+1,1))-AVERAGE(OFFSET($H$3,0,0,'Données projet'!$E$12+1,1))</f>
        <v>#N/A</v>
      </c>
      <c r="CE12" s="60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0" t="e">
        <f t="shared" si="14"/>
        <v>#N/A</v>
      </c>
      <c r="CY12" s="60" t="e">
        <f ca="1">AVERAGE(OFFSET($CX$3,0,0,'Données projet'!$E$13+1,1))-AVERAGE(OFFSET($H$3,0,0,'Données projet'!$E$13+1,1))</f>
        <v>#N/A</v>
      </c>
      <c r="CZ12" s="60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</v>
      </c>
      <c r="N13" s="14">
        <f>IF('Données projet'!$A$36&gt;35,N12+M13-V12,IF(A13&lt;'Données projet'!$A$36,$K$205^A13,IF(A13='Données projet'!$A$36,'Données projet'!$B$36,N12+M13-V12)))</f>
        <v>14.81096095743886</v>
      </c>
      <c r="O13" s="14">
        <f>N13*VLOOKUP('Données projet'!$B$9,Paramètres!$A$1:$I$88,3,0)*VLOOKUP('Données projet'!$B$9,Paramètres!$A$1:$I$88,5,0)</f>
        <v>8.8569546525484384</v>
      </c>
      <c r="P13" s="14">
        <f t="shared" si="33"/>
        <v>3.1664495967303732</v>
      </c>
      <c r="Q13" s="22">
        <f t="shared" si="2"/>
        <v>20.940762400827264</v>
      </c>
      <c r="R13" s="60">
        <f t="shared" si="0"/>
        <v>314.2740957341606</v>
      </c>
      <c r="S13" s="60">
        <f ca="1">AVERAGE(OFFSET($R$3,0,0,'Données projet'!$E$9+1,1))-AVERAGE(OFFSET($H$3,0,0,'Données projet'!$E$9+1,1))</f>
        <v>222.57099967987045</v>
      </c>
      <c r="T13" s="60">
        <f t="shared" si="34"/>
        <v>221.49027090502796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5.666666666666667</v>
      </c>
      <c r="AI13" s="14">
        <f>IF('Données projet'!$A$62&gt;35,AI12+AH13-AQ12,IF(A13&lt;'Données projet'!$A$62,$AF$205^A13,IF(A13='Données projet'!$A$62,'Données projet'!$B$62,AI12+AH13-AQ12)))</f>
        <v>5.5396582567544659</v>
      </c>
      <c r="AJ13" s="14">
        <f>AI13*VLOOKUP('Données projet'!$B$10,Paramètres!$A$1:$I$88,3,0)*VLOOKUP('Données projet'!$B$10,Paramètres!$A$1:$I$88,5,0)</f>
        <v>2.59256006416109</v>
      </c>
      <c r="AK13" s="14">
        <f t="shared" si="35"/>
        <v>1.069357343793981</v>
      </c>
      <c r="AL13" s="22">
        <f t="shared" si="4"/>
        <v>6.377839485521748</v>
      </c>
      <c r="AM13" s="60">
        <f t="shared" si="5"/>
        <v>299.71117281885506</v>
      </c>
      <c r="AN13" s="60">
        <f ca="1">AVERAGE(OFFSET($AM$3,0,0,'Données projet'!$E$10+1,1))-AVERAGE(OFFSET($H$3,0,0,'Données projet'!$E$10+1,1))</f>
        <v>147.1675182177155</v>
      </c>
      <c r="AO13" s="60">
        <f t="shared" si="36"/>
        <v>115.86489547584461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projet'!$B$11,Paramètres!$A$1:$I$88,3,0)*VLOOKUP('Données projet'!$B$11,Paramètres!$A$1:$I$88,5,0)</f>
        <v>3.9526326786890178</v>
      </c>
      <c r="BF13" s="14">
        <f t="shared" si="37"/>
        <v>1.552247389613062</v>
      </c>
      <c r="BG13" s="22">
        <f t="shared" si="7"/>
        <v>9.5876661189594543</v>
      </c>
      <c r="BH13" s="60">
        <f t="shared" si="8"/>
        <v>302.92099945229279</v>
      </c>
      <c r="BI13" s="60">
        <f ca="1">AVERAGE(OFFSET($BH$3,0,0,'Données projet'!$E$11+1,1))-AVERAGE(OFFSET($H$3,0,0,'Données projet'!$E$11+1,1))</f>
        <v>166.48525819448878</v>
      </c>
      <c r="BJ13" s="60">
        <f t="shared" si="38"/>
        <v>61.876502626609977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0" t="e">
        <f t="shared" si="11"/>
        <v>#N/A</v>
      </c>
      <c r="CD13" s="60" t="e">
        <f ca="1">AVERAGE(OFFSET($CC$3,0,0,'Données projet'!$E$12+1,1))-AVERAGE(OFFSET($H$3,0,0,'Données projet'!$E$12+1,1))</f>
        <v>#N/A</v>
      </c>
      <c r="CE13" s="60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0" t="e">
        <f t="shared" si="14"/>
        <v>#N/A</v>
      </c>
      <c r="CY13" s="60" t="e">
        <f ca="1">AVERAGE(OFFSET($CX$3,0,0,'Données projet'!$E$13+1,1))-AVERAGE(OFFSET($H$3,0,0,'Données projet'!$E$13+1,1))</f>
        <v>#N/A</v>
      </c>
      <c r="CZ13" s="60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</v>
      </c>
      <c r="N14" s="14">
        <f>IF('Données projet'!$A$36&gt;35,N13+M14-V13,IF(A14&lt;'Données projet'!$A$36,$K$205^A14,IF(A14='Données projet'!$A$36,'Données projet'!$B$36,N13+M14-V13)))</f>
        <v>19.392846541171725</v>
      </c>
      <c r="O14" s="14">
        <f>N14*VLOOKUP('Données projet'!$B$9,Paramètres!$A$1:$I$88,3,0)*VLOOKUP('Données projet'!$B$9,Paramètres!$A$1:$I$88,5,0)</f>
        <v>11.596922231620692</v>
      </c>
      <c r="P14" s="14">
        <f t="shared" si="33"/>
        <v>4.0179572734007305</v>
      </c>
      <c r="Q14" s="22">
        <f t="shared" si="2"/>
        <v>27.195915137912309</v>
      </c>
      <c r="R14" s="60">
        <f t="shared" si="0"/>
        <v>320.52924847124564</v>
      </c>
      <c r="S14" s="60">
        <f ca="1">AVERAGE(OFFSET($R$3,0,0,'Données projet'!$E$9+1,1))-AVERAGE(OFFSET($H$3,0,0,'Données projet'!$E$9+1,1))</f>
        <v>222.57099967987045</v>
      </c>
      <c r="T14" s="60">
        <f t="shared" si="34"/>
        <v>221.49027090502796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5.666666666666667</v>
      </c>
      <c r="AI14" s="14">
        <f>IF('Données projet'!$A$62&gt;35,AI13+AH14-AQ13,IF(A14&lt;'Données projet'!$A$62,$AF$205^A14,IF(A14='Données projet'!$A$62,'Données projet'!$B$62,AI13+AH14-AQ13)))</f>
        <v>6.5740237870303684</v>
      </c>
      <c r="AJ14" s="14">
        <f>AI14*VLOOKUP('Données projet'!$B$10,Paramètres!$A$1:$I$88,3,0)*VLOOKUP('Données projet'!$B$10,Paramètres!$A$1:$I$88,5,0)</f>
        <v>3.0766431323302124</v>
      </c>
      <c r="AK14" s="14">
        <f t="shared" si="35"/>
        <v>1.24399035124876</v>
      </c>
      <c r="AL14" s="22">
        <f t="shared" si="4"/>
        <v>7.5251033172333761</v>
      </c>
      <c r="AM14" s="60">
        <f t="shared" si="5"/>
        <v>300.85843665056672</v>
      </c>
      <c r="AN14" s="60">
        <f ca="1">AVERAGE(OFFSET($AM$3,0,0,'Données projet'!$E$10+1,1))-AVERAGE(OFFSET($H$3,0,0,'Données projet'!$E$10+1,1))</f>
        <v>147.1675182177155</v>
      </c>
      <c r="AO14" s="60">
        <f t="shared" si="36"/>
        <v>115.86489547584461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projet'!$B$11,Paramètres!$A$1:$I$88,3,0)*VLOOKUP('Données projet'!$B$11,Paramètres!$A$1:$I$88,5,0)</f>
        <v>4.5286765889832141</v>
      </c>
      <c r="BF14" s="14">
        <f t="shared" si="37"/>
        <v>1.7505249770594407</v>
      </c>
      <c r="BG14" s="22">
        <f t="shared" si="7"/>
        <v>10.936276060857622</v>
      </c>
      <c r="BH14" s="60">
        <f t="shared" si="8"/>
        <v>304.26960939419092</v>
      </c>
      <c r="BI14" s="60">
        <f ca="1">AVERAGE(OFFSET($BH$3,0,0,'Données projet'!$E$11+1,1))-AVERAGE(OFFSET($H$3,0,0,'Données projet'!$E$11+1,1))</f>
        <v>166.48525819448878</v>
      </c>
      <c r="BJ14" s="60">
        <f t="shared" si="38"/>
        <v>61.876502626609977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0" t="e">
        <f t="shared" si="11"/>
        <v>#N/A</v>
      </c>
      <c r="CD14" s="60" t="e">
        <f ca="1">AVERAGE(OFFSET($CC$3,0,0,'Données projet'!$E$12+1,1))-AVERAGE(OFFSET($H$3,0,0,'Données projet'!$E$12+1,1))</f>
        <v>#N/A</v>
      </c>
      <c r="CE14" s="60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0" t="e">
        <f t="shared" si="14"/>
        <v>#N/A</v>
      </c>
      <c r="CY14" s="60" t="e">
        <f ca="1">AVERAGE(OFFSET($CX$3,0,0,'Données projet'!$E$13+1,1))-AVERAGE(OFFSET($H$3,0,0,'Données projet'!$E$13+1,1))</f>
        <v>#N/A</v>
      </c>
      <c r="CZ14" s="60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</v>
      </c>
      <c r="N15" s="14">
        <f>IF('Données projet'!$A$36&gt;35,N14+M15-V14,IF(A15&lt;'Données projet'!$A$36,$K$205^A15,IF(A15='Données projet'!$A$36,'Données projet'!$B$36,N14+M15-V14)))</f>
        <v>25.392173948075076</v>
      </c>
      <c r="O15" s="14">
        <f>N15*VLOOKUP('Données projet'!$B$9,Paramètres!$A$1:$I$88,3,0)*VLOOKUP('Données projet'!$B$9,Paramètres!$A$1:$I$88,5,0)</f>
        <v>15.184520020948897</v>
      </c>
      <c r="P15" s="14">
        <f t="shared" si="33"/>
        <v>5.0984486434092791</v>
      </c>
      <c r="Q15" s="22">
        <f t="shared" si="2"/>
        <v>35.326170423757155</v>
      </c>
      <c r="R15" s="60">
        <f t="shared" si="0"/>
        <v>328.65950375709048</v>
      </c>
      <c r="S15" s="60">
        <f ca="1">AVERAGE(OFFSET($R$3,0,0,'Données projet'!$E$9+1,1))-AVERAGE(OFFSET($H$3,0,0,'Données projet'!$E$9+1,1))</f>
        <v>222.57099967987045</v>
      </c>
      <c r="T15" s="60">
        <f t="shared" si="34"/>
        <v>221.49027090502796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5.666666666666667</v>
      </c>
      <c r="AI15" s="14">
        <f>IF('Données projet'!$A$62&gt;35,AI14+AH15-AQ14,IF(A15&lt;'Données projet'!$A$62,$AF$205^A15,IF(A15='Données projet'!$A$62,'Données projet'!$B$62,AI14+AH15-AQ14)))</f>
        <v>7.8015261500555493</v>
      </c>
      <c r="AJ15" s="14">
        <f>AI15*VLOOKUP('Données projet'!$B$10,Paramètres!$A$1:$I$88,3,0)*VLOOKUP('Données projet'!$B$10,Paramètres!$A$1:$I$88,5,0)</f>
        <v>3.6511142382259969</v>
      </c>
      <c r="AK15" s="14">
        <f t="shared" si="35"/>
        <v>1.4471420643258348</v>
      </c>
      <c r="AL15" s="22">
        <f t="shared" si="4"/>
        <v>8.8794630602777733</v>
      </c>
      <c r="AM15" s="60">
        <f t="shared" si="5"/>
        <v>302.21279639361109</v>
      </c>
      <c r="AN15" s="60">
        <f ca="1">AVERAGE(OFFSET($AM$3,0,0,'Données projet'!$E$10+1,1))-AVERAGE(OFFSET($H$3,0,0,'Données projet'!$E$10+1,1))</f>
        <v>147.1675182177155</v>
      </c>
      <c r="AO15" s="60">
        <f t="shared" si="36"/>
        <v>115.86489547584461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projet'!$B$11,Paramètres!$A$1:$I$88,3,0)*VLOOKUP('Données projet'!$B$11,Paramètres!$A$1:$I$88,5,0)</f>
        <v>5.1886712767873213</v>
      </c>
      <c r="BF15" s="14">
        <f t="shared" si="37"/>
        <v>1.9741297139966976</v>
      </c>
      <c r="BG15" s="22">
        <f t="shared" si="7"/>
        <v>12.4752117256155</v>
      </c>
      <c r="BH15" s="60">
        <f t="shared" si="8"/>
        <v>305.80854505894882</v>
      </c>
      <c r="BI15" s="60">
        <f ca="1">AVERAGE(OFFSET($BH$3,0,0,'Données projet'!$E$11+1,1))-AVERAGE(OFFSET($H$3,0,0,'Données projet'!$E$11+1,1))</f>
        <v>166.48525819448878</v>
      </c>
      <c r="BJ15" s="60">
        <f t="shared" si="38"/>
        <v>61.876502626609977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0" t="e">
        <f t="shared" si="11"/>
        <v>#N/A</v>
      </c>
      <c r="CD15" s="60" t="e">
        <f ca="1">AVERAGE(OFFSET($CC$3,0,0,'Données projet'!$E$12+1,1))-AVERAGE(OFFSET($H$3,0,0,'Données projet'!$E$12+1,1))</f>
        <v>#N/A</v>
      </c>
      <c r="CE15" s="60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0" t="e">
        <f t="shared" si="14"/>
        <v>#N/A</v>
      </c>
      <c r="CY15" s="60" t="e">
        <f ca="1">AVERAGE(OFFSET($CX$3,0,0,'Données projet'!$E$13+1,1))-AVERAGE(OFFSET($H$3,0,0,'Données projet'!$E$13+1,1))</f>
        <v>#N/A</v>
      </c>
      <c r="CZ15" s="60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</v>
      </c>
      <c r="N16" s="14">
        <f>IF('Données projet'!$A$36&gt;35,N15+M16-V15,IF(A16&lt;'Données projet'!$A$36,$K$205^A16,IF(A16='Données projet'!$A$36,'Données projet'!$B$36,N15+M16-V15)))</f>
        <v>33.247439793866675</v>
      </c>
      <c r="O16" s="14">
        <f>N16*VLOOKUP('Données projet'!$B$9,Paramètres!$A$1:$I$88,3,0)*VLOOKUP('Données projet'!$B$9,Paramètres!$A$1:$I$88,5,0)</f>
        <v>19.881968996732276</v>
      </c>
      <c r="P16" s="14">
        <f t="shared" si="33"/>
        <v>6.4695009928467675</v>
      </c>
      <c r="Q16" s="22">
        <f t="shared" si="2"/>
        <v>45.895476898516826</v>
      </c>
      <c r="R16" s="60">
        <f t="shared" si="0"/>
        <v>339.22881023185016</v>
      </c>
      <c r="S16" s="60">
        <f ca="1">AVERAGE(OFFSET($R$3,0,0,'Données projet'!$E$9+1,1))-AVERAGE(OFFSET($H$3,0,0,'Données projet'!$E$9+1,1))</f>
        <v>222.57099967987045</v>
      </c>
      <c r="T16" s="60">
        <f t="shared" si="34"/>
        <v>221.49027090502796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5.666666666666667</v>
      </c>
      <c r="AI16" s="14">
        <f>IF('Données projet'!$A$62&gt;35,AI15+AH16-AQ15,IF(A16&lt;'Données projet'!$A$62,$AF$205^A16,IF(A16='Données projet'!$A$62,'Données projet'!$B$62,AI15+AH16-AQ15)))</f>
        <v>9.2582278740877637</v>
      </c>
      <c r="AJ16" s="14">
        <f>AI16*VLOOKUP('Données projet'!$B$10,Paramètres!$A$1:$I$88,3,0)*VLOOKUP('Données projet'!$B$10,Paramètres!$A$1:$I$88,5,0)</f>
        <v>4.3328506450730728</v>
      </c>
      <c r="AK16" s="14">
        <f t="shared" si="35"/>
        <v>1.683469773088665</v>
      </c>
      <c r="AL16" s="22">
        <f t="shared" si="4"/>
        <v>10.478424728298359</v>
      </c>
      <c r="AM16" s="60">
        <f t="shared" si="5"/>
        <v>303.81175806163168</v>
      </c>
      <c r="AN16" s="60">
        <f ca="1">AVERAGE(OFFSET($AM$3,0,0,'Données projet'!$E$10+1,1))-AVERAGE(OFFSET($H$3,0,0,'Données projet'!$E$10+1,1))</f>
        <v>147.1675182177155</v>
      </c>
      <c r="AO16" s="60">
        <f t="shared" si="36"/>
        <v>115.86489547584461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projet'!$B$11,Paramètres!$A$1:$I$88,3,0)*VLOOKUP('Données projet'!$B$11,Paramètres!$A$1:$I$88,5,0)</f>
        <v>5.9448514570572168</v>
      </c>
      <c r="BF16" s="14">
        <f t="shared" si="37"/>
        <v>2.2262967845401667</v>
      </c>
      <c r="BG16" s="22">
        <f t="shared" si="7"/>
        <v>14.231416520782107</v>
      </c>
      <c r="BH16" s="60">
        <f t="shared" si="8"/>
        <v>307.56474985411541</v>
      </c>
      <c r="BI16" s="60">
        <f ca="1">AVERAGE(OFFSET($BH$3,0,0,'Données projet'!$E$11+1,1))-AVERAGE(OFFSET($H$3,0,0,'Données projet'!$E$11+1,1))</f>
        <v>166.48525819448878</v>
      </c>
      <c r="BJ16" s="60">
        <f t="shared" si="38"/>
        <v>61.876502626609977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0" t="e">
        <f t="shared" si="11"/>
        <v>#N/A</v>
      </c>
      <c r="CD16" s="60" t="e">
        <f ca="1">AVERAGE(OFFSET($CC$3,0,0,'Données projet'!$E$12+1,1))-AVERAGE(OFFSET($H$3,0,0,'Données projet'!$E$12+1,1))</f>
        <v>#N/A</v>
      </c>
      <c r="CE16" s="60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0" t="e">
        <f t="shared" si="14"/>
        <v>#N/A</v>
      </c>
      <c r="CY16" s="60" t="e">
        <f ca="1">AVERAGE(OFFSET($CX$3,0,0,'Données projet'!$E$13+1,1))-AVERAGE(OFFSET($H$3,0,0,'Données projet'!$E$13+1,1))</f>
        <v>#N/A</v>
      </c>
      <c r="CZ16" s="60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</v>
      </c>
      <c r="N17" s="14">
        <f>IF('Données projet'!$A$36&gt;35,N16+M17-V16,IF(A17&lt;'Données projet'!$A$36,$K$205^A17,IF(A17='Données projet'!$A$36,'Données projet'!$B$36,N16+M17-V16)))</f>
        <v>43.532793021472941</v>
      </c>
      <c r="O17" s="14">
        <f>N17*VLOOKUP('Données projet'!$B$9,Paramètres!$A$1:$I$88,3,0)*VLOOKUP('Données projet'!$B$9,Paramètres!$A$1:$I$88,5,0)</f>
        <v>26.03261022684082</v>
      </c>
      <c r="P17" s="14">
        <f t="shared" si="33"/>
        <v>8.2092507003184547</v>
      </c>
      <c r="Q17" s="22">
        <f t="shared" si="2"/>
        <v>59.637907781469067</v>
      </c>
      <c r="R17" s="60">
        <f t="shared" si="0"/>
        <v>352.97124111480241</v>
      </c>
      <c r="S17" s="60">
        <f ca="1">AVERAGE(OFFSET($R$3,0,0,'Données projet'!$E$9+1,1))-AVERAGE(OFFSET($H$3,0,0,'Données projet'!$E$9+1,1))</f>
        <v>222.57099967987045</v>
      </c>
      <c r="T17" s="60">
        <f t="shared" si="34"/>
        <v>221.49027090502796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5.666666666666667</v>
      </c>
      <c r="AI17" s="14">
        <f>IF('Données projet'!$A$62&gt;35,AI16+AH17-AQ16,IF(A17&lt;'Données projet'!$A$62,$AF$205^A17,IF(A17='Données projet'!$A$62,'Données projet'!$B$62,AI16+AH17-AQ16)))</f>
        <v>10.986925086180136</v>
      </c>
      <c r="AJ17" s="14">
        <f>AI17*VLOOKUP('Données projet'!$B$10,Paramètres!$A$1:$I$88,3,0)*VLOOKUP('Données projet'!$B$10,Paramètres!$A$1:$I$88,5,0)</f>
        <v>5.141880940332304</v>
      </c>
      <c r="AK17" s="14">
        <f t="shared" si="35"/>
        <v>1.95839133335087</v>
      </c>
      <c r="AL17" s="22">
        <f t="shared" si="4"/>
        <v>12.366307543331528</v>
      </c>
      <c r="AM17" s="60">
        <f t="shared" si="5"/>
        <v>305.69964087666483</v>
      </c>
      <c r="AN17" s="60">
        <f ca="1">AVERAGE(OFFSET($AM$3,0,0,'Données projet'!$E$10+1,1))-AVERAGE(OFFSET($H$3,0,0,'Données projet'!$E$10+1,1))</f>
        <v>147.1675182177155</v>
      </c>
      <c r="AO17" s="60">
        <f t="shared" si="36"/>
        <v>115.86489547584461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projet'!$B$11,Paramètres!$A$1:$I$88,3,0)*VLOOKUP('Données projet'!$B$11,Paramètres!$A$1:$I$88,5,0)</f>
        <v>6.8112348925595523</v>
      </c>
      <c r="BF17" s="14">
        <f t="shared" si="37"/>
        <v>2.5106746216891089</v>
      </c>
      <c r="BG17" s="22">
        <f t="shared" si="7"/>
        <v>16.235659070649749</v>
      </c>
      <c r="BH17" s="60">
        <f t="shared" si="8"/>
        <v>309.56899240398309</v>
      </c>
      <c r="BI17" s="60">
        <f ca="1">AVERAGE(OFFSET($BH$3,0,0,'Données projet'!$E$11+1,1))-AVERAGE(OFFSET($H$3,0,0,'Données projet'!$E$11+1,1))</f>
        <v>166.48525819448878</v>
      </c>
      <c r="BJ17" s="60">
        <f t="shared" si="38"/>
        <v>61.876502626609977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0" t="e">
        <f t="shared" si="11"/>
        <v>#N/A</v>
      </c>
      <c r="CD17" s="60" t="e">
        <f ca="1">AVERAGE(OFFSET($CC$3,0,0,'Données projet'!$E$12+1,1))-AVERAGE(OFFSET($H$3,0,0,'Données projet'!$E$12+1,1))</f>
        <v>#N/A</v>
      </c>
      <c r="CE17" s="60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0" t="e">
        <f t="shared" si="14"/>
        <v>#N/A</v>
      </c>
      <c r="CY17" s="60" t="e">
        <f ca="1">AVERAGE(OFFSET($CX$3,0,0,'Données projet'!$E$13+1,1))-AVERAGE(OFFSET($H$3,0,0,'Données projet'!$E$13+1,1))</f>
        <v>#N/A</v>
      </c>
      <c r="CZ17" s="60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57</v>
      </c>
      <c r="L18" s="13">
        <f>VLOOKUP(A18,'Données projet'!$A$35:$I$55,9,0)</f>
        <v>3.8</v>
      </c>
      <c r="M18" s="13">
        <f t="array" ref="M18">INDEX(L:L,MIN(IF(ISNUMBER(L18:L214),ROW(L18:L214),"")))</f>
        <v>3.8</v>
      </c>
      <c r="N18" s="14">
        <f>IF('Données projet'!$A$36&gt;35,N17+M18-V17,IF(A18&lt;'Données projet'!$A$36,$K$205^A18,IF(A18='Données projet'!$A$36,'Données projet'!$B$36,N17+M18-V17)))</f>
        <v>57</v>
      </c>
      <c r="O18" s="14">
        <f>N18*VLOOKUP('Données projet'!$B$9,Paramètres!$A$1:$I$88,3,0)*VLOOKUP('Données projet'!$B$9,Paramètres!$A$1:$I$88,5,0)</f>
        <v>34.086000000000006</v>
      </c>
      <c r="P18" s="14">
        <f t="shared" si="33"/>
        <v>10.416846235156795</v>
      </c>
      <c r="Q18" s="22">
        <f t="shared" si="2"/>
        <v>77.509123859564752</v>
      </c>
      <c r="R18" s="60">
        <f t="shared" si="0"/>
        <v>370.84245719289805</v>
      </c>
      <c r="S18" s="60">
        <f ca="1">AVERAGE(OFFSET($R$3,0,0,'Données projet'!$E$9+1,1))-AVERAGE(OFFSET($H$3,0,0,'Données projet'!$E$9+1,1))</f>
        <v>222.57099967987045</v>
      </c>
      <c r="T18" s="60">
        <f t="shared" si="34"/>
        <v>221.49027090502796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0.25200000000000006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5.666666666666667</v>
      </c>
      <c r="AI18" s="14">
        <f>IF('Données projet'!$A$62&gt;35,AI17+AH18-AQ17,IF(A18&lt;'Données projet'!$A$62,$AF$205^A18,IF(A18='Données projet'!$A$62,'Données projet'!$B$62,AI17+AH18-AQ17)))</f>
        <v>13.038404810405304</v>
      </c>
      <c r="AJ18" s="14">
        <f>AI18*VLOOKUP('Données projet'!$B$10,Paramètres!$A$1:$I$88,3,0)*VLOOKUP('Données projet'!$B$10,Paramètres!$A$1:$I$88,5,0)</f>
        <v>6.101973451269683</v>
      </c>
      <c r="AK18" s="14">
        <f t="shared" si="35"/>
        <v>2.2782093720086061</v>
      </c>
      <c r="AL18" s="22">
        <f t="shared" si="4"/>
        <v>14.595485083876353</v>
      </c>
      <c r="AM18" s="60">
        <f t="shared" si="5"/>
        <v>307.92881841720964</v>
      </c>
      <c r="AN18" s="60">
        <f ca="1">AVERAGE(OFFSET($AM$3,0,0,'Données projet'!$E$10+1,1))-AVERAGE(OFFSET($H$3,0,0,'Données projet'!$E$10+1,1))</f>
        <v>147.1675182177155</v>
      </c>
      <c r="AO18" s="60">
        <f t="shared" si="36"/>
        <v>115.86489547584461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projet'!$B$11,Paramètres!$A$1:$I$88,3,0)*VLOOKUP('Données projet'!$B$11,Paramètres!$A$1:$I$88,5,0)</f>
        <v>7.8038822494962501</v>
      </c>
      <c r="BF18" s="14">
        <f t="shared" si="37"/>
        <v>2.8313776940102406</v>
      </c>
      <c r="BG18" s="22">
        <f t="shared" si="7"/>
        <v>18.523077734940472</v>
      </c>
      <c r="BH18" s="60">
        <f t="shared" si="8"/>
        <v>311.85641106827381</v>
      </c>
      <c r="BI18" s="60">
        <f ca="1">AVERAGE(OFFSET($BH$3,0,0,'Données projet'!$E$11+1,1))-AVERAGE(OFFSET($H$3,0,0,'Données projet'!$E$11+1,1))</f>
        <v>166.48525819448878</v>
      </c>
      <c r="BJ18" s="60">
        <f t="shared" si="38"/>
        <v>61.876502626609977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0" t="e">
        <f t="shared" si="11"/>
        <v>#N/A</v>
      </c>
      <c r="CD18" s="60" t="e">
        <f ca="1">AVERAGE(OFFSET($CC$3,0,0,'Données projet'!$E$12+1,1))-AVERAGE(OFFSET($H$3,0,0,'Données projet'!$E$12+1,1))</f>
        <v>#N/A</v>
      </c>
      <c r="CE18" s="60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0" t="e">
        <f t="shared" si="14"/>
        <v>#N/A</v>
      </c>
      <c r="CY18" s="60" t="e">
        <f ca="1">AVERAGE(OFFSET($CX$3,0,0,'Données projet'!$E$13+1,1))-AVERAGE(OFFSET($H$3,0,0,'Données projet'!$E$13+1,1))</f>
        <v>#N/A</v>
      </c>
      <c r="CZ18" s="60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13</v>
      </c>
      <c r="N19" s="14">
        <f>IF('Données projet'!$A$36&gt;35,N18+M19-V18,IF(A19&lt;'Données projet'!$A$36,$K$205^A19,IF(A19='Données projet'!$A$36,'Données projet'!$B$36,N18+M19-V18)))</f>
        <v>70</v>
      </c>
      <c r="O19" s="14">
        <f>N19*VLOOKUP('Données projet'!$B$9,Paramètres!$A$1:$I$88,3,0)*VLOOKUP('Données projet'!$B$9,Paramètres!$A$1:$I$88,5,0)</f>
        <v>41.860000000000007</v>
      </c>
      <c r="P19" s="14">
        <f t="shared" si="33"/>
        <v>12.490328459088218</v>
      </c>
      <c r="Q19" s="22">
        <f t="shared" si="2"/>
        <v>94.66015539957867</v>
      </c>
      <c r="R19" s="60">
        <f t="shared" si="0"/>
        <v>387.993488732912</v>
      </c>
      <c r="S19" s="60">
        <f ca="1">AVERAGE(OFFSET($R$3,0,0,'Données projet'!$E$9+1,1))-AVERAGE(OFFSET($H$3,0,0,'Données projet'!$E$9+1,1))</f>
        <v>222.57099967987045</v>
      </c>
      <c r="T19" s="60">
        <f t="shared" si="34"/>
        <v>221.49027090502796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5.666666666666667</v>
      </c>
      <c r="AI19" s="14">
        <f>IF('Données projet'!$A$62&gt;35,AI18+AH19-AQ18,IF(A19&lt;'Données projet'!$A$62,$AF$205^A19,IF(A19='Données projet'!$A$62,'Données projet'!$B$62,AI18+AH19-AQ18)))</f>
        <v>15.472937028926689</v>
      </c>
      <c r="AJ19" s="14">
        <f>AI19*VLOOKUP('Données projet'!$B$10,Paramètres!$A$1:$I$88,3,0)*VLOOKUP('Données projet'!$B$10,Paramètres!$A$1:$I$88,5,0)</f>
        <v>7.2413345295376894</v>
      </c>
      <c r="AK19" s="14">
        <f t="shared" si="35"/>
        <v>2.6502557759113361</v>
      </c>
      <c r="AL19" s="22">
        <f t="shared" si="4"/>
        <v>17.227853115323715</v>
      </c>
      <c r="AM19" s="60">
        <f t="shared" si="5"/>
        <v>310.56118644865705</v>
      </c>
      <c r="AN19" s="60">
        <f ca="1">AVERAGE(OFFSET($AM$3,0,0,'Données projet'!$E$10+1,1))-AVERAGE(OFFSET($H$3,0,0,'Données projet'!$E$10+1,1))</f>
        <v>147.1675182177155</v>
      </c>
      <c r="AO19" s="60">
        <f t="shared" si="36"/>
        <v>115.86489547584461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projet'!$B$11,Paramètres!$A$1:$I$88,3,0)*VLOOKUP('Données projet'!$B$11,Paramètres!$A$1:$I$88,5,0)</f>
        <v>8.9411948236477841</v>
      </c>
      <c r="BF19" s="14">
        <f t="shared" si="37"/>
        <v>3.1930460350713803</v>
      </c>
      <c r="BG19" s="22">
        <f t="shared" si="7"/>
        <v>21.133802828935874</v>
      </c>
      <c r="BH19" s="60">
        <f t="shared" si="8"/>
        <v>314.46713616226918</v>
      </c>
      <c r="BI19" s="60">
        <f ca="1">AVERAGE(OFFSET($BH$3,0,0,'Données projet'!$E$11+1,1))-AVERAGE(OFFSET($H$3,0,0,'Données projet'!$E$11+1,1))</f>
        <v>166.48525819448878</v>
      </c>
      <c r="BJ19" s="60">
        <f t="shared" si="38"/>
        <v>61.876502626609977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0" t="e">
        <f t="shared" si="11"/>
        <v>#N/A</v>
      </c>
      <c r="CD19" s="60" t="e">
        <f ca="1">AVERAGE(OFFSET($CC$3,0,0,'Données projet'!$E$12+1,1))-AVERAGE(OFFSET($H$3,0,0,'Données projet'!$E$12+1,1))</f>
        <v>#N/A</v>
      </c>
      <c r="CE19" s="60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0" t="e">
        <f t="shared" si="14"/>
        <v>#N/A</v>
      </c>
      <c r="CY19" s="60" t="e">
        <f ca="1">AVERAGE(OFFSET($CX$3,0,0,'Données projet'!$E$13+1,1))-AVERAGE(OFFSET($H$3,0,0,'Données projet'!$E$13+1,1))</f>
        <v>#N/A</v>
      </c>
      <c r="CZ19" s="60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13</v>
      </c>
      <c r="N20" s="14">
        <f>IF('Données projet'!$A$36&gt;35,N19+M20-V19,IF(A20&lt;'Données projet'!$A$36,$K$205^A20,IF(A20='Données projet'!$A$36,'Données projet'!$B$36,N19+M20-V19)))</f>
        <v>83</v>
      </c>
      <c r="O20" s="14">
        <f>N20*VLOOKUP('Données projet'!$B$9,Paramètres!$A$1:$I$88,3,0)*VLOOKUP('Données projet'!$B$9,Paramètres!$A$1:$I$88,5,0)</f>
        <v>49.634</v>
      </c>
      <c r="P20" s="14">
        <f t="shared" si="33"/>
        <v>14.519198189037462</v>
      </c>
      <c r="Q20" s="22">
        <f t="shared" si="2"/>
        <v>111.73348684590691</v>
      </c>
      <c r="R20" s="60">
        <f t="shared" si="0"/>
        <v>405.06682017924021</v>
      </c>
      <c r="S20" s="60">
        <f ca="1">AVERAGE(OFFSET($R$3,0,0,'Données projet'!$E$9+1,1))-AVERAGE(OFFSET($H$3,0,0,'Données projet'!$E$9+1,1))</f>
        <v>222.57099967987045</v>
      </c>
      <c r="T20" s="60">
        <f t="shared" si="34"/>
        <v>221.49027090502796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5.666666666666667</v>
      </c>
      <c r="AI20" s="14">
        <f>IF('Données projet'!$A$62&gt;35,AI19+AH20-AQ19,IF(A20&lt;'Données projet'!$A$62,$AF$205^A20,IF(A20='Données projet'!$A$62,'Données projet'!$B$62,AI19+AH20-AQ19)))</f>
        <v>18.362045340858568</v>
      </c>
      <c r="AJ20" s="14">
        <f>AI20*VLOOKUP('Données projet'!$B$10,Paramètres!$A$1:$I$88,3,0)*VLOOKUP('Données projet'!$B$10,Paramètres!$A$1:$I$88,5,0)</f>
        <v>8.5934372195218103</v>
      </c>
      <c r="AK20" s="14">
        <f t="shared" si="35"/>
        <v>3.0830597767046952</v>
      </c>
      <c r="AL20" s="22">
        <f t="shared" si="4"/>
        <v>20.336565601761166</v>
      </c>
      <c r="AM20" s="60">
        <f t="shared" si="5"/>
        <v>313.66989893509447</v>
      </c>
      <c r="AN20" s="60">
        <f ca="1">AVERAGE(OFFSET($AM$3,0,0,'Données projet'!$E$10+1,1))-AVERAGE(OFFSET($H$3,0,0,'Données projet'!$E$10+1,1))</f>
        <v>147.1675182177155</v>
      </c>
      <c r="AO20" s="60">
        <f t="shared" si="36"/>
        <v>115.86489547584461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projet'!$B$11,Paramètres!$A$1:$I$88,3,0)*VLOOKUP('Données projet'!$B$11,Paramètres!$A$1:$I$88,5,0)</f>
        <v>10.244255656162224</v>
      </c>
      <c r="BF20" s="14">
        <f t="shared" si="37"/>
        <v>3.6009123769158946</v>
      </c>
      <c r="BG20" s="22">
        <f t="shared" si="7"/>
        <v>24.113667657611057</v>
      </c>
      <c r="BH20" s="60">
        <f t="shared" si="8"/>
        <v>317.44700099094439</v>
      </c>
      <c r="BI20" s="60">
        <f ca="1">AVERAGE(OFFSET($BH$3,0,0,'Données projet'!$E$11+1,1))-AVERAGE(OFFSET($H$3,0,0,'Données projet'!$E$11+1,1))</f>
        <v>166.48525819448878</v>
      </c>
      <c r="BJ20" s="60">
        <f t="shared" si="38"/>
        <v>61.876502626609977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0" t="e">
        <f t="shared" si="11"/>
        <v>#N/A</v>
      </c>
      <c r="CD20" s="60" t="e">
        <f ca="1">AVERAGE(OFFSET($CC$3,0,0,'Données projet'!$E$12+1,1))-AVERAGE(OFFSET($H$3,0,0,'Données projet'!$E$12+1,1))</f>
        <v>#N/A</v>
      </c>
      <c r="CE20" s="60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0" t="e">
        <f t="shared" si="14"/>
        <v>#N/A</v>
      </c>
      <c r="CY20" s="60" t="e">
        <f ca="1">AVERAGE(OFFSET($CX$3,0,0,'Données projet'!$E$13+1,1))-AVERAGE(OFFSET($H$3,0,0,'Données projet'!$E$13+1,1))</f>
        <v>#N/A</v>
      </c>
      <c r="CZ20" s="60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</v>
      </c>
      <c r="N21" s="14">
        <f>IF('Données projet'!$A$36&gt;35,N20+M21-V20,IF(A21&lt;'Données projet'!$A$36,$K$205^A21,IF(A21='Données projet'!$A$36,'Données projet'!$B$36,N20+M21-V20)))</f>
        <v>96</v>
      </c>
      <c r="O21" s="14">
        <f>N21*VLOOKUP('Données projet'!$B$9,Paramètres!$A$1:$I$88,3,0)*VLOOKUP('Données projet'!$B$9,Paramètres!$A$1:$I$88,5,0)</f>
        <v>57.408000000000008</v>
      </c>
      <c r="P21" s="14">
        <f t="shared" si="33"/>
        <v>16.511255298579947</v>
      </c>
      <c r="Q21" s="22">
        <f t="shared" si="2"/>
        <v>128.74270297836009</v>
      </c>
      <c r="R21" s="60">
        <f t="shared" si="0"/>
        <v>422.07603631169343</v>
      </c>
      <c r="S21" s="60">
        <f ca="1">AVERAGE(OFFSET($R$3,0,0,'Données projet'!$E$9+1,1))-AVERAGE(OFFSET($H$3,0,0,'Données projet'!$E$9+1,1))</f>
        <v>222.57099967987045</v>
      </c>
      <c r="T21" s="60">
        <f t="shared" si="34"/>
        <v>221.49027090502796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5.666666666666667</v>
      </c>
      <c r="AI21" s="14">
        <f>IF('Données projet'!$A$62&gt;35,AI20+AH21-AQ20,IF(A21&lt;'Données projet'!$A$62,$AF$205^A21,IF(A21='Données projet'!$A$62,'Données projet'!$B$62,AI20+AH21-AQ20)))</f>
        <v>21.790608238721305</v>
      </c>
      <c r="AJ21" s="14">
        <f>AI21*VLOOKUP('Données projet'!$B$10,Paramètres!$A$1:$I$88,3,0)*VLOOKUP('Données projet'!$B$10,Paramètres!$A$1:$I$88,5,0)</f>
        <v>10.19800465572157</v>
      </c>
      <c r="AK21" s="14">
        <f t="shared" si="35"/>
        <v>3.5865434850211249</v>
      </c>
      <c r="AL21" s="22">
        <f t="shared" si="4"/>
        <v>24.008088011793529</v>
      </c>
      <c r="AM21" s="60">
        <f t="shared" si="5"/>
        <v>317.34142134512683</v>
      </c>
      <c r="AN21" s="60">
        <f ca="1">AVERAGE(OFFSET($AM$3,0,0,'Données projet'!$E$10+1,1))-AVERAGE(OFFSET($H$3,0,0,'Données projet'!$E$10+1,1))</f>
        <v>147.1675182177155</v>
      </c>
      <c r="AO21" s="60">
        <f t="shared" si="36"/>
        <v>115.86489547584461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projet'!$B$11,Paramètres!$A$1:$I$88,3,0)*VLOOKUP('Données projet'!$B$11,Paramètres!$A$1:$I$88,5,0)</f>
        <v>11.737220362456757</v>
      </c>
      <c r="BF21" s="14">
        <f t="shared" si="37"/>
        <v>4.0608778588863084</v>
      </c>
      <c r="BG21" s="22">
        <f t="shared" si="7"/>
        <v>27.515021068839172</v>
      </c>
      <c r="BH21" s="60">
        <f t="shared" si="8"/>
        <v>320.8483544021725</v>
      </c>
      <c r="BI21" s="60">
        <f ca="1">AVERAGE(OFFSET($BH$3,0,0,'Données projet'!$E$11+1,1))-AVERAGE(OFFSET($H$3,0,0,'Données projet'!$E$11+1,1))</f>
        <v>166.48525819448878</v>
      </c>
      <c r="BJ21" s="60">
        <f t="shared" si="38"/>
        <v>61.876502626609977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0" t="e">
        <f t="shared" si="11"/>
        <v>#N/A</v>
      </c>
      <c r="CD21" s="60" t="e">
        <f ca="1">AVERAGE(OFFSET($CC$3,0,0,'Données projet'!$E$12+1,1))-AVERAGE(OFFSET($H$3,0,0,'Données projet'!$E$12+1,1))</f>
        <v>#N/A</v>
      </c>
      <c r="CE21" s="60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0" t="e">
        <f t="shared" si="14"/>
        <v>#N/A</v>
      </c>
      <c r="CY21" s="60" t="e">
        <f ca="1">AVERAGE(OFFSET($CX$3,0,0,'Données projet'!$E$13+1,1))-AVERAGE(OFFSET($H$3,0,0,'Données projet'!$E$13+1,1))</f>
        <v>#N/A</v>
      </c>
      <c r="CZ21" s="60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</v>
      </c>
      <c r="N22" s="14">
        <f>IF('Données projet'!$A$36&gt;35,N21+M22-V21,IF(A22&lt;'Données projet'!$A$36,$K$205^A22,IF(A22='Données projet'!$A$36,'Données projet'!$B$36,N21+M22-V21)))</f>
        <v>109</v>
      </c>
      <c r="O22" s="14">
        <f>N22*VLOOKUP('Données projet'!$B$9,Paramètres!$A$1:$I$88,3,0)*VLOOKUP('Données projet'!$B$9,Paramètres!$A$1:$I$88,5,0)</f>
        <v>65.182000000000002</v>
      </c>
      <c r="P22" s="14">
        <f t="shared" si="33"/>
        <v>18.472058045906227</v>
      </c>
      <c r="Q22" s="22">
        <f t="shared" si="2"/>
        <v>145.69748442995333</v>
      </c>
      <c r="R22" s="60">
        <f t="shared" si="0"/>
        <v>439.03081776328668</v>
      </c>
      <c r="S22" s="60">
        <f ca="1">AVERAGE(OFFSET($R$3,0,0,'Données projet'!$E$9+1,1))-AVERAGE(OFFSET($H$3,0,0,'Données projet'!$E$9+1,1))</f>
        <v>222.57099967987045</v>
      </c>
      <c r="T22" s="60">
        <f t="shared" si="34"/>
        <v>221.49027090502796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5.666666666666667</v>
      </c>
      <c r="AI22" s="14">
        <f>IF('Données projet'!$A$62&gt;35,AI21+AH22-AQ21,IF(A22&lt;'Données projet'!$A$62,$AF$205^A22,IF(A22='Données projet'!$A$62,'Données projet'!$B$62,AI21+AH22-AQ21)))</f>
        <v>25.859352735441334</v>
      </c>
      <c r="AJ22" s="14">
        <f>AI22*VLOOKUP('Données projet'!$B$10,Paramètres!$A$1:$I$88,3,0)*VLOOKUP('Données projet'!$B$10,Paramètres!$A$1:$I$88,5,0)</f>
        <v>12.102177080186545</v>
      </c>
      <c r="AK22" s="14">
        <f t="shared" si="35"/>
        <v>4.1722493566752403</v>
      </c>
      <c r="AL22" s="22">
        <f t="shared" si="4"/>
        <v>28.34462604420094</v>
      </c>
      <c r="AM22" s="60">
        <f t="shared" si="5"/>
        <v>321.67795937753425</v>
      </c>
      <c r="AN22" s="60">
        <f ca="1">AVERAGE(OFFSET($AM$3,0,0,'Données projet'!$E$10+1,1))-AVERAGE(OFFSET($H$3,0,0,'Données projet'!$E$10+1,1))</f>
        <v>147.1675182177155</v>
      </c>
      <c r="AO22" s="60">
        <f t="shared" si="36"/>
        <v>115.86489547584461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projet'!$B$11,Paramètres!$A$1:$I$88,3,0)*VLOOKUP('Données projet'!$B$11,Paramètres!$A$1:$I$88,5,0)</f>
        <v>13.447764919260033</v>
      </c>
      <c r="BF22" s="14">
        <f t="shared" si="37"/>
        <v>4.5795974071762906</v>
      </c>
      <c r="BG22" s="22">
        <f t="shared" si="7"/>
        <v>31.397656051876599</v>
      </c>
      <c r="BH22" s="60">
        <f t="shared" si="8"/>
        <v>324.73098938520991</v>
      </c>
      <c r="BI22" s="60">
        <f ca="1">AVERAGE(OFFSET($BH$3,0,0,'Données projet'!$E$11+1,1))-AVERAGE(OFFSET($H$3,0,0,'Données projet'!$E$11+1,1))</f>
        <v>166.48525819448878</v>
      </c>
      <c r="BJ22" s="60">
        <f t="shared" si="38"/>
        <v>61.876502626609977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0" t="e">
        <f t="shared" si="11"/>
        <v>#N/A</v>
      </c>
      <c r="CD22" s="60" t="e">
        <f ca="1">AVERAGE(OFFSET($CC$3,0,0,'Données projet'!$E$12+1,1))-AVERAGE(OFFSET($H$3,0,0,'Données projet'!$E$12+1,1))</f>
        <v>#N/A</v>
      </c>
      <c r="CE22" s="60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0" t="e">
        <f t="shared" si="14"/>
        <v>#N/A</v>
      </c>
      <c r="CY22" s="60" t="e">
        <f ca="1">AVERAGE(OFFSET($CX$3,0,0,'Données projet'!$E$13+1,1))-AVERAGE(OFFSET($H$3,0,0,'Données projet'!$E$13+1,1))</f>
        <v>#N/A</v>
      </c>
      <c r="CZ22" s="60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122</v>
      </c>
      <c r="L23" s="13">
        <f>VLOOKUP(A23,'Données projet'!$A$35:$I$55,9,0)</f>
        <v>13</v>
      </c>
      <c r="M23" s="13">
        <f t="array" ref="M23">INDEX(L:L,MIN(IF(ISNUMBER(L23:L219),ROW(L23:L219),"")))</f>
        <v>13</v>
      </c>
      <c r="N23" s="14">
        <f>IF('Données projet'!$A$36&gt;35,N22+M23-V22,IF(A23&lt;'Données projet'!$A$36,$K$205^A23,IF(A23='Données projet'!$A$36,'Données projet'!$B$36,N22+M23-V22)))</f>
        <v>122</v>
      </c>
      <c r="O23" s="14">
        <f>N23*VLOOKUP('Données projet'!$B$9,Paramètres!$A$1:$I$88,3,0)*VLOOKUP('Données projet'!$B$9,Paramètres!$A$1:$I$88,5,0)</f>
        <v>72.956000000000003</v>
      </c>
      <c r="P23" s="14">
        <f t="shared" si="33"/>
        <v>20.405760140212273</v>
      </c>
      <c r="Q23" s="22">
        <f t="shared" si="2"/>
        <v>162.60506557753638</v>
      </c>
      <c r="R23" s="60">
        <f t="shared" si="0"/>
        <v>455.93839891086969</v>
      </c>
      <c r="S23" s="60">
        <f ca="1">AVERAGE(OFFSET($R$3,0,0,'Données projet'!$E$9+1,1))-AVERAGE(OFFSET($H$3,0,0,'Données projet'!$E$9+1,1))</f>
        <v>222.57099967987045</v>
      </c>
      <c r="T23" s="60">
        <f t="shared" si="34"/>
        <v>221.49027090502796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23</v>
      </c>
      <c r="W23" s="17">
        <f>IF(ISNA(VLOOKUP(A23,'Données projet'!$A$35:$I$55,5,0)),0%,VLOOKUP(A23,'Données projet'!$A$35:$I$55,5,0)*VLOOKUP('Données projet'!$B$9,Paramètres!$A$1:$I$88,7,0))</f>
        <v>0</v>
      </c>
      <c r="X23" s="75">
        <f>IF(ISNA(VLOOKUP(A23,'Données projet'!$A$35:$I$55,6,0)),0%,VLOOKUP(A23,'Données projet'!$A$35:$I$55,6,0)*VLOOKUP('Données projet'!$B$9,Paramètres!$A$1:$I$88,7,0))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4.5797793977079859</v>
      </c>
      <c r="AB23" s="23">
        <f>EXP(-LN(2)/2)*AB22+(1-EXP(-LN(2)/2))/(LN(2)/2)*V23*Y23*VLOOKUP('Données projet'!$B$9,Paramètres!$A$1:$I$88,3,0)*0.475*44/12</f>
        <v>6.8519981288787646</v>
      </c>
      <c r="AC23" s="24">
        <f t="shared" si="3"/>
        <v>11.43177752658675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5.666666666666667</v>
      </c>
      <c r="AI23" s="14">
        <f>IF('Données projet'!$A$62&gt;35,AI22+AH23-AQ22,IF(A23&lt;'Données projet'!$A$62,$AF$205^A23,IF(A23='Données projet'!$A$62,'Données projet'!$B$62,AI22+AH23-AQ22)))</f>
        <v>30.68781360162793</v>
      </c>
      <c r="AJ23" s="14">
        <f>AI23*VLOOKUP('Données projet'!$B$10,Paramètres!$A$1:$I$88,3,0)*VLOOKUP('Données projet'!$B$10,Paramètres!$A$1:$I$88,5,0)</f>
        <v>14.361896765561871</v>
      </c>
      <c r="AK23" s="14">
        <f t="shared" si="35"/>
        <v>4.8536048055679508</v>
      </c>
      <c r="AL23" s="22">
        <f t="shared" si="4"/>
        <v>33.466998569717767</v>
      </c>
      <c r="AM23" s="60">
        <f t="shared" si="5"/>
        <v>326.80033190305107</v>
      </c>
      <c r="AN23" s="60">
        <f ca="1">AVERAGE(OFFSET($AM$3,0,0,'Données projet'!$E$10+1,1))-AVERAGE(OFFSET($H$3,0,0,'Données projet'!$E$10+1,1))</f>
        <v>147.1675182177155</v>
      </c>
      <c r="AO23" s="60">
        <f t="shared" si="36"/>
        <v>115.86489547584461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projet'!$B$11,Paramètres!$A$1:$I$88,3,0)*VLOOKUP('Données projet'!$B$11,Paramètres!$A$1:$I$88,5,0)</f>
        <v>15.407598710690648</v>
      </c>
      <c r="BF23" s="14">
        <f t="shared" si="37"/>
        <v>5.1645760204094255</v>
      </c>
      <c r="BG23" s="22">
        <f t="shared" si="7"/>
        <v>35.829870989999293</v>
      </c>
      <c r="BH23" s="60">
        <f t="shared" si="8"/>
        <v>329.16320432333259</v>
      </c>
      <c r="BI23" s="60">
        <f ca="1">AVERAGE(OFFSET($BH$3,0,0,'Données projet'!$E$11+1,1))-AVERAGE(OFFSET($H$3,0,0,'Données projet'!$E$11+1,1))</f>
        <v>166.48525819448878</v>
      </c>
      <c r="BJ23" s="60">
        <f t="shared" si="38"/>
        <v>61.876502626609977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0" t="e">
        <f t="shared" si="11"/>
        <v>#N/A</v>
      </c>
      <c r="CD23" s="60" t="e">
        <f ca="1">AVERAGE(OFFSET($CC$3,0,0,'Données projet'!$E$12+1,1))-AVERAGE(OFFSET($H$3,0,0,'Données projet'!$E$12+1,1))</f>
        <v>#N/A</v>
      </c>
      <c r="CE23" s="60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0" t="e">
        <f t="shared" si="14"/>
        <v>#N/A</v>
      </c>
      <c r="CY23" s="60" t="e">
        <f ca="1">AVERAGE(OFFSET($CX$3,0,0,'Données projet'!$E$13+1,1))-AVERAGE(OFFSET($H$3,0,0,'Données projet'!$E$13+1,1))</f>
        <v>#N/A</v>
      </c>
      <c r="CZ23" s="60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15.4</v>
      </c>
      <c r="N24" s="14">
        <f>IF('Données projet'!$A$36&gt;35,N23+M24-V23,IF(A24&lt;'Données projet'!$A$36,$K$205^A24,IF(A24='Données projet'!$A$36,'Données projet'!$B$36,N23+M24-V23)))</f>
        <v>114.4</v>
      </c>
      <c r="O24" s="14">
        <f>N24*VLOOKUP('Données projet'!$B$9,Paramètres!$A$1:$I$88,3,0)*VLOOKUP('Données projet'!$B$9,Paramètres!$A$1:$I$88,5,0)</f>
        <v>68.411200000000008</v>
      </c>
      <c r="P24" s="14">
        <f t="shared" si="33"/>
        <v>19.278376882353381</v>
      </c>
      <c r="Q24" s="22">
        <f t="shared" si="2"/>
        <v>152.72601307009882</v>
      </c>
      <c r="R24" s="60">
        <f t="shared" si="0"/>
        <v>446.05934640343213</v>
      </c>
      <c r="S24" s="60">
        <f ca="1">AVERAGE(OFFSET($R$3,0,0,'Données projet'!$E$9+1,1))-AVERAGE(OFFSET($H$3,0,0,'Données projet'!$E$9+1,1))</f>
        <v>222.57099967987045</v>
      </c>
      <c r="T24" s="60">
        <f t="shared" si="34"/>
        <v>221.49027090502796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4.4545450892375298</v>
      </c>
      <c r="AB24" s="23">
        <f>EXP(-LN(2)/2)*AB23+(1-EXP(-LN(2)/2))/(LN(2)/2)*V24*Y24*VLOOKUP('Données projet'!$B$9,Paramètres!$A$1:$I$88,3,0)*0.475*44/12</f>
        <v>4.8450943416077097</v>
      </c>
      <c r="AC24" s="24">
        <f t="shared" si="3"/>
        <v>9.2996394308452395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5.666666666666667</v>
      </c>
      <c r="AI24" s="14">
        <f>IF('Données projet'!$A$62&gt;35,AI23+AH24-AQ23,IF(A24&lt;'Données projet'!$A$62,$AF$205^A24,IF(A24='Données projet'!$A$62,'Données projet'!$B$62,AI23+AH24-AQ23)))</f>
        <v>36.417845151923039</v>
      </c>
      <c r="AJ24" s="14">
        <f>AI24*VLOOKUP('Données projet'!$B$10,Paramètres!$A$1:$I$88,3,0)*VLOOKUP('Données projet'!$B$10,Paramètres!$A$1:$I$88,5,0)</f>
        <v>17.043551531099983</v>
      </c>
      <c r="AK24" s="14">
        <f t="shared" si="35"/>
        <v>5.6462300295983905</v>
      </c>
      <c r="AL24" s="22">
        <f t="shared" si="4"/>
        <v>39.518036218216324</v>
      </c>
      <c r="AM24" s="60">
        <f t="shared" si="5"/>
        <v>332.85136955154962</v>
      </c>
      <c r="AN24" s="60">
        <f ca="1">AVERAGE(OFFSET($AM$3,0,0,'Données projet'!$E$10+1,1))-AVERAGE(OFFSET($H$3,0,0,'Données projet'!$E$10+1,1))</f>
        <v>147.1675182177155</v>
      </c>
      <c r="AO24" s="60">
        <f t="shared" si="36"/>
        <v>115.86489547584461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projet'!$B$11,Paramètres!$A$1:$I$88,3,0)*VLOOKUP('Données projet'!$B$11,Paramètres!$A$1:$I$88,5,0)</f>
        <v>17.653052344012782</v>
      </c>
      <c r="BF24" s="14">
        <f t="shared" si="37"/>
        <v>5.8242773543349813</v>
      </c>
      <c r="BG24" s="22">
        <f t="shared" si="7"/>
        <v>40.889682557955688</v>
      </c>
      <c r="BH24" s="60">
        <f t="shared" si="8"/>
        <v>334.22301589128898</v>
      </c>
      <c r="BI24" s="60">
        <f ca="1">AVERAGE(OFFSET($BH$3,0,0,'Données projet'!$E$11+1,1))-AVERAGE(OFFSET($H$3,0,0,'Données projet'!$E$11+1,1))</f>
        <v>166.48525819448878</v>
      </c>
      <c r="BJ24" s="60">
        <f t="shared" si="38"/>
        <v>61.876502626609977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0" t="e">
        <f t="shared" si="11"/>
        <v>#N/A</v>
      </c>
      <c r="CD24" s="60" t="e">
        <f ca="1">AVERAGE(OFFSET($CC$3,0,0,'Données projet'!$E$12+1,1))-AVERAGE(OFFSET($H$3,0,0,'Données projet'!$E$12+1,1))</f>
        <v>#N/A</v>
      </c>
      <c r="CE24" s="60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0" t="e">
        <f t="shared" si="14"/>
        <v>#N/A</v>
      </c>
      <c r="CY24" s="60" t="e">
        <f ca="1">AVERAGE(OFFSET($CX$3,0,0,'Données projet'!$E$13+1,1))-AVERAGE(OFFSET($H$3,0,0,'Données projet'!$E$13+1,1))</f>
        <v>#N/A</v>
      </c>
      <c r="CZ24" s="60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15.4</v>
      </c>
      <c r="N25" s="14">
        <f>IF('Données projet'!$A$36&gt;35,N24+M25-V24,IF(A25&lt;'Données projet'!$A$36,$K$205^A25,IF(A25='Données projet'!$A$36,'Données projet'!$B$36,N24+M25-V24)))</f>
        <v>129.80000000000001</v>
      </c>
      <c r="O25" s="14">
        <f>N25*VLOOKUP('Données projet'!$B$9,Paramètres!$A$1:$I$88,3,0)*VLOOKUP('Données projet'!$B$9,Paramètres!$A$1:$I$88,5,0)</f>
        <v>77.620400000000004</v>
      </c>
      <c r="P25" s="14">
        <f t="shared" si="33"/>
        <v>21.554340999058081</v>
      </c>
      <c r="Q25" s="22">
        <f t="shared" si="2"/>
        <v>172.72934057335951</v>
      </c>
      <c r="R25" s="60">
        <f t="shared" si="0"/>
        <v>466.06267390669279</v>
      </c>
      <c r="S25" s="60">
        <f ca="1">AVERAGE(OFFSET($R$3,0,0,'Données projet'!$E$9+1,1))-AVERAGE(OFFSET($H$3,0,0,'Données projet'!$E$9+1,1))</f>
        <v>222.57099967987045</v>
      </c>
      <c r="T25" s="60">
        <f t="shared" si="34"/>
        <v>221.49027090502796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4.3327353195179841</v>
      </c>
      <c r="AB25" s="23">
        <f>EXP(-LN(2)/2)*AB24+(1-EXP(-LN(2)/2))/(LN(2)/2)*V25*Y25*VLOOKUP('Données projet'!$B$9,Paramètres!$A$1:$I$88,3,0)*0.475*44/12</f>
        <v>3.4259990644393827</v>
      </c>
      <c r="AC25" s="24">
        <f t="shared" si="3"/>
        <v>7.7587343839573668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5.666666666666667</v>
      </c>
      <c r="AI25" s="14">
        <f>IF('Données projet'!$A$62&gt;35,AI24+AH25-AQ24,IF(A25&lt;'Données projet'!$A$62,$AF$205^A25,IF(A25='Données projet'!$A$62,'Données projet'!$B$62,AI24+AH25-AQ24)))</f>
        <v>43.217788752441109</v>
      </c>
      <c r="AJ25" s="14">
        <f>AI25*VLOOKUP('Données projet'!$B$10,Paramètres!$A$1:$I$88,3,0)*VLOOKUP('Données projet'!$B$10,Paramètres!$A$1:$I$88,5,0)</f>
        <v>20.22592513614244</v>
      </c>
      <c r="AK25" s="14">
        <f t="shared" si="35"/>
        <v>6.5682961065488277</v>
      </c>
      <c r="AL25" s="22">
        <f t="shared" si="4"/>
        <v>46.666601997687287</v>
      </c>
      <c r="AM25" s="60">
        <f t="shared" si="5"/>
        <v>339.99993533102059</v>
      </c>
      <c r="AN25" s="60">
        <f ca="1">AVERAGE(OFFSET($AM$3,0,0,'Données projet'!$E$10+1,1))-AVERAGE(OFFSET($H$3,0,0,'Données projet'!$E$10+1,1))</f>
        <v>147.1675182177155</v>
      </c>
      <c r="AO25" s="60">
        <f t="shared" si="36"/>
        <v>115.86489547584461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projet'!$B$11,Paramètres!$A$1:$I$88,3,0)*VLOOKUP('Données projet'!$B$11,Paramètres!$A$1:$I$88,5,0)</f>
        <v>20.225751131759992</v>
      </c>
      <c r="BF25" s="14">
        <f t="shared" si="37"/>
        <v>6.5682461766784241</v>
      </c>
      <c r="BG25" s="22">
        <f t="shared" si="7"/>
        <v>46.666211978863579</v>
      </c>
      <c r="BH25" s="60">
        <f t="shared" si="8"/>
        <v>339.99954531219691</v>
      </c>
      <c r="BI25" s="60">
        <f ca="1">AVERAGE(OFFSET($BH$3,0,0,'Données projet'!$E$11+1,1))-AVERAGE(OFFSET($H$3,0,0,'Données projet'!$E$11+1,1))</f>
        <v>166.48525819448878</v>
      </c>
      <c r="BJ25" s="60">
        <f t="shared" si="38"/>
        <v>61.876502626609977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0" t="e">
        <f t="shared" si="11"/>
        <v>#N/A</v>
      </c>
      <c r="CD25" s="60" t="e">
        <f ca="1">AVERAGE(OFFSET($CC$3,0,0,'Données projet'!$E$12+1,1))-AVERAGE(OFFSET($H$3,0,0,'Données projet'!$E$12+1,1))</f>
        <v>#N/A</v>
      </c>
      <c r="CE25" s="60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0" t="e">
        <f t="shared" si="14"/>
        <v>#N/A</v>
      </c>
      <c r="CY25" s="60" t="e">
        <f ca="1">AVERAGE(OFFSET($CX$3,0,0,'Données projet'!$E$13+1,1))-AVERAGE(OFFSET($H$3,0,0,'Données projet'!$E$13+1,1))</f>
        <v>#N/A</v>
      </c>
      <c r="CZ25" s="60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15.4</v>
      </c>
      <c r="N26" s="14">
        <f>IF('Données projet'!$A$36&gt;35,N25+M26-V25,IF(A26&lt;'Données projet'!$A$36,$K$205^A26,IF(A26='Données projet'!$A$36,'Données projet'!$B$36,N25+M26-V25)))</f>
        <v>145.20000000000002</v>
      </c>
      <c r="O26" s="14">
        <f>N26*VLOOKUP('Données projet'!$B$9,Paramètres!$A$1:$I$88,3,0)*VLOOKUP('Données projet'!$B$9,Paramètres!$A$1:$I$88,5,0)</f>
        <v>86.829600000000028</v>
      </c>
      <c r="P26" s="14">
        <f t="shared" si="33"/>
        <v>23.799012289012015</v>
      </c>
      <c r="Q26" s="22">
        <f t="shared" si="2"/>
        <v>192.67816640336261</v>
      </c>
      <c r="R26" s="60">
        <f t="shared" si="0"/>
        <v>486.0114997366959</v>
      </c>
      <c r="S26" s="60">
        <f ca="1">AVERAGE(OFFSET($R$3,0,0,'Données projet'!$E$9+1,1))-AVERAGE(OFFSET($H$3,0,0,'Données projet'!$E$9+1,1))</f>
        <v>222.57099967987045</v>
      </c>
      <c r="T26" s="60">
        <f t="shared" si="34"/>
        <v>221.49027090502796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4.2142564443571171</v>
      </c>
      <c r="AB26" s="23">
        <f>EXP(-LN(2)/2)*AB25+(1-EXP(-LN(2)/2))/(LN(2)/2)*V26*Y26*VLOOKUP('Données projet'!$B$9,Paramètres!$A$1:$I$88,3,0)*0.475*44/12</f>
        <v>2.4225471708038553</v>
      </c>
      <c r="AC26" s="24">
        <f t="shared" si="3"/>
        <v>6.6368036151609724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5.666666666666667</v>
      </c>
      <c r="AI26" s="14">
        <f>IF('Données projet'!$A$62&gt;35,AI25+AH26-AQ25,IF(A26&lt;'Données projet'!$A$62,$AF$205^A26,IF(A26='Données projet'!$A$62,'Données projet'!$B$62,AI25+AH26-AQ25)))</f>
        <v>51.287418485604626</v>
      </c>
      <c r="AJ26" s="14">
        <f>AI26*VLOOKUP('Données projet'!$B$10,Paramètres!$A$1:$I$88,3,0)*VLOOKUP('Données projet'!$B$10,Paramètres!$A$1:$I$88,5,0)</f>
        <v>24.002511851262966</v>
      </c>
      <c r="AK26" s="14">
        <f t="shared" si="35"/>
        <v>7.6409415693559897</v>
      </c>
      <c r="AL26" s="22">
        <f t="shared" si="4"/>
        <v>55.112348040911343</v>
      </c>
      <c r="AM26" s="60">
        <f t="shared" si="5"/>
        <v>348.44568137424466</v>
      </c>
      <c r="AN26" s="60">
        <f ca="1">AVERAGE(OFFSET($AM$3,0,0,'Données projet'!$E$10+1,1))-AVERAGE(OFFSET($H$3,0,0,'Données projet'!$E$10+1,1))</f>
        <v>147.1675182177155</v>
      </c>
      <c r="AO26" s="60">
        <f t="shared" si="36"/>
        <v>115.86489547584461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projet'!$B$11,Paramètres!$A$1:$I$88,3,0)*VLOOKUP('Données projet'!$B$11,Paramètres!$A$1:$I$88,5,0)</f>
        <v>23.173386724966843</v>
      </c>
      <c r="BF26" s="14">
        <f t="shared" si="37"/>
        <v>7.4072464638622444</v>
      </c>
      <c r="BG26" s="22">
        <f t="shared" si="7"/>
        <v>53.261269470543994</v>
      </c>
      <c r="BH26" s="60">
        <f t="shared" si="8"/>
        <v>346.59460280387731</v>
      </c>
      <c r="BI26" s="60">
        <f ca="1">AVERAGE(OFFSET($BH$3,0,0,'Données projet'!$E$11+1,1))-AVERAGE(OFFSET($H$3,0,0,'Données projet'!$E$11+1,1))</f>
        <v>166.48525819448878</v>
      </c>
      <c r="BJ26" s="60">
        <f t="shared" si="38"/>
        <v>61.876502626609977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0" t="e">
        <f t="shared" si="11"/>
        <v>#N/A</v>
      </c>
      <c r="CD26" s="60" t="e">
        <f ca="1">AVERAGE(OFFSET($CC$3,0,0,'Données projet'!$E$12+1,1))-AVERAGE(OFFSET($H$3,0,0,'Données projet'!$E$12+1,1))</f>
        <v>#N/A</v>
      </c>
      <c r="CE26" s="60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0" t="e">
        <f t="shared" si="14"/>
        <v>#N/A</v>
      </c>
      <c r="CY26" s="60" t="e">
        <f ca="1">AVERAGE(OFFSET($CX$3,0,0,'Données projet'!$E$13+1,1))-AVERAGE(OFFSET($H$3,0,0,'Données projet'!$E$13+1,1))</f>
        <v>#N/A</v>
      </c>
      <c r="CZ26" s="60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15.4</v>
      </c>
      <c r="N27" s="14">
        <f>IF('Données projet'!$A$36&gt;35,N26+M27-V26,IF(A27&lt;'Données projet'!$A$36,$K$205^A27,IF(A27='Données projet'!$A$36,'Données projet'!$B$36,N26+M27-V26)))</f>
        <v>160.60000000000002</v>
      </c>
      <c r="O27" s="14">
        <f>N27*VLOOKUP('Données projet'!$B$9,Paramètres!$A$1:$I$88,3,0)*VLOOKUP('Données projet'!$B$9,Paramètres!$A$1:$I$88,5,0)</f>
        <v>96.038800000000023</v>
      </c>
      <c r="P27" s="14">
        <f t="shared" si="33"/>
        <v>26.016087885665684</v>
      </c>
      <c r="Q27" s="22">
        <f t="shared" si="2"/>
        <v>212.5789297342011</v>
      </c>
      <c r="R27" s="60">
        <f t="shared" si="0"/>
        <v>505.91226306753441</v>
      </c>
      <c r="S27" s="60">
        <f ca="1">AVERAGE(OFFSET($R$3,0,0,'Données projet'!$E$9+1,1))-AVERAGE(OFFSET($H$3,0,0,'Données projet'!$E$9+1,1))</f>
        <v>222.57099967987045</v>
      </c>
      <c r="T27" s="60">
        <f t="shared" si="34"/>
        <v>221.49027090502796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4.099017380268057</v>
      </c>
      <c r="AB27" s="23">
        <f>EXP(-LN(2)/2)*AB26+(1-EXP(-LN(2)/2))/(LN(2)/2)*V27*Y27*VLOOKUP('Données projet'!$B$9,Paramètres!$A$1:$I$88,3,0)*0.475*44/12</f>
        <v>1.7129995322196916</v>
      </c>
      <c r="AC27" s="24">
        <f t="shared" si="3"/>
        <v>5.8120169124877483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5.666666666666667</v>
      </c>
      <c r="AI27" s="14">
        <f>IF('Données projet'!$A$62&gt;35,AI26+AH27-AQ26,IF(A27&lt;'Données projet'!$A$62,$AF$205^A27,IF(A27='Données projet'!$A$62,'Données projet'!$B$62,AI26+AH27-AQ26)))</f>
        <v>60.863810270000563</v>
      </c>
      <c r="AJ27" s="14">
        <f>AI27*VLOOKUP('Données projet'!$B$10,Paramètres!$A$1:$I$88,3,0)*VLOOKUP('Données projet'!$B$10,Paramètres!$A$1:$I$88,5,0)</f>
        <v>28.484263206360264</v>
      </c>
      <c r="AK27" s="14">
        <f t="shared" si="35"/>
        <v>8.8887570108329133</v>
      </c>
      <c r="AL27" s="22">
        <f t="shared" si="4"/>
        <v>65.091343544944792</v>
      </c>
      <c r="AM27" s="60">
        <f t="shared" si="5"/>
        <v>358.42467687827809</v>
      </c>
      <c r="AN27" s="60">
        <f ca="1">AVERAGE(OFFSET($AM$3,0,0,'Données projet'!$E$10+1,1))-AVERAGE(OFFSET($H$3,0,0,'Données projet'!$E$10+1,1))</f>
        <v>147.1675182177155</v>
      </c>
      <c r="AO27" s="60">
        <f t="shared" si="36"/>
        <v>115.86489547584461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projet'!$B$11,Paramètres!$A$1:$I$88,3,0)*VLOOKUP('Données projet'!$B$11,Paramètres!$A$1:$I$88,5,0)</f>
        <v>26.550601201733496</v>
      </c>
      <c r="BF27" s="14">
        <f t="shared" si="37"/>
        <v>8.3534171376241328</v>
      </c>
      <c r="BG27" s="22">
        <f t="shared" si="7"/>
        <v>60.7911652743812</v>
      </c>
      <c r="BH27" s="60">
        <f t="shared" si="8"/>
        <v>354.12449860771449</v>
      </c>
      <c r="BI27" s="60">
        <f ca="1">AVERAGE(OFFSET($BH$3,0,0,'Données projet'!$E$11+1,1))-AVERAGE(OFFSET($H$3,0,0,'Données projet'!$E$11+1,1))</f>
        <v>166.48525819448878</v>
      </c>
      <c r="BJ27" s="60">
        <f t="shared" si="38"/>
        <v>61.876502626609977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0" t="e">
        <f t="shared" si="11"/>
        <v>#N/A</v>
      </c>
      <c r="CD27" s="60" t="e">
        <f ca="1">AVERAGE(OFFSET($CC$3,0,0,'Données projet'!$E$12+1,1))-AVERAGE(OFFSET($H$3,0,0,'Données projet'!$E$12+1,1))</f>
        <v>#N/A</v>
      </c>
      <c r="CE27" s="60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0" t="e">
        <f t="shared" si="14"/>
        <v>#N/A</v>
      </c>
      <c r="CY27" s="60" t="e">
        <f ca="1">AVERAGE(OFFSET($CX$3,0,0,'Données projet'!$E$13+1,1))-AVERAGE(OFFSET($H$3,0,0,'Données projet'!$E$13+1,1))</f>
        <v>#N/A</v>
      </c>
      <c r="CZ27" s="60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176</v>
      </c>
      <c r="L28" s="13">
        <f>VLOOKUP(A28,'Données projet'!$A$35:$I$55,9,0)</f>
        <v>15.4</v>
      </c>
      <c r="M28" s="13">
        <f t="array" ref="M28">INDEX(L:L,MIN(IF(ISNUMBER(L28:L224),ROW(L28:L224),"")))</f>
        <v>15.4</v>
      </c>
      <c r="N28" s="14">
        <f>IF('Données projet'!$A$36&gt;35,N27+M28-V27,IF(A28&lt;'Données projet'!$A$36,$K$205^A28,IF(A28='Données projet'!$A$36,'Données projet'!$B$36,N27+M28-V27)))</f>
        <v>176.00000000000003</v>
      </c>
      <c r="O28" s="14">
        <f>N28*VLOOKUP('Données projet'!$B$9,Paramètres!$A$1:$I$88,3,0)*VLOOKUP('Données projet'!$B$9,Paramètres!$A$1:$I$88,5,0)</f>
        <v>105.24800000000003</v>
      </c>
      <c r="P28" s="14">
        <f t="shared" si="33"/>
        <v>28.208515027560551</v>
      </c>
      <c r="Q28" s="22">
        <f t="shared" si="2"/>
        <v>232.43676367300134</v>
      </c>
      <c r="R28" s="60">
        <f t="shared" si="0"/>
        <v>525.77009700633471</v>
      </c>
      <c r="S28" s="60">
        <f ca="1">AVERAGE(OFFSET($R$3,0,0,'Données projet'!$E$9+1,1))-AVERAGE(OFFSET($H$3,0,0,'Données projet'!$E$9+1,1))</f>
        <v>222.57099967987045</v>
      </c>
      <c r="T28" s="60">
        <f t="shared" si="34"/>
        <v>221.49027090502796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42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12.350004956348211</v>
      </c>
      <c r="AB28" s="23">
        <f>EXP(-LN(2)/2)*AB27+(1-EXP(-LN(2)/2))/(LN(2)/2)*V28*Y28*VLOOKUP('Données projet'!$B$9,Paramètres!$A$1:$I$88,3,0)*0.475*44/12</f>
        <v>13.723617994658804</v>
      </c>
      <c r="AC28" s="24">
        <f t="shared" si="3"/>
        <v>26.073622951007017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5.666666666666667</v>
      </c>
      <c r="AI28" s="14">
        <f>IF('Données projet'!$A$62&gt;35,AI27+AH28-AQ27,IF(A28&lt;'Données projet'!$A$62,$AF$205^A28,IF(A28='Données projet'!$A$62,'Données projet'!$B$62,AI27+AH28-AQ27)))</f>
        <v>72.228306862868891</v>
      </c>
      <c r="AJ28" s="14">
        <f>AI28*VLOOKUP('Données projet'!$B$10,Paramètres!$A$1:$I$88,3,0)*VLOOKUP('Données projet'!$B$10,Paramètres!$A$1:$I$88,5,0)</f>
        <v>33.802847611822642</v>
      </c>
      <c r="AK28" s="14">
        <f t="shared" si="35"/>
        <v>10.340348827492802</v>
      </c>
      <c r="AL28" s="22">
        <f t="shared" si="4"/>
        <v>76.882733798474405</v>
      </c>
      <c r="AM28" s="60">
        <f t="shared" si="5"/>
        <v>370.21606713180773</v>
      </c>
      <c r="AN28" s="60">
        <f ca="1">AVERAGE(OFFSET($AM$3,0,0,'Données projet'!$E$10+1,1))-AVERAGE(OFFSET($H$3,0,0,'Données projet'!$E$10+1,1))</f>
        <v>147.1675182177155</v>
      </c>
      <c r="AO28" s="60">
        <f t="shared" si="36"/>
        <v>115.86489547584461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projet'!$B$11,Paramètres!$A$1:$I$88,3,0)*VLOOKUP('Données projet'!$B$11,Paramètres!$A$1:$I$88,5,0)</f>
        <v>30.42</v>
      </c>
      <c r="BF28" s="14">
        <f t="shared" si="37"/>
        <v>9.4204476947792024</v>
      </c>
      <c r="BG28" s="22">
        <f t="shared" si="7"/>
        <v>69.388779735073783</v>
      </c>
      <c r="BH28" s="60">
        <f t="shared" si="8"/>
        <v>362.72211306840711</v>
      </c>
      <c r="BI28" s="60">
        <f ca="1">AVERAGE(OFFSET($BH$3,0,0,'Données projet'!$E$11+1,1))-AVERAGE(OFFSET($H$3,0,0,'Données projet'!$E$11+1,1))</f>
        <v>166.48525819448878</v>
      </c>
      <c r="BJ28" s="60">
        <f t="shared" si="38"/>
        <v>61.876502626609977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0" t="e">
        <f t="shared" si="11"/>
        <v>#N/A</v>
      </c>
      <c r="CD28" s="60" t="e">
        <f ca="1">AVERAGE(OFFSET($CC$3,0,0,'Données projet'!$E$12+1,1))-AVERAGE(OFFSET($H$3,0,0,'Données projet'!$E$12+1,1))</f>
        <v>#N/A</v>
      </c>
      <c r="CE28" s="60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0" t="e">
        <f t="shared" si="14"/>
        <v>#N/A</v>
      </c>
      <c r="CY28" s="60" t="e">
        <f ca="1">AVERAGE(OFFSET($CX$3,0,0,'Données projet'!$E$13+1,1))-AVERAGE(OFFSET($H$3,0,0,'Données projet'!$E$13+1,1))</f>
        <v>#N/A</v>
      </c>
      <c r="CZ28" s="60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16.2</v>
      </c>
      <c r="N29" s="14">
        <f>IF('Données projet'!$A$36&gt;35,N28+M29-V28,IF(A29&lt;'Données projet'!$A$36,$K$205^A29,IF(A29='Données projet'!$A$36,'Données projet'!$B$36,N28+M29-V28)))</f>
        <v>150.20000000000002</v>
      </c>
      <c r="O29" s="14">
        <f>N29*VLOOKUP('Données projet'!$B$9,Paramètres!$A$1:$I$88,3,0)*VLOOKUP('Données projet'!$B$9,Paramètres!$A$1:$I$88,5,0)</f>
        <v>89.819600000000023</v>
      </c>
      <c r="P29" s="14">
        <f t="shared" si="33"/>
        <v>24.521711778541039</v>
      </c>
      <c r="Q29" s="22">
        <f t="shared" si="2"/>
        <v>199.1444513476257</v>
      </c>
      <c r="R29" s="60">
        <f t="shared" si="0"/>
        <v>492.47778468095902</v>
      </c>
      <c r="S29" s="60">
        <f ca="1">AVERAGE(OFFSET($R$3,0,0,'Données projet'!$E$9+1,1))-AVERAGE(OFFSET($H$3,0,0,'Données projet'!$E$9+1,1))</f>
        <v>222.57099967987045</v>
      </c>
      <c r="T29" s="60">
        <f t="shared" si="34"/>
        <v>221.49027090502796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12.012293421358335</v>
      </c>
      <c r="AB29" s="23">
        <f>EXP(-LN(2)/2)*AB28+(1-EXP(-LN(2)/2))/(LN(2)/2)*V29*Y29*VLOOKUP('Données projet'!$B$9,Paramètres!$A$1:$I$88,3,0)*0.475*44/12</f>
        <v>9.7040633464369694</v>
      </c>
      <c r="AC29" s="24">
        <f t="shared" si="3"/>
        <v>21.716356767795304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5.666666666666667</v>
      </c>
      <c r="AI29" s="14">
        <f>IF('Données projet'!$A$62&gt;35,AI28+AH29-AQ28,IF(A29&lt;'Données projet'!$A$62,$AF$205^A29,IF(A29='Données projet'!$A$62,'Données projet'!$B$62,AI28+AH29-AQ28)))</f>
        <v>85.714783368535649</v>
      </c>
      <c r="AJ29" s="14">
        <f>AI29*VLOOKUP('Données projet'!$B$10,Paramètres!$A$1:$I$88,3,0)*VLOOKUP('Données projet'!$B$10,Paramètres!$A$1:$I$88,5,0)</f>
        <v>40.114518616474683</v>
      </c>
      <c r="AK29" s="14">
        <f t="shared" si="35"/>
        <v>12.028995026405015</v>
      </c>
      <c r="AL29" s="22">
        <f t="shared" si="4"/>
        <v>90.816619594682138</v>
      </c>
      <c r="AM29" s="60">
        <f t="shared" si="5"/>
        <v>384.14995292801547</v>
      </c>
      <c r="AN29" s="60">
        <f ca="1">AVERAGE(OFFSET($AM$3,0,0,'Données projet'!$E$10+1,1))-AVERAGE(OFFSET($H$3,0,0,'Données projet'!$E$10+1,1))</f>
        <v>147.1675182177155</v>
      </c>
      <c r="AO29" s="60">
        <f t="shared" si="36"/>
        <v>115.86489547584461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projet'!$B$11,Paramètres!$A$1:$I$88,3,0)*VLOOKUP('Données projet'!$B$11,Paramètres!$A$1:$I$88,5,0)</f>
        <v>35.287199999999999</v>
      </c>
      <c r="BF29" s="14">
        <f t="shared" si="37"/>
        <v>10.740552489323523</v>
      </c>
      <c r="BG29" s="22">
        <f t="shared" si="7"/>
        <v>80.165002252238452</v>
      </c>
      <c r="BH29" s="60">
        <f t="shared" si="8"/>
        <v>373.49833558557179</v>
      </c>
      <c r="BI29" s="60">
        <f ca="1">AVERAGE(OFFSET($BH$3,0,0,'Données projet'!$E$11+1,1))-AVERAGE(OFFSET($H$3,0,0,'Données projet'!$E$11+1,1))</f>
        <v>166.48525819448878</v>
      </c>
      <c r="BJ29" s="60">
        <f t="shared" si="38"/>
        <v>61.876502626609977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0" t="e">
        <f t="shared" si="11"/>
        <v>#N/A</v>
      </c>
      <c r="CD29" s="60" t="e">
        <f ca="1">AVERAGE(OFFSET($CC$3,0,0,'Données projet'!$E$12+1,1))-AVERAGE(OFFSET($H$3,0,0,'Données projet'!$E$12+1,1))</f>
        <v>#N/A</v>
      </c>
      <c r="CE29" s="60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0" t="e">
        <f t="shared" si="14"/>
        <v>#N/A</v>
      </c>
      <c r="CY29" s="60" t="e">
        <f ca="1">AVERAGE(OFFSET($CX$3,0,0,'Données projet'!$E$13+1,1))-AVERAGE(OFFSET($H$3,0,0,'Données projet'!$E$13+1,1))</f>
        <v>#N/A</v>
      </c>
      <c r="CZ29" s="60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16.2</v>
      </c>
      <c r="N30" s="14">
        <f>IF('Données projet'!$A$36&gt;35,N29+M30-V29,IF(A30&lt;'Données projet'!$A$36,$K$205^A30,IF(A30='Données projet'!$A$36,'Données projet'!$B$36,N29+M30-V29)))</f>
        <v>166.4</v>
      </c>
      <c r="O30" s="14">
        <f>N30*VLOOKUP('Données projet'!$B$9,Paramètres!$A$1:$I$88,3,0)*VLOOKUP('Données projet'!$B$9,Paramètres!$A$1:$I$88,5,0)</f>
        <v>99.507200000000012</v>
      </c>
      <c r="P30" s="14">
        <f t="shared" si="33"/>
        <v>26.844561009733273</v>
      </c>
      <c r="Q30" s="22">
        <f t="shared" si="2"/>
        <v>220.06265042528548</v>
      </c>
      <c r="R30" s="60">
        <f t="shared" si="0"/>
        <v>513.39598375861874</v>
      </c>
      <c r="S30" s="60">
        <f ca="1">AVERAGE(OFFSET($R$3,0,0,'Données projet'!$E$9+1,1))-AVERAGE(OFFSET($H$3,0,0,'Données projet'!$E$9+1,1))</f>
        <v>222.57099967987045</v>
      </c>
      <c r="T30" s="60">
        <f t="shared" si="34"/>
        <v>221.49027090502796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11.683816626052234</v>
      </c>
      <c r="AB30" s="23">
        <f>EXP(-LN(2)/2)*AB29+(1-EXP(-LN(2)/2))/(LN(2)/2)*V30*Y30*VLOOKUP('Données projet'!$B$9,Paramètres!$A$1:$I$88,3,0)*0.475*44/12</f>
        <v>6.861808997329403</v>
      </c>
      <c r="AC30" s="24">
        <f t="shared" si="3"/>
        <v>18.545625623381639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5.666666666666667</v>
      </c>
      <c r="AI30" s="14">
        <f>IF('Données projet'!$A$62&gt;35,AI29+AH30-AQ29,IF(A30&lt;'Données projet'!$A$62,$AF$205^A30,IF(A30='Données projet'!$A$62,'Données projet'!$B$62,AI29+AH30-AQ29)))</f>
        <v>101.71945608338704</v>
      </c>
      <c r="AJ30" s="14">
        <f>AI30*VLOOKUP('Données projet'!$B$10,Paramètres!$A$1:$I$88,3,0)*VLOOKUP('Données projet'!$B$10,Paramètres!$A$1:$I$88,5,0)</f>
        <v>47.604705447025133</v>
      </c>
      <c r="AK30" s="14">
        <f t="shared" si="35"/>
        <v>13.993408129574757</v>
      </c>
      <c r="AL30" s="22">
        <f t="shared" si="4"/>
        <v>107.28338114591146</v>
      </c>
      <c r="AM30" s="60">
        <f t="shared" si="5"/>
        <v>400.61671447924476</v>
      </c>
      <c r="AN30" s="60">
        <f ca="1">AVERAGE(OFFSET($AM$3,0,0,'Données projet'!$E$10+1,1))-AVERAGE(OFFSET($H$3,0,0,'Données projet'!$E$10+1,1))</f>
        <v>147.1675182177155</v>
      </c>
      <c r="AO30" s="60">
        <f t="shared" si="36"/>
        <v>115.86489547584461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projet'!$B$11,Paramètres!$A$1:$I$88,3,0)*VLOOKUP('Données projet'!$B$11,Paramètres!$A$1:$I$88,5,0)</f>
        <v>40.154399999999995</v>
      </c>
      <c r="BF30" s="14">
        <f t="shared" si="37"/>
        <v>12.039561463286329</v>
      </c>
      <c r="BG30" s="22">
        <f t="shared" si="7"/>
        <v>90.90448288189036</v>
      </c>
      <c r="BH30" s="60">
        <f t="shared" si="8"/>
        <v>384.23781621522369</v>
      </c>
      <c r="BI30" s="60">
        <f ca="1">AVERAGE(OFFSET($BH$3,0,0,'Données projet'!$E$11+1,1))-AVERAGE(OFFSET($H$3,0,0,'Données projet'!$E$11+1,1))</f>
        <v>166.48525819448878</v>
      </c>
      <c r="BJ30" s="60">
        <f t="shared" si="38"/>
        <v>61.876502626609977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0" t="e">
        <f t="shared" si="11"/>
        <v>#N/A</v>
      </c>
      <c r="CD30" s="60" t="e">
        <f ca="1">AVERAGE(OFFSET($CC$3,0,0,'Données projet'!$E$12+1,1))-AVERAGE(OFFSET($H$3,0,0,'Données projet'!$E$12+1,1))</f>
        <v>#N/A</v>
      </c>
      <c r="CE30" s="60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0" t="e">
        <f t="shared" si="14"/>
        <v>#N/A</v>
      </c>
      <c r="CY30" s="60" t="e">
        <f ca="1">AVERAGE(OFFSET($CX$3,0,0,'Données projet'!$E$13+1,1))-AVERAGE(OFFSET($H$3,0,0,'Données projet'!$E$13+1,1))</f>
        <v>#N/A</v>
      </c>
      <c r="CZ30" s="60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16.2</v>
      </c>
      <c r="N31" s="14">
        <f>IF('Données projet'!$A$36&gt;35,N30+M31-V30,IF(A31&lt;'Données projet'!$A$36,$K$205^A31,IF(A31='Données projet'!$A$36,'Données projet'!$B$36,N30+M31-V30)))</f>
        <v>182.6</v>
      </c>
      <c r="O31" s="14">
        <f>N31*VLOOKUP('Données projet'!$B$9,Paramètres!$A$1:$I$88,3,0)*VLOOKUP('Données projet'!$B$9,Paramètres!$A$1:$I$88,5,0)</f>
        <v>109.1948</v>
      </c>
      <c r="P31" s="14">
        <f t="shared" si="33"/>
        <v>29.141192129605439</v>
      </c>
      <c r="Q31" s="22">
        <f t="shared" si="2"/>
        <v>240.93518629239611</v>
      </c>
      <c r="R31" s="60">
        <f t="shared" si="0"/>
        <v>534.26851962572937</v>
      </c>
      <c r="S31" s="60">
        <f ca="1">AVERAGE(OFFSET($R$3,0,0,'Données projet'!$E$9+1,1))-AVERAGE(OFFSET($H$3,0,0,'Données projet'!$E$9+1,1))</f>
        <v>222.57099967987045</v>
      </c>
      <c r="T31" s="60">
        <f t="shared" si="34"/>
        <v>221.49027090502796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11.364322045987624</v>
      </c>
      <c r="AB31" s="23">
        <f>EXP(-LN(2)/2)*AB30+(1-EXP(-LN(2)/2))/(LN(2)/2)*V31*Y31*VLOOKUP('Données projet'!$B$9,Paramètres!$A$1:$I$88,3,0)*0.475*44/12</f>
        <v>4.8520316732184856</v>
      </c>
      <c r="AC31" s="24">
        <f t="shared" si="3"/>
        <v>16.216353719206111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5.666666666666667</v>
      </c>
      <c r="AI31" s="14">
        <f>IF('Données projet'!$A$62&gt;35,AI30+AH31-AQ30,IF(A31&lt;'Données projet'!$A$62,$AF$205^A31,IF(A31='Données projet'!$A$62,'Données projet'!$B$62,AI30+AH31-AQ30)))</f>
        <v>120.71252284933438</v>
      </c>
      <c r="AJ31" s="14">
        <f>AI31*VLOOKUP('Données projet'!$B$10,Paramètres!$A$1:$I$88,3,0)*VLOOKUP('Données projet'!$B$10,Paramètres!$A$1:$I$88,5,0)</f>
        <v>56.493460693488487</v>
      </c>
      <c r="AK31" s="14">
        <f t="shared" si="35"/>
        <v>16.278622665568623</v>
      </c>
      <c r="AL31" s="22">
        <f t="shared" si="4"/>
        <v>126.74471185035777</v>
      </c>
      <c r="AM31" s="60">
        <f t="shared" si="5"/>
        <v>420.07804518369107</v>
      </c>
      <c r="AN31" s="60">
        <f ca="1">AVERAGE(OFFSET($AM$3,0,0,'Données projet'!$E$10+1,1))-AVERAGE(OFFSET($H$3,0,0,'Données projet'!$E$10+1,1))</f>
        <v>147.1675182177155</v>
      </c>
      <c r="AO31" s="60">
        <f t="shared" si="36"/>
        <v>115.86489547584461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projet'!$B$11,Paramètres!$A$1:$I$88,3,0)*VLOOKUP('Données projet'!$B$11,Paramètres!$A$1:$I$88,5,0)</f>
        <v>45.021599999999992</v>
      </c>
      <c r="BF31" s="14">
        <f t="shared" si="37"/>
        <v>13.320324173992205</v>
      </c>
      <c r="BG31" s="22">
        <f t="shared" si="7"/>
        <v>101.6121846030364</v>
      </c>
      <c r="BH31" s="60">
        <f t="shared" si="8"/>
        <v>394.9455179363697</v>
      </c>
      <c r="BI31" s="60">
        <f ca="1">AVERAGE(OFFSET($BH$3,0,0,'Données projet'!$E$11+1,1))-AVERAGE(OFFSET($H$3,0,0,'Données projet'!$E$11+1,1))</f>
        <v>166.48525819448878</v>
      </c>
      <c r="BJ31" s="60">
        <f t="shared" si="38"/>
        <v>61.876502626609977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0" t="e">
        <f t="shared" si="11"/>
        <v>#N/A</v>
      </c>
      <c r="CD31" s="60" t="e">
        <f ca="1">AVERAGE(OFFSET($CC$3,0,0,'Données projet'!$E$12+1,1))-AVERAGE(OFFSET($H$3,0,0,'Données projet'!$E$12+1,1))</f>
        <v>#N/A</v>
      </c>
      <c r="CE31" s="60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0" t="e">
        <f t="shared" si="14"/>
        <v>#N/A</v>
      </c>
      <c r="CY31" s="60" t="e">
        <f ca="1">AVERAGE(OFFSET($CX$3,0,0,'Données projet'!$E$13+1,1))-AVERAGE(OFFSET($H$3,0,0,'Données projet'!$E$13+1,1))</f>
        <v>#N/A</v>
      </c>
      <c r="CZ31" s="60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16.2</v>
      </c>
      <c r="N32" s="14">
        <f>IF('Données projet'!$A$36&gt;35,N31+M32-V31,IF(A32&lt;'Données projet'!$A$36,$K$205^A32,IF(A32='Données projet'!$A$36,'Données projet'!$B$36,N31+M32-V31)))</f>
        <v>198.79999999999998</v>
      </c>
      <c r="O32" s="14">
        <f>N32*VLOOKUP('Données projet'!$B$9,Paramètres!$A$1:$I$88,3,0)*VLOOKUP('Données projet'!$B$9,Paramètres!$A$1:$I$88,5,0)</f>
        <v>118.88239999999999</v>
      </c>
      <c r="P32" s="14">
        <f t="shared" si="33"/>
        <v>31.414195666990082</v>
      </c>
      <c r="Q32" s="22">
        <f t="shared" si="2"/>
        <v>261.76657078667432</v>
      </c>
      <c r="R32" s="60">
        <f t="shared" si="0"/>
        <v>555.09990412000764</v>
      </c>
      <c r="S32" s="60">
        <f ca="1">AVERAGE(OFFSET($R$3,0,0,'Données projet'!$E$9+1,1))-AVERAGE(OFFSET($H$3,0,0,'Données projet'!$E$9+1,1))</f>
        <v>222.57099967987045</v>
      </c>
      <c r="T32" s="60">
        <f t="shared" si="34"/>
        <v>221.49027090502796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11.053564062016369</v>
      </c>
      <c r="AB32" s="23">
        <f>EXP(-LN(2)/2)*AB31+(1-EXP(-LN(2)/2))/(LN(2)/2)*V32*Y32*VLOOKUP('Données projet'!$B$9,Paramètres!$A$1:$I$88,3,0)*0.475*44/12</f>
        <v>3.4309044986647019</v>
      </c>
      <c r="AC32" s="24">
        <f t="shared" si="3"/>
        <v>14.484468560681071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5.666666666666667</v>
      </c>
      <c r="AI32" s="14">
        <f>IF('Données projet'!$A$62&gt;35,AI31+AH32-AQ31,IF(A32&lt;'Données projet'!$A$62,$AF$205^A32,IF(A32='Données projet'!$A$62,'Données projet'!$B$62,AI31+AH32-AQ31)))</f>
        <v>143.25197689521377</v>
      </c>
      <c r="AJ32" s="14">
        <f>AI32*VLOOKUP('Données projet'!$B$10,Paramètres!$A$1:$I$88,3,0)*VLOOKUP('Données projet'!$B$10,Paramètres!$A$1:$I$88,5,0)</f>
        <v>67.041925186960043</v>
      </c>
      <c r="AK32" s="14">
        <f t="shared" si="35"/>
        <v>18.93702759429323</v>
      </c>
      <c r="AL32" s="22">
        <f t="shared" si="4"/>
        <v>149.74667609401612</v>
      </c>
      <c r="AM32" s="60">
        <f t="shared" si="5"/>
        <v>443.08000942734941</v>
      </c>
      <c r="AN32" s="60">
        <f ca="1">AVERAGE(OFFSET($AM$3,0,0,'Données projet'!$E$10+1,1))-AVERAGE(OFFSET($H$3,0,0,'Données projet'!$E$10+1,1))</f>
        <v>147.1675182177155</v>
      </c>
      <c r="AO32" s="60">
        <f t="shared" si="36"/>
        <v>115.86489547584461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projet'!$B$11,Paramètres!$A$1:$I$88,3,0)*VLOOKUP('Données projet'!$B$11,Paramètres!$A$1:$I$88,5,0)</f>
        <v>49.888799999999989</v>
      </c>
      <c r="BF32" s="14">
        <f t="shared" si="37"/>
        <v>14.585038058304724</v>
      </c>
      <c r="BG32" s="22">
        <f t="shared" si="7"/>
        <v>112.29193461821403</v>
      </c>
      <c r="BH32" s="60">
        <f t="shared" si="8"/>
        <v>405.62526795154736</v>
      </c>
      <c r="BI32" s="60">
        <f ca="1">AVERAGE(OFFSET($BH$3,0,0,'Données projet'!$E$11+1,1))-AVERAGE(OFFSET($H$3,0,0,'Données projet'!$E$11+1,1))</f>
        <v>166.48525819448878</v>
      </c>
      <c r="BJ32" s="60">
        <f t="shared" si="38"/>
        <v>61.876502626609977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0" t="e">
        <f t="shared" si="11"/>
        <v>#N/A</v>
      </c>
      <c r="CD32" s="60" t="e">
        <f ca="1">AVERAGE(OFFSET($CC$3,0,0,'Données projet'!$E$12+1,1))-AVERAGE(OFFSET($H$3,0,0,'Données projet'!$E$12+1,1))</f>
        <v>#N/A</v>
      </c>
      <c r="CE32" s="60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0" t="e">
        <f t="shared" si="14"/>
        <v>#N/A</v>
      </c>
      <c r="CY32" s="60" t="e">
        <f ca="1">AVERAGE(OFFSET($CX$3,0,0,'Données projet'!$E$13+1,1))-AVERAGE(OFFSET($H$3,0,0,'Données projet'!$E$13+1,1))</f>
        <v>#N/A</v>
      </c>
      <c r="CZ32" s="60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215</v>
      </c>
      <c r="L33" s="13">
        <f>VLOOKUP(A33,'Données projet'!$A$35:$I$55,9,0)</f>
        <v>16.2</v>
      </c>
      <c r="M33" s="13">
        <f t="array" ref="M33">INDEX(L:L,MIN(IF(ISNUMBER(L33:L229),ROW(L33:L229),"")))</f>
        <v>16.2</v>
      </c>
      <c r="N33" s="14">
        <f>IF('Données projet'!$A$36&gt;35,N32+M33-V32,IF(A33&lt;'Données projet'!$A$36,$K$205^A33,IF(A33='Données projet'!$A$36,'Données projet'!$B$36,N32+M33-V32)))</f>
        <v>214.99999999999997</v>
      </c>
      <c r="O33" s="14">
        <f>N33*VLOOKUP('Données projet'!$B$9,Paramètres!$A$1:$I$88,3,0)*VLOOKUP('Données projet'!$B$9,Paramètres!$A$1:$I$88,5,0)</f>
        <v>128.57</v>
      </c>
      <c r="P33" s="14">
        <f t="shared" si="33"/>
        <v>33.665715905233249</v>
      </c>
      <c r="Q33" s="22">
        <f t="shared" si="2"/>
        <v>282.56053853494785</v>
      </c>
      <c r="R33" s="60">
        <f t="shared" si="0"/>
        <v>575.89387186828117</v>
      </c>
      <c r="S33" s="60">
        <f ca="1">AVERAGE(OFFSET($R$3,0,0,'Données projet'!$E$9+1,1))-AVERAGE(OFFSET($H$3,0,0,'Données projet'!$E$9+1,1))</f>
        <v>222.57099967987045</v>
      </c>
      <c r="T33" s="60">
        <f t="shared" si="34"/>
        <v>221.49027090502796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42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0.25200000000000006</v>
      </c>
      <c r="Y33" s="17">
        <f>IF(ISNA(VLOOKUP(A33,'Données projet'!$A$35:$I$55,7,0)),0%,VLOOKUP(A33,'Données projet'!$A$35:$I$55,7,0))</f>
        <v>0.44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19.114379193360399</v>
      </c>
      <c r="AB33" s="23">
        <f>EXP(-LN(2)/2)*AB32+(1-EXP(-LN(2)/2))/(LN(2)/2)*V33*Y33*VLOOKUP('Données projet'!$B$9,Paramètres!$A$1:$I$88,3,0)*0.475*44/12</f>
        <v>14.93836024586612</v>
      </c>
      <c r="AC33" s="24">
        <f t="shared" si="3"/>
        <v>34.052739439226521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170</v>
      </c>
      <c r="AG33" s="13">
        <f>VLOOKUP(A33,'Données projet'!$A$61:$I$81,9,0)</f>
        <v>5.666666666666667</v>
      </c>
      <c r="AH33" s="13">
        <f t="array" ref="AH33">INDEX(AG:AG,MIN(IF(ISNUMBER(AG33:AG229),ROW(AG33:AG229),"")))</f>
        <v>5.666666666666667</v>
      </c>
      <c r="AI33" s="14">
        <f>IF('Données projet'!$A$62&gt;35,AI32+AH33-AQ32,IF(A33&lt;'Données projet'!$A$62,$AF$205^A33,IF(A33='Données projet'!$A$62,'Données projet'!$B$62,AI32+AH33-AQ32)))</f>
        <v>170</v>
      </c>
      <c r="AJ33" s="14">
        <f>AI33*VLOOKUP('Données projet'!$B$10,Paramètres!$A$1:$I$88,3,0)*VLOOKUP('Données projet'!$B$10,Paramètres!$A$1:$I$88,5,0)</f>
        <v>79.56</v>
      </c>
      <c r="AK33" s="14">
        <f t="shared" si="35"/>
        <v>22.029567333453311</v>
      </c>
      <c r="AL33" s="22">
        <f t="shared" si="4"/>
        <v>176.93516310576453</v>
      </c>
      <c r="AM33" s="60">
        <f t="shared" si="5"/>
        <v>470.26849643909782</v>
      </c>
      <c r="AN33" s="60">
        <f ca="1">AVERAGE(OFFSET($AM$3,0,0,'Données projet'!$E$10+1,1))-AVERAGE(OFFSET($H$3,0,0,'Données projet'!$E$10+1,1))</f>
        <v>147.1675182177155</v>
      </c>
      <c r="AO33" s="60">
        <f t="shared" si="36"/>
        <v>115.86489547584461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40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0.30800000000000005</v>
      </c>
      <c r="AT33" s="17">
        <f>IF(ISNA(VLOOKUP(A33,'Données projet'!$A$61:$I$81,7,0)),0%,VLOOKUP(A33,'Données projet'!$A$61:$I$81,7,0))</f>
        <v>0.44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7.6185366162250032</v>
      </c>
      <c r="AW33" s="23">
        <f>EXP(-LN(2)/2)*AW32+(1-EXP(-LN(2)/2))/(LN(2)/2)*AQ33*AT33*VLOOKUP('Données projet'!$B$10,Paramètres!$A$1:$I$88,3,0)*0.475*44/12</f>
        <v>9.3259709882659934</v>
      </c>
      <c r="AX33" s="23">
        <f t="shared" si="6"/>
        <v>16.944507604490997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projet'!$B$11,Paramètres!$A$1:$I$88,3,0)*VLOOKUP('Données projet'!$B$11,Paramètres!$A$1:$I$88,5,0)</f>
        <v>54.755999999999993</v>
      </c>
      <c r="BF33" s="14">
        <f t="shared" si="37"/>
        <v>15.835447037242044</v>
      </c>
      <c r="BG33" s="22">
        <f t="shared" si="7"/>
        <v>122.94677025652987</v>
      </c>
      <c r="BH33" s="60">
        <f t="shared" si="8"/>
        <v>416.28010358986319</v>
      </c>
      <c r="BI33" s="60">
        <f ca="1">AVERAGE(OFFSET($BH$3,0,0,'Données projet'!$E$11+1,1))-AVERAGE(OFFSET($H$3,0,0,'Données projet'!$E$11+1,1))</f>
        <v>166.48525819448878</v>
      </c>
      <c r="BJ33" s="60">
        <f t="shared" si="38"/>
        <v>61.876502626609977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0" t="e">
        <f t="shared" si="11"/>
        <v>#N/A</v>
      </c>
      <c r="CD33" s="60" t="e">
        <f ca="1">AVERAGE(OFFSET($CC$3,0,0,'Données projet'!$E$12+1,1))-AVERAGE(OFFSET($H$3,0,0,'Données projet'!$E$12+1,1))</f>
        <v>#N/A</v>
      </c>
      <c r="CE33" s="60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0" t="e">
        <f t="shared" si="14"/>
        <v>#N/A</v>
      </c>
      <c r="CY33" s="60" t="e">
        <f ca="1">AVERAGE(OFFSET($CX$3,0,0,'Données projet'!$E$13+1,1))-AVERAGE(OFFSET($H$3,0,0,'Données projet'!$E$13+1,1))</f>
        <v>#N/A</v>
      </c>
      <c r="CZ33" s="60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16.399999999999999</v>
      </c>
      <c r="N34" s="14">
        <f>IF('Données projet'!$A$36&gt;35,N33+M34-V33,IF(A34&lt;'Données projet'!$A$36,$K$205^A34,IF(A34='Données projet'!$A$36,'Données projet'!$B$36,N33+M34-V33)))</f>
        <v>189.39999999999998</v>
      </c>
      <c r="O34" s="14">
        <f>N34*VLOOKUP('Données projet'!$B$9,Paramètres!$A$1:$I$88,3,0)*VLOOKUP('Données projet'!$B$9,Paramètres!$A$1:$I$88,5,0)</f>
        <v>113.2612</v>
      </c>
      <c r="P34" s="14">
        <f t="shared" si="33"/>
        <v>30.098037340507396</v>
      </c>
      <c r="Q34" s="22">
        <f t="shared" si="2"/>
        <v>249.68400503471705</v>
      </c>
      <c r="R34" s="60">
        <f t="shared" si="0"/>
        <v>543.01733836805033</v>
      </c>
      <c r="S34" s="60">
        <f ca="1">AVERAGE(OFFSET($R$3,0,0,'Données projet'!$E$9+1,1))-AVERAGE(OFFSET($H$3,0,0,'Données projet'!$E$9+1,1))</f>
        <v>222.57099967987045</v>
      </c>
      <c r="T34" s="60">
        <f t="shared" si="34"/>
        <v>221.49027090502796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18.591695489136445</v>
      </c>
      <c r="AB34" s="23">
        <f>EXP(-LN(2)/2)*AB33+(1-EXP(-LN(2)/2))/(LN(2)/2)*V34*Y34*VLOOKUP('Données projet'!$B$9,Paramètres!$A$1:$I$88,3,0)*0.475*44/12</f>
        <v>10.563015829659475</v>
      </c>
      <c r="AC34" s="24">
        <f t="shared" si="3"/>
        <v>29.154711318795918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140</v>
      </c>
      <c r="AJ34" s="14">
        <f>AI34*VLOOKUP('Données projet'!$B$10,Paramètres!$A$1:$I$88,3,0)*VLOOKUP('Données projet'!$B$10,Paramètres!$A$1:$I$88,5,0)</f>
        <v>65.52</v>
      </c>
      <c r="AK34" s="14">
        <f t="shared" si="35"/>
        <v>18.556669503136725</v>
      </c>
      <c r="AL34" s="22">
        <f t="shared" si="4"/>
        <v>146.43353271796309</v>
      </c>
      <c r="AM34" s="60">
        <f t="shared" si="5"/>
        <v>439.7668660512964</v>
      </c>
      <c r="AN34" s="60">
        <f ca="1">AVERAGE(OFFSET($AM$3,0,0,'Données projet'!$E$10+1,1))-AVERAGE(OFFSET($H$3,0,0,'Données projet'!$E$10+1,1))</f>
        <v>147.1675182177155</v>
      </c>
      <c r="AO34" s="60">
        <f t="shared" si="36"/>
        <v>115.86489547584461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7.4102073318129023</v>
      </c>
      <c r="AW34" s="23">
        <f>EXP(-LN(2)/2)*AW33+(1-EXP(-LN(2)/2))/(LN(2)/2)*AQ34*AT34*VLOOKUP('Données projet'!$B$10,Paramètres!$A$1:$I$88,3,0)*0.475*44/12</f>
        <v>6.5944573269518925</v>
      </c>
      <c r="AX34" s="23">
        <f t="shared" si="6"/>
        <v>14.004664658764796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projet'!$B$11,Paramètres!$A$1:$I$88,3,0)*VLOOKUP('Données projet'!$B$11,Paramètres!$A$1:$I$88,5,0)</f>
        <v>59.825999999999993</v>
      </c>
      <c r="BF34" s="14">
        <f t="shared" si="37"/>
        <v>17.124268920142534</v>
      </c>
      <c r="BG34" s="22">
        <f t="shared" si="7"/>
        <v>134.02171836924822</v>
      </c>
      <c r="BH34" s="60">
        <f t="shared" si="8"/>
        <v>427.35505170258153</v>
      </c>
      <c r="BI34" s="60">
        <f ca="1">AVERAGE(OFFSET($BH$3,0,0,'Données projet'!$E$11+1,1))-AVERAGE(OFFSET($H$3,0,0,'Données projet'!$E$11+1,1))</f>
        <v>166.48525819448878</v>
      </c>
      <c r="BJ34" s="60">
        <f t="shared" si="38"/>
        <v>61.876502626609977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0" t="e">
        <f t="shared" si="11"/>
        <v>#N/A</v>
      </c>
      <c r="CD34" s="60" t="e">
        <f ca="1">AVERAGE(OFFSET($CC$3,0,0,'Données projet'!$E$12+1,1))-AVERAGE(OFFSET($H$3,0,0,'Données projet'!$E$12+1,1))</f>
        <v>#N/A</v>
      </c>
      <c r="CE34" s="60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0" t="e">
        <f t="shared" si="14"/>
        <v>#N/A</v>
      </c>
      <c r="CY34" s="60" t="e">
        <f ca="1">AVERAGE(OFFSET($CX$3,0,0,'Données projet'!$E$13+1,1))-AVERAGE(OFFSET($H$3,0,0,'Données projet'!$E$13+1,1))</f>
        <v>#N/A</v>
      </c>
      <c r="CZ34" s="60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16.399999999999999</v>
      </c>
      <c r="N35" s="14">
        <f>IF('Données projet'!$A$36&gt;35,N34+M35-V34,IF(A35&lt;'Données projet'!$A$36,$K$205^A35,IF(A35='Données projet'!$A$36,'Données projet'!$B$36,N34+M35-V34)))</f>
        <v>205.79999999999998</v>
      </c>
      <c r="O35" s="14">
        <f>N35*VLOOKUP('Données projet'!$B$9,Paramètres!$A$1:$I$88,3,0)*VLOOKUP('Données projet'!$B$9,Paramètres!$A$1:$I$88,5,0)</f>
        <v>123.0684</v>
      </c>
      <c r="P35" s="14">
        <f t="shared" si="33"/>
        <v>32.38959818689365</v>
      </c>
      <c r="Q35" s="22">
        <f t="shared" ref="Q35:Q66" si="53">(O35+P35)*0.475*44/12</f>
        <v>270.75601350883971</v>
      </c>
      <c r="R35" s="60">
        <f t="shared" si="0"/>
        <v>564.08934684217297</v>
      </c>
      <c r="S35" s="60">
        <f ca="1">AVERAGE(OFFSET($R$3,0,0,'Données projet'!$E$9+1,1))-AVERAGE(OFFSET($H$3,0,0,'Données projet'!$E$9+1,1))</f>
        <v>222.57099967987045</v>
      </c>
      <c r="T35" s="60">
        <f t="shared" si="34"/>
        <v>221.49027090502796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18.083304598291235</v>
      </c>
      <c r="AB35" s="23">
        <f>EXP(-LN(2)/2)*AB34+(1-EXP(-LN(2)/2))/(LN(2)/2)*V35*Y35*VLOOKUP('Données projet'!$B$9,Paramètres!$A$1:$I$88,3,0)*0.475*44/12</f>
        <v>7.4691801229330608</v>
      </c>
      <c r="AC35" s="24">
        <f t="shared" si="3"/>
        <v>25.552484721224296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150</v>
      </c>
      <c r="AJ35" s="14">
        <f>AI35*VLOOKUP('Données projet'!$B$10,Paramètres!$A$1:$I$88,3,0)*VLOOKUP('Données projet'!$B$10,Paramètres!$A$1:$I$88,5,0)</f>
        <v>70.2</v>
      </c>
      <c r="AK35" s="14">
        <f t="shared" si="35"/>
        <v>19.723116370112194</v>
      </c>
      <c r="AL35" s="22">
        <f t="shared" si="4"/>
        <v>156.61609434461207</v>
      </c>
      <c r="AM35" s="60">
        <f t="shared" si="5"/>
        <v>449.94942767794538</v>
      </c>
      <c r="AN35" s="60">
        <f ca="1">AVERAGE(OFFSET($AM$3,0,0,'Données projet'!$E$10+1,1))-AVERAGE(OFFSET($H$3,0,0,'Données projet'!$E$10+1,1))</f>
        <v>147.1675182177155</v>
      </c>
      <c r="AO35" s="60">
        <f t="shared" si="36"/>
        <v>115.86489547584461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7.2075748226386107</v>
      </c>
      <c r="AW35" s="23">
        <f>EXP(-LN(2)/2)*AW34+(1-EXP(-LN(2)/2))/(LN(2)/2)*AQ35*AT35*VLOOKUP('Données projet'!$B$10,Paramètres!$A$1:$I$88,3,0)*0.475*44/12</f>
        <v>4.6629854941329976</v>
      </c>
      <c r="AX35" s="23">
        <f t="shared" si="6"/>
        <v>11.870560316771609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projet'!$B$11,Paramètres!$A$1:$I$88,3,0)*VLOOKUP('Données projet'!$B$11,Paramètres!$A$1:$I$88,5,0)</f>
        <v>64.895999999999987</v>
      </c>
      <c r="BF35" s="14">
        <f t="shared" si="37"/>
        <v>18.400423846102949</v>
      </c>
      <c r="BG35" s="22">
        <f t="shared" si="7"/>
        <v>145.07460486529592</v>
      </c>
      <c r="BH35" s="60">
        <f t="shared" si="8"/>
        <v>438.40793819862927</v>
      </c>
      <c r="BI35" s="60">
        <f ca="1">AVERAGE(OFFSET($BH$3,0,0,'Données projet'!$E$11+1,1))-AVERAGE(OFFSET($H$3,0,0,'Données projet'!$E$11+1,1))</f>
        <v>166.48525819448878</v>
      </c>
      <c r="BJ35" s="60">
        <f t="shared" si="38"/>
        <v>61.876502626609977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0" t="e">
        <f t="shared" si="11"/>
        <v>#N/A</v>
      </c>
      <c r="CD35" s="60" t="e">
        <f ca="1">AVERAGE(OFFSET($CC$3,0,0,'Données projet'!$E$12+1,1))-AVERAGE(OFFSET($H$3,0,0,'Données projet'!$E$12+1,1))</f>
        <v>#N/A</v>
      </c>
      <c r="CE35" s="60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0" t="e">
        <f t="shared" si="14"/>
        <v>#N/A</v>
      </c>
      <c r="CY35" s="60" t="e">
        <f ca="1">AVERAGE(OFFSET($CX$3,0,0,'Données projet'!$E$13+1,1))-AVERAGE(OFFSET($H$3,0,0,'Données projet'!$E$13+1,1))</f>
        <v>#N/A</v>
      </c>
      <c r="CZ35" s="60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16.399999999999999</v>
      </c>
      <c r="N36" s="14">
        <f>IF('Données projet'!$A$36&gt;35,N35+M36-V35,IF(A36&lt;'Données projet'!$A$36,$K$205^A36,IF(A36='Données projet'!$A$36,'Données projet'!$B$36,N35+M36-V35)))</f>
        <v>222.2</v>
      </c>
      <c r="O36" s="14">
        <f>N36*VLOOKUP('Données projet'!$B$9,Paramètres!$A$1:$I$88,3,0)*VLOOKUP('Données projet'!$B$9,Paramètres!$A$1:$I$88,5,0)</f>
        <v>132.87560000000002</v>
      </c>
      <c r="P36" s="14">
        <f t="shared" si="33"/>
        <v>34.659977599024245</v>
      </c>
      <c r="Q36" s="22">
        <f t="shared" si="53"/>
        <v>291.79113098496725</v>
      </c>
      <c r="R36" s="60">
        <f t="shared" si="0"/>
        <v>585.12446431830062</v>
      </c>
      <c r="S36" s="60">
        <f ca="1">AVERAGE(OFFSET($R$3,0,0,'Données projet'!$E$9+1,1))-AVERAGE(OFFSET($H$3,0,0,'Données projet'!$E$9+1,1))</f>
        <v>222.57099967987045</v>
      </c>
      <c r="T36" s="60">
        <f t="shared" si="34"/>
        <v>221.49027090502796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17.588815683091301</v>
      </c>
      <c r="AB36" s="23">
        <f>EXP(-LN(2)/2)*AB35+(1-EXP(-LN(2)/2))/(LN(2)/2)*V36*Y36*VLOOKUP('Données projet'!$B$9,Paramètres!$A$1:$I$88,3,0)*0.475*44/12</f>
        <v>5.2815079148297386</v>
      </c>
      <c r="AC36" s="24">
        <f t="shared" si="3"/>
        <v>22.87032359792104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160</v>
      </c>
      <c r="AJ36" s="14">
        <f>AI36*VLOOKUP('Données projet'!$B$10,Paramètres!$A$1:$I$88,3,0)*VLOOKUP('Données projet'!$B$10,Paramètres!$A$1:$I$88,5,0)</f>
        <v>74.88</v>
      </c>
      <c r="AK36" s="14">
        <f t="shared" si="35"/>
        <v>20.880539585643231</v>
      </c>
      <c r="AL36" s="22">
        <f t="shared" si="4"/>
        <v>166.78293977832863</v>
      </c>
      <c r="AM36" s="60">
        <f t="shared" si="5"/>
        <v>460.11627311166194</v>
      </c>
      <c r="AN36" s="60">
        <f ca="1">AVERAGE(OFFSET($AM$3,0,0,'Données projet'!$E$10+1,1))-AVERAGE(OFFSET($H$3,0,0,'Données projet'!$E$10+1,1))</f>
        <v>147.1675182177155</v>
      </c>
      <c r="AO36" s="60">
        <f t="shared" si="36"/>
        <v>115.86489547584461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7.0104833100836714</v>
      </c>
      <c r="AW36" s="23">
        <f>EXP(-LN(2)/2)*AW35+(1-EXP(-LN(2)/2))/(LN(2)/2)*AQ36*AT36*VLOOKUP('Données projet'!$B$10,Paramètres!$A$1:$I$88,3,0)*0.475*44/12</f>
        <v>3.2972286634759471</v>
      </c>
      <c r="AX36" s="23">
        <f t="shared" si="6"/>
        <v>10.307711973559618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projet'!$B$11,Paramètres!$A$1:$I$88,3,0)*VLOOKUP('Données projet'!$B$11,Paramètres!$A$1:$I$88,5,0)</f>
        <v>69.965999999999994</v>
      </c>
      <c r="BF36" s="14">
        <f t="shared" si="37"/>
        <v>19.665013934342461</v>
      </c>
      <c r="BG36" s="22">
        <f t="shared" si="7"/>
        <v>156.10734926897979</v>
      </c>
      <c r="BH36" s="60">
        <f t="shared" si="8"/>
        <v>449.44068260231313</v>
      </c>
      <c r="BI36" s="60">
        <f ca="1">AVERAGE(OFFSET($BH$3,0,0,'Données projet'!$E$11+1,1))-AVERAGE(OFFSET($H$3,0,0,'Données projet'!$E$11+1,1))</f>
        <v>166.48525819448878</v>
      </c>
      <c r="BJ36" s="60">
        <f t="shared" si="38"/>
        <v>61.876502626609977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0" t="e">
        <f t="shared" si="11"/>
        <v>#N/A</v>
      </c>
      <c r="CD36" s="60" t="e">
        <f ca="1">AVERAGE(OFFSET($CC$3,0,0,'Données projet'!$E$12+1,1))-AVERAGE(OFFSET($H$3,0,0,'Données projet'!$E$12+1,1))</f>
        <v>#N/A</v>
      </c>
      <c r="CE36" s="60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0" t="e">
        <f t="shared" si="14"/>
        <v>#N/A</v>
      </c>
      <c r="CY36" s="60" t="e">
        <f ca="1">AVERAGE(OFFSET($CX$3,0,0,'Données projet'!$E$13+1,1))-AVERAGE(OFFSET($H$3,0,0,'Données projet'!$E$13+1,1))</f>
        <v>#N/A</v>
      </c>
      <c r="CZ36" s="60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16.399999999999999</v>
      </c>
      <c r="N37" s="14">
        <f>IF('Données projet'!$A$36&gt;35,N36+M37-V36,IF(A37&lt;'Données projet'!$A$36,$K$205^A37,IF(A37='Données projet'!$A$36,'Données projet'!$B$36,N36+M37-V36)))</f>
        <v>238.6</v>
      </c>
      <c r="O37" s="14">
        <f>N37*VLOOKUP('Données projet'!$B$9,Paramètres!$A$1:$I$88,3,0)*VLOOKUP('Données projet'!$B$9,Paramètres!$A$1:$I$88,5,0)</f>
        <v>142.68280000000001</v>
      </c>
      <c r="P37" s="14">
        <f t="shared" si="33"/>
        <v>36.910916699993791</v>
      </c>
      <c r="Q37" s="22">
        <f t="shared" si="53"/>
        <v>312.79238991915594</v>
      </c>
      <c r="R37" s="60">
        <f t="shared" si="0"/>
        <v>606.12572325248925</v>
      </c>
      <c r="S37" s="60">
        <f ca="1">AVERAGE(OFFSET($R$3,0,0,'Données projet'!$E$9+1,1))-AVERAGE(OFFSET($H$3,0,0,'Données projet'!$E$9+1,1))</f>
        <v>222.57099967987045</v>
      </c>
      <c r="T37" s="60">
        <f t="shared" si="34"/>
        <v>221.49027090502796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17.107848593281552</v>
      </c>
      <c r="AB37" s="23">
        <f>EXP(-LN(2)/2)*AB36+(1-EXP(-LN(2)/2))/(LN(2)/2)*V37*Y37*VLOOKUP('Données projet'!$B$9,Paramètres!$A$1:$I$88,3,0)*0.475*44/12</f>
        <v>3.7345900614665313</v>
      </c>
      <c r="AC37" s="24">
        <f t="shared" si="3"/>
        <v>20.842438654748083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170</v>
      </c>
      <c r="AJ37" s="14">
        <f>AI37*VLOOKUP('Données projet'!$B$10,Paramètres!$A$1:$I$88,3,0)*VLOOKUP('Données projet'!$B$10,Paramètres!$A$1:$I$88,5,0)</f>
        <v>79.56</v>
      </c>
      <c r="AK37" s="14">
        <f t="shared" si="35"/>
        <v>22.029567333453311</v>
      </c>
      <c r="AL37" s="22">
        <f t="shared" si="4"/>
        <v>176.93516310576453</v>
      </c>
      <c r="AM37" s="60">
        <f t="shared" si="5"/>
        <v>470.26849643909782</v>
      </c>
      <c r="AN37" s="60">
        <f ca="1">AVERAGE(OFFSET($AM$3,0,0,'Données projet'!$E$10+1,1))-AVERAGE(OFFSET($H$3,0,0,'Données projet'!$E$10+1,1))</f>
        <v>147.1675182177155</v>
      </c>
      <c r="AO37" s="60">
        <f t="shared" si="36"/>
        <v>115.86489547584461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6.818781275304139</v>
      </c>
      <c r="AW37" s="23">
        <f>EXP(-LN(2)/2)*AW36+(1-EXP(-LN(2)/2))/(LN(2)/2)*AQ37*AT37*VLOOKUP('Données projet'!$B$10,Paramètres!$A$1:$I$88,3,0)*0.475*44/12</f>
        <v>2.3314927470664992</v>
      </c>
      <c r="AX37" s="23">
        <f t="shared" si="6"/>
        <v>9.1502740223706382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projet'!$B$11,Paramètres!$A$1:$I$88,3,0)*VLOOKUP('Données projet'!$B$11,Paramètres!$A$1:$I$88,5,0)</f>
        <v>75.035999999999987</v>
      </c>
      <c r="BF37" s="14">
        <f t="shared" si="37"/>
        <v>20.918972521981534</v>
      </c>
      <c r="BG37" s="22">
        <f t="shared" si="7"/>
        <v>167.12157714245114</v>
      </c>
      <c r="BH37" s="60">
        <f t="shared" si="8"/>
        <v>460.45491047578446</v>
      </c>
      <c r="BI37" s="60">
        <f ca="1">AVERAGE(OFFSET($BH$3,0,0,'Données projet'!$E$11+1,1))-AVERAGE(OFFSET($H$3,0,0,'Données projet'!$E$11+1,1))</f>
        <v>166.48525819448878</v>
      </c>
      <c r="BJ37" s="60">
        <f t="shared" si="38"/>
        <v>61.876502626609977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0" t="e">
        <f t="shared" si="11"/>
        <v>#N/A</v>
      </c>
      <c r="CD37" s="60" t="e">
        <f ca="1">AVERAGE(OFFSET($CC$3,0,0,'Données projet'!$E$12+1,1))-AVERAGE(OFFSET($H$3,0,0,'Données projet'!$E$12+1,1))</f>
        <v>#N/A</v>
      </c>
      <c r="CE37" s="60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0" t="e">
        <f t="shared" si="14"/>
        <v>#N/A</v>
      </c>
      <c r="CY37" s="60" t="e">
        <f ca="1">AVERAGE(OFFSET($CX$3,0,0,'Données projet'!$E$13+1,1))-AVERAGE(OFFSET($H$3,0,0,'Données projet'!$E$13+1,1))</f>
        <v>#N/A</v>
      </c>
      <c r="CZ37" s="60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255</v>
      </c>
      <c r="L38" s="13">
        <f>VLOOKUP(A38,'Données projet'!$A$35:$I$55,9,0)</f>
        <v>16.399999999999999</v>
      </c>
      <c r="M38" s="13">
        <f t="array" ref="M38">INDEX(L:L,MIN(IF(ISNUMBER(L38:L234),ROW(L38:L234),"")))</f>
        <v>16.399999999999999</v>
      </c>
      <c r="N38" s="14">
        <f>IF('Données projet'!$A$36&gt;35,N37+M38-V37,IF(A38&lt;'Données projet'!$A$36,$K$205^A38,IF(A38='Données projet'!$A$36,'Données projet'!$B$36,N37+M38-V37)))</f>
        <v>255</v>
      </c>
      <c r="O38" s="14">
        <f>N38*VLOOKUP('Données projet'!$B$9,Paramètres!$A$1:$I$88,3,0)*VLOOKUP('Données projet'!$B$9,Paramètres!$A$1:$I$88,5,0)</f>
        <v>152.49</v>
      </c>
      <c r="P38" s="14">
        <f t="shared" si="33"/>
        <v>39.143903713602519</v>
      </c>
      <c r="Q38" s="22">
        <f t="shared" si="53"/>
        <v>333.76238230119105</v>
      </c>
      <c r="R38" s="60">
        <f t="shared" si="0"/>
        <v>627.09571563452437</v>
      </c>
      <c r="S38" s="60">
        <f ca="1">AVERAGE(OFFSET($R$3,0,0,'Données projet'!$E$9+1,1))-AVERAGE(OFFSET($H$3,0,0,'Données projet'!$E$9+1,1))</f>
        <v>222.57099967987045</v>
      </c>
      <c r="T38" s="60">
        <f t="shared" si="34"/>
        <v>221.49027090502796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projet'!$B$9,Paramètres!$A$1:$I$88,7,0))</f>
        <v>9.0000000000000011E-2</v>
      </c>
      <c r="X38" s="17">
        <f>IF(ISNA(VLOOKUP(A38,'Données projet'!$A$35:$I$55,6,0)),0%,VLOOKUP(A38,'Données projet'!$A$35:$I$55,6,0)*VLOOKUP('Données projet'!$B$9,Paramètres!$A$1:$I$88,7,0))</f>
        <v>0.20160000000000003</v>
      </c>
      <c r="Y38" s="17">
        <f>IF(ISNA(VLOOKUP(A38,'Données projet'!$A$35:$I$55,7,0)),0%,VLOOKUP(A38,'Données projet'!$A$35:$I$55,7,0))</f>
        <v>0.35200000000000004</v>
      </c>
      <c r="Z38" s="23">
        <f>EXP(-LN(2)/35)*Z37+(1-EXP(-LN(2)/35))/(LN(2)/35)*V38*W38*VLOOKUP('Données projet'!$B$9,Paramètres!$A$1:$I$88,3,0)*0.475*44/12</f>
        <v>2.9986193576537548</v>
      </c>
      <c r="AA38" s="23">
        <f>EXP(-LN(2)/25)*AA37+(1-EXP(-LN(2)/25))/(LN(2)/25)*Calculateur!V38*Calculateur!X38*VLOOKUP('Données projet'!$B$9,Paramètres!$A$1:$I$88,3,0)*0.475*44/12</f>
        <v>23.330493911356843</v>
      </c>
      <c r="AB38" s="23">
        <f>EXP(-LN(2)/2)*AB37+(1-EXP(-LN(2)/2))/(LN(2)/2)*V38*Y38*VLOOKUP('Données projet'!$B$9,Paramètres!$A$1:$I$88,3,0)*0.475*44/12</f>
        <v>12.650629484820373</v>
      </c>
      <c r="AC38" s="24">
        <f t="shared" si="3"/>
        <v>38.979742753830969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180</v>
      </c>
      <c r="AJ38" s="14">
        <f>AI38*VLOOKUP('Données projet'!$B$10,Paramètres!$A$1:$I$88,3,0)*VLOOKUP('Données projet'!$B$10,Paramètres!$A$1:$I$88,5,0)</f>
        <v>84.24</v>
      </c>
      <c r="AK38" s="14">
        <f t="shared" si="35"/>
        <v>23.170749718409468</v>
      </c>
      <c r="AL38" s="22">
        <f t="shared" si="4"/>
        <v>187.07372242622981</v>
      </c>
      <c r="AM38" s="60">
        <f t="shared" si="5"/>
        <v>480.40705575956315</v>
      </c>
      <c r="AN38" s="60">
        <f ca="1">AVERAGE(OFFSET($AM$3,0,0,'Données projet'!$E$10+1,1))-AVERAGE(OFFSET($H$3,0,0,'Données projet'!$E$10+1,1))</f>
        <v>147.1675182177155</v>
      </c>
      <c r="AO38" s="60">
        <f t="shared" si="36"/>
        <v>115.86489547584461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6.6323213427468248</v>
      </c>
      <c r="AW38" s="23">
        <f>EXP(-LN(2)/2)*AW37+(1-EXP(-LN(2)/2))/(LN(2)/2)*AQ38*AT38*VLOOKUP('Données projet'!$B$10,Paramètres!$A$1:$I$88,3,0)*0.475*44/12</f>
        <v>1.6486143317379738</v>
      </c>
      <c r="AX38" s="23">
        <f t="shared" si="6"/>
        <v>8.2809356744847982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projet'!$B$11,Paramètres!$A$1:$I$88,3,0)*VLOOKUP('Données projet'!$B$11,Paramètres!$A$1:$I$88,5,0)</f>
        <v>80.105999999999995</v>
      </c>
      <c r="BF38" s="14">
        <f t="shared" si="37"/>
        <v>22.163099682076496</v>
      </c>
      <c r="BG38" s="22">
        <f t="shared" si="7"/>
        <v>178.11868194628323</v>
      </c>
      <c r="BH38" s="60">
        <f t="shared" si="8"/>
        <v>471.45201527961655</v>
      </c>
      <c r="BI38" s="60">
        <f ca="1">AVERAGE(OFFSET($BH$3,0,0,'Données projet'!$E$11+1,1))-AVERAGE(OFFSET($H$3,0,0,'Données projet'!$E$11+1,1))</f>
        <v>166.48525819448878</v>
      </c>
      <c r="BJ38" s="60">
        <f t="shared" si="38"/>
        <v>61.876502626609977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14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0" t="e">
        <f t="shared" si="11"/>
        <v>#N/A</v>
      </c>
      <c r="CD38" s="60" t="e">
        <f ca="1">AVERAGE(OFFSET($CC$3,0,0,'Données projet'!$E$12+1,1))-AVERAGE(OFFSET($H$3,0,0,'Données projet'!$E$12+1,1))</f>
        <v>#N/A</v>
      </c>
      <c r="CE38" s="60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0" t="e">
        <f t="shared" si="14"/>
        <v>#N/A</v>
      </c>
      <c r="CY38" s="60" t="e">
        <f ca="1">AVERAGE(OFFSET($CX$3,0,0,'Données projet'!$E$13+1,1))-AVERAGE(OFFSET($H$3,0,0,'Données projet'!$E$13+1,1))</f>
        <v>#N/A</v>
      </c>
      <c r="CZ38" s="60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16.2</v>
      </c>
      <c r="N39" s="14">
        <f>IF('Données projet'!$A$36&gt;35,N38+M39-V38,IF(A39&lt;'Données projet'!$A$36,$K$205^A39,IF(A39='Données projet'!$A$36,'Données projet'!$B$36,N38+M39-V38)))</f>
        <v>229.2</v>
      </c>
      <c r="O39" s="14">
        <f>N39*VLOOKUP('Données projet'!$B$9,Paramètres!$A$1:$I$88,3,0)*VLOOKUP('Données projet'!$B$9,Paramètres!$A$1:$I$88,5,0)</f>
        <v>137.0616</v>
      </c>
      <c r="P39" s="14">
        <f t="shared" si="33"/>
        <v>35.623030551198944</v>
      </c>
      <c r="Q39" s="22">
        <f t="shared" si="53"/>
        <v>300.75906487667152</v>
      </c>
      <c r="R39" s="60">
        <f t="shared" si="0"/>
        <v>594.09239821000483</v>
      </c>
      <c r="S39" s="60">
        <f ca="1">AVERAGE(OFFSET($R$3,0,0,'Données projet'!$E$9+1,1))-AVERAGE(OFFSET($H$3,0,0,'Données projet'!$E$9+1,1))</f>
        <v>222.57099967987045</v>
      </c>
      <c r="T39" s="60">
        <f t="shared" si="34"/>
        <v>221.49027090502796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2.9398182610273764</v>
      </c>
      <c r="AA39" s="23">
        <f>EXP(-LN(2)/25)*AA38+(1-EXP(-LN(2)/25))/(LN(2)/25)*Calculateur!V39*Calculateur!X39*VLOOKUP('Données projet'!$B$9,Paramètres!$A$1:$I$88,3,0)*0.475*44/12</f>
        <v>22.692520328453437</v>
      </c>
      <c r="AB39" s="23">
        <f>EXP(-LN(2)/2)*AB38+(1-EXP(-LN(2)/2))/(LN(2)/2)*V39*Y39*VLOOKUP('Données projet'!$B$9,Paramètres!$A$1:$I$88,3,0)*0.475*44/12</f>
        <v>8.9453458949949667</v>
      </c>
      <c r="AC39" s="24">
        <f t="shared" si="3"/>
        <v>34.577684484475782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190</v>
      </c>
      <c r="AJ39" s="14">
        <f>AI39*VLOOKUP('Données projet'!$B$10,Paramètres!$A$1:$I$88,3,0)*VLOOKUP('Données projet'!$B$10,Paramètres!$A$1:$I$88,5,0)</f>
        <v>88.919999999999987</v>
      </c>
      <c r="AK39" s="14">
        <f t="shared" si="35"/>
        <v>24.30457227046648</v>
      </c>
      <c r="AL39" s="22">
        <f t="shared" si="4"/>
        <v>197.19946337106239</v>
      </c>
      <c r="AM39" s="60">
        <f t="shared" si="5"/>
        <v>490.53279670439571</v>
      </c>
      <c r="AN39" s="60">
        <f ca="1">AVERAGE(OFFSET($AM$3,0,0,'Données projet'!$E$10+1,1))-AVERAGE(OFFSET($H$3,0,0,'Données projet'!$E$10+1,1))</f>
        <v>147.1675182177155</v>
      </c>
      <c r="AO39" s="60">
        <f t="shared" si="36"/>
        <v>115.86489547584461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6.4509601668507921</v>
      </c>
      <c r="AW39" s="23">
        <f>EXP(-LN(2)/2)*AW38+(1-EXP(-LN(2)/2))/(LN(2)/2)*AQ39*AT39*VLOOKUP('Données projet'!$B$10,Paramètres!$A$1:$I$88,3,0)*0.475*44/12</f>
        <v>1.1657463735332498</v>
      </c>
      <c r="AX39" s="23">
        <f t="shared" si="6"/>
        <v>7.6167065403840422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5.6</v>
      </c>
      <c r="BD39" s="13">
        <f>IF('Données projet'!$A$88&gt;35,BD38+BC39-BL38,IF(A39&lt;'Données projet'!$A$88,$BA$205^A39,IF(A39='Données projet'!$A$88,'Données projet'!$B$88,BD38+BC39-BL38)))</f>
        <v>70.59999999999998</v>
      </c>
      <c r="BE39" s="14">
        <f>BD39*VLOOKUP('Données projet'!$B$11,Paramètres!$A$1:$I$88,3,0)*VLOOKUP('Données projet'!$B$11,Paramètres!$A$1:$I$88,5,0)</f>
        <v>71.588399999999979</v>
      </c>
      <c r="BF39" s="14">
        <f t="shared" si="37"/>
        <v>20.067396686017521</v>
      </c>
      <c r="BG39" s="22">
        <f t="shared" si="7"/>
        <v>159.63384589481379</v>
      </c>
      <c r="BH39" s="60">
        <f t="shared" si="8"/>
        <v>452.96717922814707</v>
      </c>
      <c r="BI39" s="60">
        <f ca="1">AVERAGE(OFFSET($BH$3,0,0,'Données projet'!$E$11+1,1))-AVERAGE(OFFSET($H$3,0,0,'Données projet'!$E$11+1,1))</f>
        <v>166.48525819448878</v>
      </c>
      <c r="BJ39" s="60">
        <f t="shared" si="38"/>
        <v>61.876502626609977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0" t="e">
        <f t="shared" si="11"/>
        <v>#N/A</v>
      </c>
      <c r="CD39" s="60" t="e">
        <f ca="1">AVERAGE(OFFSET($CC$3,0,0,'Données projet'!$E$12+1,1))-AVERAGE(OFFSET($H$3,0,0,'Données projet'!$E$12+1,1))</f>
        <v>#N/A</v>
      </c>
      <c r="CE39" s="60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0" t="e">
        <f t="shared" si="14"/>
        <v>#N/A</v>
      </c>
      <c r="CY39" s="60" t="e">
        <f ca="1">AVERAGE(OFFSET($CX$3,0,0,'Données projet'!$E$13+1,1))-AVERAGE(OFFSET($H$3,0,0,'Données projet'!$E$13+1,1))</f>
        <v>#N/A</v>
      </c>
      <c r="CZ39" s="60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16.2</v>
      </c>
      <c r="N40" s="14">
        <f>IF('Données projet'!$A$36&gt;35,N39+M40-V39,IF(A40&lt;'Données projet'!$A$36,$K$205^A40,IF(A40='Données projet'!$A$36,'Données projet'!$B$36,N39+M40-V39)))</f>
        <v>245.39999999999998</v>
      </c>
      <c r="O40" s="14">
        <f>N40*VLOOKUP('Données projet'!$B$9,Paramètres!$A$1:$I$88,3,0)*VLOOKUP('Données projet'!$B$9,Paramètres!$A$1:$I$88,5,0)</f>
        <v>146.7492</v>
      </c>
      <c r="P40" s="14">
        <f t="shared" si="33"/>
        <v>37.838890253012799</v>
      </c>
      <c r="Q40" s="22">
        <f t="shared" si="53"/>
        <v>321.49092385733064</v>
      </c>
      <c r="R40" s="60">
        <f t="shared" si="0"/>
        <v>614.82425719066396</v>
      </c>
      <c r="S40" s="60">
        <f ca="1">AVERAGE(OFFSET($R$3,0,0,'Données projet'!$E$9+1,1))-AVERAGE(OFFSET($H$3,0,0,'Données projet'!$E$9+1,1))</f>
        <v>222.57099967987045</v>
      </c>
      <c r="T40" s="60">
        <f t="shared" si="34"/>
        <v>221.49027090502796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2.8821702180407138</v>
      </c>
      <c r="AA40" s="23">
        <f>EXP(-LN(2)/25)*AA39+(1-EXP(-LN(2)/25))/(LN(2)/25)*Calculateur!V40*Calculateur!X40*VLOOKUP('Données projet'!$B$9,Paramètres!$A$1:$I$88,3,0)*0.475*44/12</f>
        <v>22.071992166724097</v>
      </c>
      <c r="AB40" s="23">
        <f>EXP(-LN(2)/2)*AB39+(1-EXP(-LN(2)/2))/(LN(2)/2)*V40*Y40*VLOOKUP('Données projet'!$B$9,Paramètres!$A$1:$I$88,3,0)*0.475*44/12</f>
        <v>6.3253147424101872</v>
      </c>
      <c r="AC40" s="24">
        <f t="shared" si="3"/>
        <v>31.279477127174999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200</v>
      </c>
      <c r="AJ40" s="14">
        <f>AI40*VLOOKUP('Données projet'!$B$10,Paramètres!$A$1:$I$88,3,0)*VLOOKUP('Données projet'!$B$10,Paramètres!$A$1:$I$88,5,0)</f>
        <v>93.600000000000009</v>
      </c>
      <c r="AK40" s="14">
        <f t="shared" si="35"/>
        <v>25.431466524572937</v>
      </c>
      <c r="AL40" s="22">
        <f t="shared" si="4"/>
        <v>207.31313753029789</v>
      </c>
      <c r="AM40" s="60">
        <f t="shared" si="5"/>
        <v>500.64647086363118</v>
      </c>
      <c r="AN40" s="60">
        <f ca="1">AVERAGE(OFFSET($AM$3,0,0,'Données projet'!$E$10+1,1))-AVERAGE(OFFSET($H$3,0,0,'Données projet'!$E$10+1,1))</f>
        <v>147.1675182177155</v>
      </c>
      <c r="AO40" s="60">
        <f t="shared" si="36"/>
        <v>115.86489547584461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6.2745583218470058</v>
      </c>
      <c r="AW40" s="23">
        <f>EXP(-LN(2)/2)*AW39+(1-EXP(-LN(2)/2))/(LN(2)/2)*AQ40*AT40*VLOOKUP('Données projet'!$B$10,Paramètres!$A$1:$I$88,3,0)*0.475*44/12</f>
        <v>0.824307165868987</v>
      </c>
      <c r="AX40" s="23">
        <f t="shared" si="6"/>
        <v>7.0988654877159929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5.6</v>
      </c>
      <c r="BD40" s="13">
        <f>IF('Données projet'!$A$88&gt;35,BD39+BC40-BL39,IF(A40&lt;'Données projet'!$A$88,$BA$205^A40,IF(A40='Données projet'!$A$88,'Données projet'!$B$88,BD39+BC40-BL39)))</f>
        <v>76.199999999999974</v>
      </c>
      <c r="BE40" s="14">
        <f>BD40*VLOOKUP('Données projet'!$B$11,Paramètres!$A$1:$I$88,3,0)*VLOOKUP('Données projet'!$B$11,Paramètres!$A$1:$I$88,5,0)</f>
        <v>77.266799999999989</v>
      </c>
      <c r="BF40" s="14">
        <f t="shared" si="37"/>
        <v>21.467556499915311</v>
      </c>
      <c r="BG40" s="22">
        <f t="shared" si="7"/>
        <v>171.9623375706858</v>
      </c>
      <c r="BH40" s="60">
        <f t="shared" si="8"/>
        <v>465.29567090401912</v>
      </c>
      <c r="BI40" s="60">
        <f ca="1">AVERAGE(OFFSET($BH$3,0,0,'Données projet'!$E$11+1,1))-AVERAGE(OFFSET($H$3,0,0,'Données projet'!$E$11+1,1))</f>
        <v>166.48525819448878</v>
      </c>
      <c r="BJ40" s="60">
        <f t="shared" si="38"/>
        <v>61.876502626609977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0" t="e">
        <f t="shared" si="11"/>
        <v>#N/A</v>
      </c>
      <c r="CD40" s="60" t="e">
        <f ca="1">AVERAGE(OFFSET($CC$3,0,0,'Données projet'!$E$12+1,1))-AVERAGE(OFFSET($H$3,0,0,'Données projet'!$E$12+1,1))</f>
        <v>#N/A</v>
      </c>
      <c r="CE40" s="60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0" t="e">
        <f t="shared" si="14"/>
        <v>#N/A</v>
      </c>
      <c r="CY40" s="60" t="e">
        <f ca="1">AVERAGE(OFFSET($CX$3,0,0,'Données projet'!$E$13+1,1))-AVERAGE(OFFSET($H$3,0,0,'Données projet'!$E$13+1,1))</f>
        <v>#N/A</v>
      </c>
      <c r="CZ40" s="60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16.2</v>
      </c>
      <c r="N41" s="14">
        <f>IF('Données projet'!$A$36&gt;35,N40+M41-V40,IF(A41&lt;'Données projet'!$A$36,$K$205^A41,IF(A41='Données projet'!$A$36,'Données projet'!$B$36,N40+M41-V40)))</f>
        <v>261.59999999999997</v>
      </c>
      <c r="O41" s="14">
        <f>N41*VLOOKUP('Données projet'!$B$9,Paramètres!$A$1:$I$88,3,0)*VLOOKUP('Données projet'!$B$9,Paramètres!$A$1:$I$88,5,0)</f>
        <v>156.43679999999998</v>
      </c>
      <c r="P41" s="14">
        <f t="shared" si="33"/>
        <v>40.037775291207829</v>
      </c>
      <c r="Q41" s="22">
        <f t="shared" si="53"/>
        <v>342.19321863218693</v>
      </c>
      <c r="R41" s="60">
        <f t="shared" si="0"/>
        <v>635.52655196552018</v>
      </c>
      <c r="S41" s="60">
        <f ca="1">AVERAGE(OFFSET($R$3,0,0,'Données projet'!$E$9+1,1))-AVERAGE(OFFSET($H$3,0,0,'Données projet'!$E$9+1,1))</f>
        <v>222.57099967987045</v>
      </c>
      <c r="T41" s="60">
        <f t="shared" si="34"/>
        <v>221.49027090502796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2.8256526180151851</v>
      </c>
      <c r="AA41" s="23">
        <f>EXP(-LN(2)/25)*AA40+(1-EXP(-LN(2)/25))/(LN(2)/25)*Calculateur!V41*Calculateur!X41*VLOOKUP('Données projet'!$B$9,Paramètres!$A$1:$I$88,3,0)*0.475*44/12</f>
        <v>21.468432380209403</v>
      </c>
      <c r="AB41" s="23">
        <f>EXP(-LN(2)/2)*AB40+(1-EXP(-LN(2)/2))/(LN(2)/2)*V41*Y41*VLOOKUP('Données projet'!$B$9,Paramètres!$A$1:$I$88,3,0)*0.475*44/12</f>
        <v>4.4726729474974833</v>
      </c>
      <c r="AC41" s="24">
        <f t="shared" si="3"/>
        <v>28.76675794572207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210</v>
      </c>
      <c r="AJ41" s="14">
        <f>AI41*VLOOKUP('Données projet'!$B$10,Paramètres!$A$1:$I$88,3,0)*VLOOKUP('Données projet'!$B$10,Paramètres!$A$1:$I$88,5,0)</f>
        <v>98.28</v>
      </c>
      <c r="AK41" s="14">
        <f t="shared" si="35"/>
        <v>26.551818424463473</v>
      </c>
      <c r="AL41" s="22">
        <f t="shared" si="4"/>
        <v>217.41541708927389</v>
      </c>
      <c r="AM41" s="60">
        <f t="shared" si="5"/>
        <v>510.7487504226072</v>
      </c>
      <c r="AN41" s="60">
        <f ca="1">AVERAGE(OFFSET($AM$3,0,0,'Données projet'!$E$10+1,1))-AVERAGE(OFFSET($H$3,0,0,'Données projet'!$E$10+1,1))</f>
        <v>147.1675182177155</v>
      </c>
      <c r="AO41" s="60">
        <f t="shared" si="36"/>
        <v>115.86489547584461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6.1029801945714182</v>
      </c>
      <c r="AW41" s="23">
        <f>EXP(-LN(2)/2)*AW40+(1-EXP(-LN(2)/2))/(LN(2)/2)*AQ41*AT41*VLOOKUP('Données projet'!$B$10,Paramètres!$A$1:$I$88,3,0)*0.475*44/12</f>
        <v>0.58287318676662492</v>
      </c>
      <c r="AX41" s="23">
        <f t="shared" si="6"/>
        <v>6.6858533813380427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5.6</v>
      </c>
      <c r="BD41" s="13">
        <f>IF('Données projet'!$A$88&gt;35,BD40+BC41-BL40,IF(A41&lt;'Données projet'!$A$88,$BA$205^A41,IF(A41='Données projet'!$A$88,'Données projet'!$B$88,BD40+BC41-BL40)))</f>
        <v>81.799999999999969</v>
      </c>
      <c r="BE41" s="14">
        <f>BD41*VLOOKUP('Données projet'!$B$11,Paramètres!$A$1:$I$88,3,0)*VLOOKUP('Données projet'!$B$11,Paramètres!$A$1:$I$88,5,0)</f>
        <v>82.945199999999971</v>
      </c>
      <c r="BF41" s="14">
        <f t="shared" si="37"/>
        <v>22.855778630003947</v>
      </c>
      <c r="BG41" s="22">
        <f t="shared" si="7"/>
        <v>184.27003778059017</v>
      </c>
      <c r="BH41" s="60">
        <f t="shared" si="8"/>
        <v>477.60337111392346</v>
      </c>
      <c r="BI41" s="60">
        <f ca="1">AVERAGE(OFFSET($BH$3,0,0,'Données projet'!$E$11+1,1))-AVERAGE(OFFSET($H$3,0,0,'Données projet'!$E$11+1,1))</f>
        <v>166.48525819448878</v>
      </c>
      <c r="BJ41" s="60">
        <f t="shared" si="38"/>
        <v>61.876502626609977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0" t="e">
        <f t="shared" si="11"/>
        <v>#N/A</v>
      </c>
      <c r="CD41" s="60" t="e">
        <f ca="1">AVERAGE(OFFSET($CC$3,0,0,'Données projet'!$E$12+1,1))-AVERAGE(OFFSET($H$3,0,0,'Données projet'!$E$12+1,1))</f>
        <v>#N/A</v>
      </c>
      <c r="CE41" s="60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0" t="e">
        <f t="shared" si="14"/>
        <v>#N/A</v>
      </c>
      <c r="CY41" s="60" t="e">
        <f ca="1">AVERAGE(OFFSET($CX$3,0,0,'Données projet'!$E$13+1,1))-AVERAGE(OFFSET($H$3,0,0,'Données projet'!$E$13+1,1))</f>
        <v>#N/A</v>
      </c>
      <c r="CZ41" s="60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16.2</v>
      </c>
      <c r="N42" s="14">
        <f>IF('Données projet'!$A$36&gt;35,N41+M42-V41,IF(A42&lt;'Données projet'!$A$36,$K$205^A42,IF(A42='Données projet'!$A$36,'Données projet'!$B$36,N41+M42-V41)))</f>
        <v>277.79999999999995</v>
      </c>
      <c r="O42" s="14">
        <f>N42*VLOOKUP('Données projet'!$B$9,Paramètres!$A$1:$I$88,3,0)*VLOOKUP('Données projet'!$B$9,Paramètres!$A$1:$I$88,5,0)</f>
        <v>166.12439999999998</v>
      </c>
      <c r="P42" s="14">
        <f t="shared" si="33"/>
        <v>42.22085652975278</v>
      </c>
      <c r="Q42" s="22">
        <f t="shared" si="53"/>
        <v>362.86798845598605</v>
      </c>
      <c r="R42" s="60">
        <f t="shared" si="0"/>
        <v>656.20132178931931</v>
      </c>
      <c r="S42" s="60">
        <f ca="1">AVERAGE(OFFSET($R$3,0,0,'Données projet'!$E$9+1,1))-AVERAGE(OFFSET($H$3,0,0,'Données projet'!$E$9+1,1))</f>
        <v>222.57099967987045</v>
      </c>
      <c r="T42" s="60">
        <f t="shared" si="34"/>
        <v>221.49027090502796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2.770243293653825</v>
      </c>
      <c r="AA42" s="23">
        <f>EXP(-LN(2)/25)*AA41+(1-EXP(-LN(2)/25))/(LN(2)/25)*Calculateur!V42*Calculateur!X42*VLOOKUP('Données projet'!$B$9,Paramètres!$A$1:$I$88,3,0)*0.475*44/12</f>
        <v>20.881376967796786</v>
      </c>
      <c r="AB42" s="23">
        <f>EXP(-LN(2)/2)*AB41+(1-EXP(-LN(2)/2))/(LN(2)/2)*V42*Y42*VLOOKUP('Données projet'!$B$9,Paramètres!$A$1:$I$88,3,0)*0.475*44/12</f>
        <v>3.1626573712050936</v>
      </c>
      <c r="AC42" s="24">
        <f t="shared" si="3"/>
        <v>26.814277632655703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220</v>
      </c>
      <c r="AJ42" s="14">
        <f>AI42*VLOOKUP('Données projet'!$B$10,Paramètres!$A$1:$I$88,3,0)*VLOOKUP('Données projet'!$B$10,Paramètres!$A$1:$I$88,5,0)</f>
        <v>102.96000000000001</v>
      </c>
      <c r="AK42" s="14">
        <f t="shared" si="35"/>
        <v>27.665975080374633</v>
      </c>
      <c r="AL42" s="22">
        <f t="shared" si="4"/>
        <v>227.50690659831915</v>
      </c>
      <c r="AM42" s="60">
        <f t="shared" si="5"/>
        <v>520.84023993165249</v>
      </c>
      <c r="AN42" s="60">
        <f ca="1">AVERAGE(OFFSET($AM$3,0,0,'Données projet'!$E$10+1,1))-AVERAGE(OFFSET($H$3,0,0,'Données projet'!$E$10+1,1))</f>
        <v>147.1675182177155</v>
      </c>
      <c r="AO42" s="60">
        <f t="shared" si="36"/>
        <v>115.86489547584461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5.936093880209083</v>
      </c>
      <c r="AW42" s="23">
        <f>EXP(-LN(2)/2)*AW41+(1-EXP(-LN(2)/2))/(LN(2)/2)*AQ42*AT42*VLOOKUP('Données projet'!$B$10,Paramètres!$A$1:$I$88,3,0)*0.475*44/12</f>
        <v>0.4121535829344935</v>
      </c>
      <c r="AX42" s="23">
        <f t="shared" si="6"/>
        <v>6.3482474631435766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5.6</v>
      </c>
      <c r="BD42" s="13">
        <f>IF('Données projet'!$A$88&gt;35,BD41+BC42-BL41,IF(A42&lt;'Données projet'!$A$88,$BA$205^A42,IF(A42='Données projet'!$A$88,'Données projet'!$B$88,BD41+BC42-BL41)))</f>
        <v>87.399999999999963</v>
      </c>
      <c r="BE42" s="14">
        <f>BD42*VLOOKUP('Données projet'!$B$11,Paramètres!$A$1:$I$88,3,0)*VLOOKUP('Données projet'!$B$11,Paramètres!$A$1:$I$88,5,0)</f>
        <v>88.623599999999968</v>
      </c>
      <c r="BF42" s="14">
        <f t="shared" si="37"/>
        <v>24.232973298845756</v>
      </c>
      <c r="BG42" s="22">
        <f t="shared" si="7"/>
        <v>196.55853182882296</v>
      </c>
      <c r="BH42" s="60">
        <f t="shared" si="8"/>
        <v>489.89186516215625</v>
      </c>
      <c r="BI42" s="60">
        <f ca="1">AVERAGE(OFFSET($BH$3,0,0,'Données projet'!$E$11+1,1))-AVERAGE(OFFSET($H$3,0,0,'Données projet'!$E$11+1,1))</f>
        <v>166.48525819448878</v>
      </c>
      <c r="BJ42" s="60">
        <f t="shared" si="38"/>
        <v>61.876502626609977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0" t="e">
        <f t="shared" si="11"/>
        <v>#N/A</v>
      </c>
      <c r="CD42" s="60" t="e">
        <f ca="1">AVERAGE(OFFSET($CC$3,0,0,'Données projet'!$E$12+1,1))-AVERAGE(OFFSET($H$3,0,0,'Données projet'!$E$12+1,1))</f>
        <v>#N/A</v>
      </c>
      <c r="CE42" s="60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0" t="e">
        <f t="shared" si="14"/>
        <v>#N/A</v>
      </c>
      <c r="CY42" s="60" t="e">
        <f ca="1">AVERAGE(OFFSET($CX$3,0,0,'Données projet'!$E$13+1,1))-AVERAGE(OFFSET($H$3,0,0,'Données projet'!$E$13+1,1))</f>
        <v>#N/A</v>
      </c>
      <c r="CZ42" s="60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294</v>
      </c>
      <c r="L43" s="13">
        <f>VLOOKUP(A43,'Données projet'!$A$35:$I$55,9,0)</f>
        <v>16.2</v>
      </c>
      <c r="M43" s="13">
        <f t="array" ref="M43">INDEX(L:L,MIN(IF(ISNUMBER(L43:L239),ROW(L43:L239),"")))</f>
        <v>16.2</v>
      </c>
      <c r="N43" s="14">
        <f>IF('Données projet'!$A$36&gt;35,N42+M43-V42,IF(A43&lt;'Données projet'!$A$36,$K$205^A43,IF(A43='Données projet'!$A$36,'Données projet'!$B$36,N42+M43-V42)))</f>
        <v>293.99999999999994</v>
      </c>
      <c r="O43" s="14">
        <f>N43*VLOOKUP('Données projet'!$B$9,Paramètres!$A$1:$I$88,3,0)*VLOOKUP('Données projet'!$B$9,Paramètres!$A$1:$I$88,5,0)</f>
        <v>175.81199999999998</v>
      </c>
      <c r="P43" s="14">
        <f t="shared" si="33"/>
        <v>44.389160560041141</v>
      </c>
      <c r="Q43" s="22">
        <f t="shared" si="53"/>
        <v>383.51702130873826</v>
      </c>
      <c r="R43" s="60">
        <f t="shared" si="0"/>
        <v>676.85035464207158</v>
      </c>
      <c r="S43" s="60">
        <f ca="1">AVERAGE(OFFSET($R$3,0,0,'Données projet'!$E$9+1,1))-AVERAGE(OFFSET($H$3,0,0,'Données projet'!$E$9+1,1))</f>
        <v>222.57099967987045</v>
      </c>
      <c r="T43" s="60">
        <f t="shared" si="34"/>
        <v>221.49027090502796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projet'!$B$9,Paramètres!$A$1:$I$88,7,0))</f>
        <v>9.0000000000000011E-2</v>
      </c>
      <c r="X43" s="17">
        <f>IF(ISNA(VLOOKUP(A43,'Données projet'!$A$35:$I$55,6,0)),0%,VLOOKUP(A43,'Données projet'!$A$35:$I$55,6,0)*VLOOKUP('Données projet'!$B$9,Paramètres!$A$1:$I$88,7,0))</f>
        <v>0.20160000000000003</v>
      </c>
      <c r="Y43" s="17">
        <f>IF(ISNA(VLOOKUP(A43,'Données projet'!$A$35:$I$55,7,0)),0%,VLOOKUP(A43,'Données projet'!$A$35:$I$55,7,0))</f>
        <v>0.35200000000000004</v>
      </c>
      <c r="Z43" s="23">
        <f>EXP(-LN(2)/35)*Z42+(1-EXP(-LN(2)/35))/(LN(2)/35)*V43*W43*VLOOKUP('Données projet'!$B$9,Paramètres!$A$1:$I$88,3,0)*0.475*44/12</f>
        <v>5.7145398700005954</v>
      </c>
      <c r="AA43" s="23">
        <f>EXP(-LN(2)/25)*AA42+(1-EXP(-LN(2)/25))/(LN(2)/25)*Calculateur!V43*Calculateur!X43*VLOOKUP('Données projet'!$B$9,Paramètres!$A$1:$I$88,3,0)*0.475*44/12</f>
        <v>27.000834954029724</v>
      </c>
      <c r="AB43" s="23">
        <f>EXP(-LN(2)/2)*AB42+(1-EXP(-LN(2)/2))/(LN(2)/2)*V43*Y43*VLOOKUP('Données projet'!$B$9,Paramètres!$A$1:$I$88,3,0)*0.475*44/12</f>
        <v>12.246212001154245</v>
      </c>
      <c r="AC43" s="24">
        <f t="shared" si="3"/>
        <v>44.961586825184568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230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230</v>
      </c>
      <c r="AJ43" s="14">
        <f>AI43*VLOOKUP('Données projet'!$B$10,Paramètres!$A$1:$I$88,3,0)*VLOOKUP('Données projet'!$B$10,Paramètres!$A$1:$I$88,5,0)</f>
        <v>107.64</v>
      </c>
      <c r="AK43" s="14">
        <f t="shared" si="35"/>
        <v>28.774250263353583</v>
      </c>
      <c r="AL43" s="22">
        <f t="shared" si="4"/>
        <v>237.58815254200749</v>
      </c>
      <c r="AM43" s="60">
        <f t="shared" si="5"/>
        <v>530.92148587534075</v>
      </c>
      <c r="AN43" s="60">
        <f ca="1">AVERAGE(OFFSET($AM$3,0,0,'Données projet'!$E$10+1,1))-AVERAGE(OFFSET($H$3,0,0,'Données projet'!$E$10+1,1))</f>
        <v>147.1675182177155</v>
      </c>
      <c r="AO43" s="60">
        <f t="shared" si="36"/>
        <v>115.86489547584461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projet'!$B$10,Paramètres!$A$1:$I$88,7,0))</f>
        <v>0.11000000000000001</v>
      </c>
      <c r="AS43" s="17">
        <f>IF(ISNA(VLOOKUP(A43,'Données projet'!$A$61:$I$81,6,0)),0%,VLOOKUP(A43,'Données projet'!$A$61:$I$81,6,0)*VLOOKUP('Données projet'!$B$10,Paramètres!$A$1:$I$88,7,0))</f>
        <v>0.24640000000000006</v>
      </c>
      <c r="AT43" s="17">
        <f>IF(ISNA(VLOOKUP(A43,'Données projet'!$A$61:$I$81,7,0)),0%,VLOOKUP(A43,'Données projet'!$A$61:$I$81,7,0))</f>
        <v>0.35200000000000004</v>
      </c>
      <c r="AU43" s="23">
        <f>EXP(-LN(2)/35)*AU42+(1-EXP(-LN(2)/35))/(LN(2)/35)*AQ43*AR43*VLOOKUP('Données projet'!$B$10,Paramètres!$A$1:$I$88,3,0)*0.475*44/12</f>
        <v>2.7316615266411008</v>
      </c>
      <c r="AV43" s="23">
        <f>EXP(-LN(2)/25)*AV42+(1-EXP(-LN(2)/25))/(LN(2)/25)*Calculateur!AQ43*Calculateur!AS43*VLOOKUP('Données projet'!$B$10,Paramètres!$A$1:$I$88,3,0)*0.475*44/12</f>
        <v>11.86860037386916</v>
      </c>
      <c r="AW43" s="23">
        <f>EXP(-LN(2)/2)*AW42+(1-EXP(-LN(2)/2))/(LN(2)/2)*AQ43*AT43*VLOOKUP('Données projet'!$B$10,Paramètres!$A$1:$I$88,3,0)*0.475*44/12</f>
        <v>7.7522133839961072</v>
      </c>
      <c r="AX43" s="23">
        <f t="shared" si="6"/>
        <v>22.352475284506369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5.6</v>
      </c>
      <c r="BC43" s="13">
        <f t="array" ref="BC43">INDEX(BB:BB,MIN(IF(ISNUMBER(BB43:BB239),ROW(BB43:BB239),"")))</f>
        <v>5.6</v>
      </c>
      <c r="BD43" s="13">
        <f>IF('Données projet'!$A$88&gt;35,BD42+BC43-BL42,IF(A43&lt;'Données projet'!$A$88,$BA$205^A43,IF(A43='Données projet'!$A$88,'Données projet'!$B$88,BD42+BC43-BL42)))</f>
        <v>92.999999999999957</v>
      </c>
      <c r="BE43" s="14">
        <f>BD43*VLOOKUP('Données projet'!$B$11,Paramètres!$A$1:$I$88,3,0)*VLOOKUP('Données projet'!$B$11,Paramètres!$A$1:$I$88,5,0)</f>
        <v>94.301999999999964</v>
      </c>
      <c r="BF43" s="14">
        <f t="shared" si="37"/>
        <v>25.599927492506403</v>
      </c>
      <c r="BG43" s="22">
        <f t="shared" si="7"/>
        <v>208.82919038278192</v>
      </c>
      <c r="BH43" s="60">
        <f t="shared" si="8"/>
        <v>502.16252371611523</v>
      </c>
      <c r="BI43" s="60">
        <f ca="1">AVERAGE(OFFSET($BH$3,0,0,'Données projet'!$E$11+1,1))-AVERAGE(OFFSET($H$3,0,0,'Données projet'!$E$11+1,1))</f>
        <v>166.48525819448878</v>
      </c>
      <c r="BJ43" s="60">
        <f t="shared" si="38"/>
        <v>61.876502626609977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projet'!$B$11,Paramètres!$A$1:$I$88,7,0))</f>
        <v>8.6000000000000007E-2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1.3496201456750796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1.3496201456750796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0" t="e">
        <f t="shared" si="11"/>
        <v>#N/A</v>
      </c>
      <c r="CD43" s="60" t="e">
        <f ca="1">AVERAGE(OFFSET($CC$3,0,0,'Données projet'!$E$12+1,1))-AVERAGE(OFFSET($H$3,0,0,'Données projet'!$E$12+1,1))</f>
        <v>#N/A</v>
      </c>
      <c r="CE43" s="60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0" t="e">
        <f t="shared" si="14"/>
        <v>#N/A</v>
      </c>
      <c r="CY43" s="60" t="e">
        <f ca="1">AVERAGE(OFFSET($CX$3,0,0,'Données projet'!$E$13+1,1))-AVERAGE(OFFSET($H$3,0,0,'Données projet'!$E$13+1,1))</f>
        <v>#N/A</v>
      </c>
      <c r="CZ43" s="60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15.4</v>
      </c>
      <c r="N44" s="14">
        <f>IF('Données projet'!$A$36&gt;35,N43+M44-V43,IF(A44&lt;'Données projet'!$A$36,$K$205^A44,IF(A44='Données projet'!$A$36,'Données projet'!$B$36,N43+M44-V43)))</f>
        <v>267.39999999999992</v>
      </c>
      <c r="O44" s="14">
        <f>N44*VLOOKUP('Données projet'!$B$9,Paramètres!$A$1:$I$88,3,0)*VLOOKUP('Données projet'!$B$9,Paramètres!$A$1:$I$88,5,0)</f>
        <v>159.90519999999995</v>
      </c>
      <c r="P44" s="14">
        <f t="shared" si="33"/>
        <v>40.821132264574622</v>
      </c>
      <c r="Q44" s="22">
        <f t="shared" si="53"/>
        <v>349.59836202746737</v>
      </c>
      <c r="R44" s="60">
        <f t="shared" si="0"/>
        <v>642.93169536080063</v>
      </c>
      <c r="S44" s="60">
        <f ca="1">AVERAGE(OFFSET($R$3,0,0,'Données projet'!$E$9+1,1))-AVERAGE(OFFSET($H$3,0,0,'Données projet'!$E$9+1,1))</f>
        <v>222.57099967987045</v>
      </c>
      <c r="T44" s="60">
        <f t="shared" si="34"/>
        <v>221.49027090502796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5.6024812286750372</v>
      </c>
      <c r="AA44" s="23">
        <f>EXP(-LN(2)/25)*AA43+(1-EXP(-LN(2)/25))/(LN(2)/25)*Calculateur!V44*Calculateur!X44*VLOOKUP('Données projet'!$B$9,Paramètres!$A$1:$I$88,3,0)*0.475*44/12</f>
        <v>26.262495702299582</v>
      </c>
      <c r="AB44" s="23">
        <f>EXP(-LN(2)/2)*AB43+(1-EXP(-LN(2)/2))/(LN(2)/2)*V44*Y44*VLOOKUP('Données projet'!$B$9,Paramètres!$A$1:$I$88,3,0)*0.475*44/12</f>
        <v>8.6593795498642478</v>
      </c>
      <c r="AC44" s="24">
        <f t="shared" si="3"/>
        <v>40.524356480838868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10.5</v>
      </c>
      <c r="AI44" s="14">
        <f>IF('Données projet'!$A$62&gt;35,AI43+AH44-AQ43,IF(A44&lt;'Données projet'!$A$62,$AF$205^A44,IF(A44='Données projet'!$A$62,'Données projet'!$B$62,AI43+AH44-AQ43)))</f>
        <v>200.5</v>
      </c>
      <c r="AJ44" s="14">
        <f>AI44*VLOOKUP('Données projet'!$B$10,Paramètres!$A$1:$I$88,3,0)*VLOOKUP('Données projet'!$B$10,Paramètres!$A$1:$I$88,5,0)</f>
        <v>93.833999999999989</v>
      </c>
      <c r="AK44" s="14">
        <f t="shared" si="35"/>
        <v>25.487636467805206</v>
      </c>
      <c r="AL44" s="22">
        <f t="shared" si="4"/>
        <v>207.81851684809405</v>
      </c>
      <c r="AM44" s="60">
        <f t="shared" si="5"/>
        <v>501.15185018142733</v>
      </c>
      <c r="AN44" s="60">
        <f ca="1">AVERAGE(OFFSET($AM$3,0,0,'Données projet'!$E$10+1,1))-AVERAGE(OFFSET($H$3,0,0,'Données projet'!$E$10+1,1))</f>
        <v>147.1675182177155</v>
      </c>
      <c r="AO44" s="60">
        <f t="shared" si="36"/>
        <v>115.86489547584461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2.6780953102526817</v>
      </c>
      <c r="AV44" s="23">
        <f>EXP(-LN(2)/25)*AV43+(1-EXP(-LN(2)/25))/(LN(2)/25)*Calculateur!AQ44*Calculateur!AS44*VLOOKUP('Données projet'!$B$10,Paramètres!$A$1:$I$88,3,0)*0.475*44/12</f>
        <v>11.544052872503141</v>
      </c>
      <c r="AW44" s="23">
        <f>EXP(-LN(2)/2)*AW43+(1-EXP(-LN(2)/2))/(LN(2)/2)*AQ44*AT44*VLOOKUP('Données projet'!$B$10,Paramètres!$A$1:$I$88,3,0)*0.475*44/12</f>
        <v>5.4816426530287607</v>
      </c>
      <c r="AX44" s="23">
        <f t="shared" si="6"/>
        <v>19.703790835784581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84.599999999999952</v>
      </c>
      <c r="BE44" s="14">
        <f>BD44*VLOOKUP('Données projet'!$B$11,Paramètres!$A$1:$I$88,3,0)*VLOOKUP('Données projet'!$B$11,Paramètres!$A$1:$I$88,5,0)</f>
        <v>85.784399999999962</v>
      </c>
      <c r="BF44" s="14">
        <f t="shared" si="37"/>
        <v>23.545702623664187</v>
      </c>
      <c r="BG44" s="22">
        <f t="shared" si="7"/>
        <v>190.41659540288171</v>
      </c>
      <c r="BH44" s="60">
        <f t="shared" si="8"/>
        <v>483.749928736215</v>
      </c>
      <c r="BI44" s="60">
        <f ca="1">AVERAGE(OFFSET($BH$3,0,0,'Données projet'!$E$11+1,1))-AVERAGE(OFFSET($H$3,0,0,'Données projet'!$E$11+1,1))</f>
        <v>166.48525819448878</v>
      </c>
      <c r="BJ44" s="60">
        <f t="shared" si="38"/>
        <v>61.876502626609977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1.3231549178053972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1.3231549178053972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0" t="e">
        <f t="shared" si="11"/>
        <v>#N/A</v>
      </c>
      <c r="CD44" s="60" t="e">
        <f ca="1">AVERAGE(OFFSET($CC$3,0,0,'Données projet'!$E$12+1,1))-AVERAGE(OFFSET($H$3,0,0,'Données projet'!$E$12+1,1))</f>
        <v>#N/A</v>
      </c>
      <c r="CE44" s="60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0" t="e">
        <f t="shared" si="14"/>
        <v>#N/A</v>
      </c>
      <c r="CY44" s="60" t="e">
        <f ca="1">AVERAGE(OFFSET($CX$3,0,0,'Données projet'!$E$13+1,1))-AVERAGE(OFFSET($H$3,0,0,'Données projet'!$E$13+1,1))</f>
        <v>#N/A</v>
      </c>
      <c r="CZ44" s="60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15.4</v>
      </c>
      <c r="N45" s="14">
        <f>IF('Données projet'!$A$36&gt;35,N44+M45-V44,IF(A45&lt;'Données projet'!$A$36,$K$205^A45,IF(A45='Données projet'!$A$36,'Données projet'!$B$36,N44+M45-V44)))</f>
        <v>282.7999999999999</v>
      </c>
      <c r="O45" s="14">
        <f>N45*VLOOKUP('Données projet'!$B$9,Paramètres!$A$1:$I$88,3,0)*VLOOKUP('Données projet'!$B$9,Paramètres!$A$1:$I$88,5,0)</f>
        <v>169.11439999999996</v>
      </c>
      <c r="P45" s="14">
        <f t="shared" si="33"/>
        <v>42.891618392708978</v>
      </c>
      <c r="Q45" s="22">
        <f t="shared" si="53"/>
        <v>369.24381536730135</v>
      </c>
      <c r="R45" s="60">
        <f t="shared" si="0"/>
        <v>662.57714870063467</v>
      </c>
      <c r="S45" s="60">
        <f ca="1">AVERAGE(OFFSET($R$3,0,0,'Données projet'!$E$9+1,1))-AVERAGE(OFFSET($H$3,0,0,'Données projet'!$E$9+1,1))</f>
        <v>222.57099967987045</v>
      </c>
      <c r="T45" s="60">
        <f t="shared" si="34"/>
        <v>221.49027090502796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5.492619988956851</v>
      </c>
      <c r="AA45" s="23">
        <f>EXP(-LN(2)/25)*AA44+(1-EXP(-LN(2)/25))/(LN(2)/25)*Calculateur!V45*Calculateur!X45*VLOOKUP('Données projet'!$B$9,Paramètres!$A$1:$I$88,3,0)*0.475*44/12</f>
        <v>25.544346376235573</v>
      </c>
      <c r="AB45" s="23">
        <f>EXP(-LN(2)/2)*AB44+(1-EXP(-LN(2)/2))/(LN(2)/2)*V45*Y45*VLOOKUP('Données projet'!$B$9,Paramètres!$A$1:$I$88,3,0)*0.475*44/12</f>
        <v>6.1231060005771232</v>
      </c>
      <c r="AC45" s="24">
        <f t="shared" si="3"/>
        <v>37.160072365769544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10.5</v>
      </c>
      <c r="AI45" s="14">
        <f>IF('Données projet'!$A$62&gt;35,AI44+AH45-AQ44,IF(A45&lt;'Données projet'!$A$62,$AF$205^A45,IF(A45='Données projet'!$A$62,'Données projet'!$B$62,AI44+AH45-AQ44)))</f>
        <v>211</v>
      </c>
      <c r="AJ45" s="14">
        <f>AI45*VLOOKUP('Données projet'!$B$10,Paramètres!$A$1:$I$88,3,0)*VLOOKUP('Données projet'!$B$10,Paramètres!$A$1:$I$88,5,0)</f>
        <v>98.74799999999999</v>
      </c>
      <c r="AK45" s="14">
        <f t="shared" si="35"/>
        <v>26.663507453762108</v>
      </c>
      <c r="AL45" s="22">
        <f t="shared" si="4"/>
        <v>218.42504214863564</v>
      </c>
      <c r="AM45" s="60">
        <f t="shared" si="5"/>
        <v>511.75837548196898</v>
      </c>
      <c r="AN45" s="60">
        <f ca="1">AVERAGE(OFFSET($AM$3,0,0,'Données projet'!$E$10+1,1))-AVERAGE(OFFSET($H$3,0,0,'Données projet'!$E$10+1,1))</f>
        <v>147.1675182177155</v>
      </c>
      <c r="AO45" s="60">
        <f t="shared" si="36"/>
        <v>115.86489547584461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2.6255794946954736</v>
      </c>
      <c r="AV45" s="23">
        <f>EXP(-LN(2)/25)*AV44+(1-EXP(-LN(2)/25))/(LN(2)/25)*Calculateur!AQ45*Calculateur!AS45*VLOOKUP('Données projet'!$B$10,Paramètres!$A$1:$I$88,3,0)*0.475*44/12</f>
        <v>11.228380139629186</v>
      </c>
      <c r="AW45" s="23">
        <f>EXP(-LN(2)/2)*AW44+(1-EXP(-LN(2)/2))/(LN(2)/2)*AQ45*AT45*VLOOKUP('Données projet'!$B$10,Paramètres!$A$1:$I$88,3,0)*0.475*44/12</f>
        <v>3.876106691998054</v>
      </c>
      <c r="AX45" s="23">
        <f t="shared" si="6"/>
        <v>17.730066326322714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90.199999999999946</v>
      </c>
      <c r="BE45" s="14">
        <f>BD45*VLOOKUP('Données projet'!$B$11,Paramètres!$A$1:$I$88,3,0)*VLOOKUP('Données projet'!$B$11,Paramètres!$A$1:$I$88,5,0)</f>
        <v>91.462799999999945</v>
      </c>
      <c r="BF45" s="14">
        <f t="shared" si="37"/>
        <v>24.917685409456123</v>
      </c>
      <c r="BG45" s="22">
        <f t="shared" si="7"/>
        <v>202.69601208813597</v>
      </c>
      <c r="BH45" s="60">
        <f t="shared" si="8"/>
        <v>496.02934542146932</v>
      </c>
      <c r="BI45" s="60">
        <f ca="1">AVERAGE(OFFSET($BH$3,0,0,'Données projet'!$E$11+1,1))-AVERAGE(OFFSET($H$3,0,0,'Données projet'!$E$11+1,1))</f>
        <v>166.48525819448878</v>
      </c>
      <c r="BJ45" s="60">
        <f t="shared" si="38"/>
        <v>61.876502626609977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1.2972086569120442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1.2972086569120442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0" t="e">
        <f t="shared" si="11"/>
        <v>#N/A</v>
      </c>
      <c r="CD45" s="60" t="e">
        <f ca="1">AVERAGE(OFFSET($CC$3,0,0,'Données projet'!$E$12+1,1))-AVERAGE(OFFSET($H$3,0,0,'Données projet'!$E$12+1,1))</f>
        <v>#N/A</v>
      </c>
      <c r="CE45" s="60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0" t="e">
        <f t="shared" si="14"/>
        <v>#N/A</v>
      </c>
      <c r="CY45" s="60" t="e">
        <f ca="1">AVERAGE(OFFSET($CX$3,0,0,'Données projet'!$E$13+1,1))-AVERAGE(OFFSET($H$3,0,0,'Données projet'!$E$13+1,1))</f>
        <v>#N/A</v>
      </c>
      <c r="CZ45" s="60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15.4</v>
      </c>
      <c r="N46" s="14">
        <f>IF('Données projet'!$A$36&gt;35,N45+M46-V45,IF(A46&lt;'Données projet'!$A$36,$K$205^A46,IF(A46='Données projet'!$A$36,'Données projet'!$B$36,N45+M46-V45)))</f>
        <v>298.19999999999987</v>
      </c>
      <c r="O46" s="14">
        <f>N46*VLOOKUP('Données projet'!$B$9,Paramètres!$A$1:$I$88,3,0)*VLOOKUP('Données projet'!$B$9,Paramètres!$A$1:$I$88,5,0)</f>
        <v>178.32359999999994</v>
      </c>
      <c r="P46" s="14">
        <f t="shared" si="33"/>
        <v>44.949015186129948</v>
      </c>
      <c r="Q46" s="22">
        <f t="shared" si="53"/>
        <v>388.86647144917623</v>
      </c>
      <c r="R46" s="60">
        <f t="shared" si="0"/>
        <v>682.19980478250955</v>
      </c>
      <c r="S46" s="60">
        <f ca="1">AVERAGE(OFFSET($R$3,0,0,'Données projet'!$E$9+1,1))-AVERAGE(OFFSET($H$3,0,0,'Données projet'!$E$9+1,1))</f>
        <v>222.57099967987045</v>
      </c>
      <c r="T46" s="60">
        <f t="shared" si="34"/>
        <v>221.49027090502796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5.3849130611407992</v>
      </c>
      <c r="AA46" s="23">
        <f>EXP(-LN(2)/25)*AA45+(1-EXP(-LN(2)/25))/(LN(2)/25)*Calculateur!V46*Calculateur!X46*VLOOKUP('Données projet'!$B$9,Paramètres!$A$1:$I$88,3,0)*0.475*44/12</f>
        <v>24.845834881258618</v>
      </c>
      <c r="AB46" s="23">
        <f>EXP(-LN(2)/2)*AB45+(1-EXP(-LN(2)/2))/(LN(2)/2)*V46*Y46*VLOOKUP('Données projet'!$B$9,Paramètres!$A$1:$I$88,3,0)*0.475*44/12</f>
        <v>4.3296897749321239</v>
      </c>
      <c r="AC46" s="24">
        <f t="shared" si="3"/>
        <v>34.560437717331538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10.5</v>
      </c>
      <c r="AI46" s="14">
        <f>IF('Données projet'!$A$62&gt;35,AI45+AH46-AQ45,IF(A46&lt;'Données projet'!$A$62,$AF$205^A46,IF(A46='Données projet'!$A$62,'Données projet'!$B$62,AI45+AH46-AQ45)))</f>
        <v>221.5</v>
      </c>
      <c r="AJ46" s="14">
        <f>AI46*VLOOKUP('Données projet'!$B$10,Paramètres!$A$1:$I$88,3,0)*VLOOKUP('Données projet'!$B$10,Paramètres!$A$1:$I$88,5,0)</f>
        <v>103.66199999999999</v>
      </c>
      <c r="AK46" s="14">
        <f t="shared" si="35"/>
        <v>27.83258403236168</v>
      </c>
      <c r="AL46" s="22">
        <f t="shared" si="4"/>
        <v>229.01973385636325</v>
      </c>
      <c r="AM46" s="60">
        <f t="shared" si="5"/>
        <v>522.3530671896965</v>
      </c>
      <c r="AN46" s="60">
        <f ca="1">AVERAGE(OFFSET($AM$3,0,0,'Données projet'!$E$10+1,1))-AVERAGE(OFFSET($H$3,0,0,'Données projet'!$E$10+1,1))</f>
        <v>147.1675182177155</v>
      </c>
      <c r="AO46" s="60">
        <f t="shared" si="36"/>
        <v>115.86489547584461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2.5740934822498573</v>
      </c>
      <c r="AV46" s="23">
        <f>EXP(-LN(2)/25)*AV45+(1-EXP(-LN(2)/25))/(LN(2)/25)*Calculateur!AQ46*Calculateur!AS46*VLOOKUP('Données projet'!$B$10,Paramètres!$A$1:$I$88,3,0)*0.475*44/12</f>
        <v>10.921339494236177</v>
      </c>
      <c r="AW46" s="23">
        <f>EXP(-LN(2)/2)*AW45+(1-EXP(-LN(2)/2))/(LN(2)/2)*AQ46*AT46*VLOOKUP('Données projet'!$B$10,Paramètres!$A$1:$I$88,3,0)*0.475*44/12</f>
        <v>2.7408213265143808</v>
      </c>
      <c r="AX46" s="23">
        <f t="shared" si="6"/>
        <v>16.236254303000415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95.79999999999994</v>
      </c>
      <c r="BE46" s="14">
        <f>BD46*VLOOKUP('Données projet'!$B$11,Paramètres!$A$1:$I$88,3,0)*VLOOKUP('Données projet'!$B$11,Paramètres!$A$1:$I$88,5,0)</f>
        <v>97.141199999999941</v>
      </c>
      <c r="BF46" s="14">
        <f t="shared" si="37"/>
        <v>26.279782450761683</v>
      </c>
      <c r="BG46" s="22">
        <f t="shared" si="7"/>
        <v>214.95821110174313</v>
      </c>
      <c r="BH46" s="60">
        <f t="shared" si="8"/>
        <v>508.29154443507645</v>
      </c>
      <c r="BI46" s="60">
        <f ca="1">AVERAGE(OFFSET($BH$3,0,0,'Données projet'!$E$11+1,1))-AVERAGE(OFFSET($H$3,0,0,'Données projet'!$E$11+1,1))</f>
        <v>166.48525819448878</v>
      </c>
      <c r="BJ46" s="60">
        <f t="shared" si="38"/>
        <v>61.876502626609977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1.2717711863691534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1.2717711863691534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0" t="e">
        <f t="shared" si="11"/>
        <v>#N/A</v>
      </c>
      <c r="CD46" s="60" t="e">
        <f ca="1">AVERAGE(OFFSET($CC$3,0,0,'Données projet'!$E$12+1,1))-AVERAGE(OFFSET($H$3,0,0,'Données projet'!$E$12+1,1))</f>
        <v>#N/A</v>
      </c>
      <c r="CE46" s="60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0" t="e">
        <f t="shared" si="14"/>
        <v>#N/A</v>
      </c>
      <c r="CY46" s="60" t="e">
        <f ca="1">AVERAGE(OFFSET($CX$3,0,0,'Données projet'!$E$13+1,1))-AVERAGE(OFFSET($H$3,0,0,'Données projet'!$E$13+1,1))</f>
        <v>#N/A</v>
      </c>
      <c r="CZ46" s="60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15.4</v>
      </c>
      <c r="N47" s="14">
        <f>IF('Données projet'!$A$36&gt;35,N46+M47-V46,IF(A47&lt;'Données projet'!$A$36,$K$205^A47,IF(A47='Données projet'!$A$36,'Données projet'!$B$36,N46+M47-V46)))</f>
        <v>313.59999999999985</v>
      </c>
      <c r="O47" s="14">
        <f>N47*VLOOKUP('Données projet'!$B$9,Paramètres!$A$1:$I$88,3,0)*VLOOKUP('Données projet'!$B$9,Paramètres!$A$1:$I$88,5,0)</f>
        <v>187.53279999999992</v>
      </c>
      <c r="P47" s="14">
        <f t="shared" si="33"/>
        <v>46.994075725880812</v>
      </c>
      <c r="Q47" s="22">
        <f t="shared" si="53"/>
        <v>408.46764188924226</v>
      </c>
      <c r="R47" s="60">
        <f t="shared" si="0"/>
        <v>701.80097522257552</v>
      </c>
      <c r="S47" s="60">
        <f ca="1">AVERAGE(OFFSET($R$3,0,0,'Données projet'!$E$9+1,1))-AVERAGE(OFFSET($H$3,0,0,'Données projet'!$E$9+1,1))</f>
        <v>222.57099967987045</v>
      </c>
      <c r="T47" s="60">
        <f t="shared" si="34"/>
        <v>221.49027090502796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5.2793182004844805</v>
      </c>
      <c r="AA47" s="23">
        <f>EXP(-LN(2)/25)*AA46+(1-EXP(-LN(2)/25))/(LN(2)/25)*Calculateur!V47*Calculateur!X47*VLOOKUP('Données projet'!$B$9,Paramètres!$A$1:$I$88,3,0)*0.475*44/12</f>
        <v>24.166424219844931</v>
      </c>
      <c r="AB47" s="23">
        <f>EXP(-LN(2)/2)*AB46+(1-EXP(-LN(2)/2))/(LN(2)/2)*V47*Y47*VLOOKUP('Données projet'!$B$9,Paramètres!$A$1:$I$88,3,0)*0.475*44/12</f>
        <v>3.0615530002885616</v>
      </c>
      <c r="AC47" s="24">
        <f t="shared" si="3"/>
        <v>32.507295420617972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10.5</v>
      </c>
      <c r="AI47" s="14">
        <f>IF('Données projet'!$A$62&gt;35,AI46+AH47-AQ46,IF(A47&lt;'Données projet'!$A$62,$AF$205^A47,IF(A47='Données projet'!$A$62,'Données projet'!$B$62,AI46+AH47-AQ46)))</f>
        <v>232</v>
      </c>
      <c r="AJ47" s="14">
        <f>AI47*VLOOKUP('Données projet'!$B$10,Paramètres!$A$1:$I$88,3,0)*VLOOKUP('Données projet'!$B$10,Paramètres!$A$1:$I$88,5,0)</f>
        <v>108.57599999999999</v>
      </c>
      <c r="AK47" s="14">
        <f t="shared" si="35"/>
        <v>28.995225061228002</v>
      </c>
      <c r="AL47" s="22">
        <f t="shared" si="4"/>
        <v>239.60321698163875</v>
      </c>
      <c r="AM47" s="60">
        <f t="shared" si="5"/>
        <v>532.93655031497201</v>
      </c>
      <c r="AN47" s="60">
        <f ca="1">AVERAGE(OFFSET($AM$3,0,0,'Données projet'!$E$10+1,1))-AVERAGE(OFFSET($H$3,0,0,'Données projet'!$E$10+1,1))</f>
        <v>147.1675182177155</v>
      </c>
      <c r="AO47" s="60">
        <f t="shared" si="36"/>
        <v>115.86489547584461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2.523617079104933</v>
      </c>
      <c r="AV47" s="23">
        <f>EXP(-LN(2)/25)*AV46+(1-EXP(-LN(2)/25))/(LN(2)/25)*Calculateur!AQ47*Calculateur!AS47*VLOOKUP('Données projet'!$B$10,Paramètres!$A$1:$I$88,3,0)*0.475*44/12</f>
        <v>10.622694891438005</v>
      </c>
      <c r="AW47" s="23">
        <f>EXP(-LN(2)/2)*AW46+(1-EXP(-LN(2)/2))/(LN(2)/2)*AQ47*AT47*VLOOKUP('Données projet'!$B$10,Paramètres!$A$1:$I$88,3,0)*0.475*44/12</f>
        <v>1.9380533459990272</v>
      </c>
      <c r="AX47" s="23">
        <f t="shared" si="6"/>
        <v>15.084365316541966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101.39999999999993</v>
      </c>
      <c r="BE47" s="14">
        <f>BD47*VLOOKUP('Données projet'!$B$11,Paramètres!$A$1:$I$88,3,0)*VLOOKUP('Données projet'!$B$11,Paramètres!$A$1:$I$88,5,0)</f>
        <v>102.81959999999994</v>
      </c>
      <c r="BF47" s="14">
        <f t="shared" si="37"/>
        <v>27.632637448562303</v>
      </c>
      <c r="BG47" s="22">
        <f t="shared" si="7"/>
        <v>227.20431355624589</v>
      </c>
      <c r="BH47" s="60">
        <f t="shared" si="8"/>
        <v>520.53764688957926</v>
      </c>
      <c r="BI47" s="60">
        <f ca="1">AVERAGE(OFFSET($BH$3,0,0,'Données projet'!$E$11+1,1))-AVERAGE(OFFSET($H$3,0,0,'Données projet'!$E$11+1,1))</f>
        <v>166.48525819448878</v>
      </c>
      <c r="BJ47" s="60">
        <f t="shared" si="38"/>
        <v>61.876502626609977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1.2468325291082836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1.2468325291082836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0" t="e">
        <f t="shared" si="11"/>
        <v>#N/A</v>
      </c>
      <c r="CD47" s="60" t="e">
        <f ca="1">AVERAGE(OFFSET($CC$3,0,0,'Données projet'!$E$12+1,1))-AVERAGE(OFFSET($H$3,0,0,'Données projet'!$E$12+1,1))</f>
        <v>#N/A</v>
      </c>
      <c r="CE47" s="60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0" t="e">
        <f t="shared" si="14"/>
        <v>#N/A</v>
      </c>
      <c r="CY47" s="60" t="e">
        <f ca="1">AVERAGE(OFFSET($CX$3,0,0,'Données projet'!$E$13+1,1))-AVERAGE(OFFSET($H$3,0,0,'Données projet'!$E$13+1,1))</f>
        <v>#N/A</v>
      </c>
      <c r="CZ47" s="60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329</v>
      </c>
      <c r="L48" s="13">
        <f>VLOOKUP(A48,'Données projet'!$A$35:$I$55,9,0)</f>
        <v>15.4</v>
      </c>
      <c r="M48" s="13">
        <f t="array" ref="M48">INDEX(L:L,MIN(IF(ISNUMBER(L48:L244),ROW(L48:L244),"")))</f>
        <v>15.4</v>
      </c>
      <c r="N48" s="14">
        <f>IF('Données projet'!$A$36&gt;35,N47+M48-V47,IF(A48&lt;'Données projet'!$A$36,$K$205^A48,IF(A48='Données projet'!$A$36,'Données projet'!$B$36,N47+M48-V47)))</f>
        <v>328.99999999999983</v>
      </c>
      <c r="O48" s="14">
        <f>N48*VLOOKUP('Données projet'!$B$9,Paramètres!$A$1:$I$88,3,0)*VLOOKUP('Données projet'!$B$9,Paramètres!$A$1:$I$88,5,0)</f>
        <v>196.7419999999999</v>
      </c>
      <c r="P48" s="14">
        <f t="shared" si="33"/>
        <v>49.027474951150033</v>
      </c>
      <c r="Q48" s="22">
        <f t="shared" si="53"/>
        <v>428.04850220658614</v>
      </c>
      <c r="R48" s="60">
        <f t="shared" si="0"/>
        <v>721.38183553991939</v>
      </c>
      <c r="S48" s="60">
        <f ca="1">AVERAGE(OFFSET($R$3,0,0,'Données projet'!$E$9+1,1))-AVERAGE(OFFSET($H$3,0,0,'Données projet'!$E$9+1,1))</f>
        <v>222.57099967987045</v>
      </c>
      <c r="T48" s="60">
        <f t="shared" si="34"/>
        <v>221.49027090502796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projet'!$B$9,Paramètres!$A$1:$I$88,7,0))</f>
        <v>0.18000000000000002</v>
      </c>
      <c r="X48" s="17">
        <f>IF(ISNA(VLOOKUP(A48,'Données projet'!$A$35:$I$55,6,0)),0%,VLOOKUP(A48,'Données projet'!$A$35:$I$55,6,0)*VLOOKUP('Données projet'!$B$9,Paramètres!$A$1:$I$88,7,0))</f>
        <v>0.1512</v>
      </c>
      <c r="Y48" s="17">
        <f>IF(ISNA(VLOOKUP(A48,'Données projet'!$A$35:$I$55,7,0)),0%,VLOOKUP(A48,'Données projet'!$A$35:$I$55,7,0))</f>
        <v>0.26400000000000001</v>
      </c>
      <c r="Z48" s="23">
        <f>EXP(-LN(2)/35)*Z47+(1-EXP(-LN(2)/35))/(LN(2)/35)*V48*W48*VLOOKUP('Données projet'!$B$9,Paramètres!$A$1:$I$88,3,0)*0.475*44/12</f>
        <v>11.173032705946635</v>
      </c>
      <c r="AA48" s="23">
        <f>EXP(-LN(2)/25)*AA47+(1-EXP(-LN(2)/25))/(LN(2)/25)*Calculateur!V48*Calculateur!X48*VLOOKUP('Données projet'!$B$9,Paramètres!$A$1:$I$88,3,0)*0.475*44/12</f>
        <v>28.523437331837176</v>
      </c>
      <c r="AB48" s="23">
        <f>EXP(-LN(2)/2)*AB47+(1-EXP(-LN(2)/2))/(LN(2)/2)*V48*Y48*VLOOKUP('Données projet'!$B$9,Paramètres!$A$1:$I$88,3,0)*0.475*44/12</f>
        <v>9.672251533020189</v>
      </c>
      <c r="AC48" s="24">
        <f t="shared" si="3"/>
        <v>49.368721570803999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10.5</v>
      </c>
      <c r="AI48" s="14">
        <f>IF('Données projet'!$A$62&gt;35,AI47+AH48-AQ47,IF(A48&lt;'Données projet'!$A$62,$AF$205^A48,IF(A48='Données projet'!$A$62,'Données projet'!$B$62,AI47+AH48-AQ47)))</f>
        <v>242.5</v>
      </c>
      <c r="AJ48" s="14">
        <f>AI48*VLOOKUP('Données projet'!$B$10,Paramètres!$A$1:$I$88,3,0)*VLOOKUP('Données projet'!$B$10,Paramètres!$A$1:$I$88,5,0)</f>
        <v>113.49</v>
      </c>
      <c r="AK48" s="14">
        <f t="shared" si="35"/>
        <v>30.151755078981495</v>
      </c>
      <c r="AL48" s="22">
        <f t="shared" si="4"/>
        <v>250.1760567625594</v>
      </c>
      <c r="AM48" s="60">
        <f t="shared" si="5"/>
        <v>543.50939009589274</v>
      </c>
      <c r="AN48" s="60">
        <f ca="1">AVERAGE(OFFSET($AM$3,0,0,'Données projet'!$E$10+1,1))-AVERAGE(OFFSET($H$3,0,0,'Données projet'!$E$10+1,1))</f>
        <v>147.1675182177155</v>
      </c>
      <c r="AO48" s="60">
        <f t="shared" si="36"/>
        <v>115.86489547584461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2.4741304874381149</v>
      </c>
      <c r="AV48" s="23">
        <f>EXP(-LN(2)/25)*AV47+(1-EXP(-LN(2)/25))/(LN(2)/25)*Calculateur!AQ48*Calculateur!AS48*VLOOKUP('Données projet'!$B$10,Paramètres!$A$1:$I$88,3,0)*0.475*44/12</f>
        <v>10.332216741008388</v>
      </c>
      <c r="AW48" s="23">
        <f>EXP(-LN(2)/2)*AW47+(1-EXP(-LN(2)/2))/(LN(2)/2)*AQ48*AT48*VLOOKUP('Données projet'!$B$10,Paramètres!$A$1:$I$88,3,0)*0.475*44/12</f>
        <v>1.3704106632571906</v>
      </c>
      <c r="AX48" s="23">
        <f t="shared" si="6"/>
        <v>14.176757891703694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106.99999999999993</v>
      </c>
      <c r="BE48" s="14">
        <f>BD48*VLOOKUP('Données projet'!$B$11,Paramètres!$A$1:$I$88,3,0)*VLOOKUP('Données projet'!$B$11,Paramètres!$A$1:$I$88,5,0)</f>
        <v>108.49799999999993</v>
      </c>
      <c r="BF48" s="14">
        <f t="shared" si="37"/>
        <v>28.976818989145258</v>
      </c>
      <c r="BG48" s="22">
        <f t="shared" si="7"/>
        <v>239.43530973942788</v>
      </c>
      <c r="BH48" s="60">
        <f t="shared" si="8"/>
        <v>532.76864307276117</v>
      </c>
      <c r="BI48" s="60">
        <f ca="1">AVERAGE(OFFSET($BH$3,0,0,'Données projet'!$E$11+1,1))-AVERAGE(OFFSET($H$3,0,0,'Données projet'!$E$11+1,1))</f>
        <v>166.48525819448878</v>
      </c>
      <c r="BJ48" s="60">
        <f t="shared" si="38"/>
        <v>61.876502626609977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projet'!$B$11,Paramètres!$A$1:$I$88,7,0))</f>
        <v>8.6000000000000007E-2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2.5720030493803003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2.5720030493803003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0" t="e">
        <f t="shared" si="11"/>
        <v>#N/A</v>
      </c>
      <c r="CD48" s="60" t="e">
        <f ca="1">AVERAGE(OFFSET($CC$3,0,0,'Données projet'!$E$12+1,1))-AVERAGE(OFFSET($H$3,0,0,'Données projet'!$E$12+1,1))</f>
        <v>#N/A</v>
      </c>
      <c r="CE48" s="60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0" t="e">
        <f t="shared" si="14"/>
        <v>#N/A</v>
      </c>
      <c r="CY48" s="60" t="e">
        <f ca="1">AVERAGE(OFFSET($CX$3,0,0,'Données projet'!$E$13+1,1))-AVERAGE(OFFSET($H$3,0,0,'Données projet'!$E$13+1,1))</f>
        <v>#N/A</v>
      </c>
      <c r="CZ48" s="60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14.4</v>
      </c>
      <c r="N49" s="14">
        <f>IF('Données projet'!$A$36&gt;35,N48+M49-V48,IF(A49&lt;'Données projet'!$A$36,$K$205^A49,IF(A49='Données projet'!$A$36,'Données projet'!$B$36,N48+M49-V48)))</f>
        <v>301.39999999999981</v>
      </c>
      <c r="O49" s="14">
        <f>N49*VLOOKUP('Données projet'!$B$9,Paramètres!$A$1:$I$88,3,0)*VLOOKUP('Données projet'!$B$9,Paramètres!$A$1:$I$88,5,0)</f>
        <v>180.23719999999992</v>
      </c>
      <c r="P49" s="14">
        <f t="shared" si="33"/>
        <v>45.374954751017455</v>
      </c>
      <c r="Q49" s="22">
        <f t="shared" si="53"/>
        <v>392.94116952468863</v>
      </c>
      <c r="R49" s="60">
        <f t="shared" si="0"/>
        <v>686.27450285802195</v>
      </c>
      <c r="S49" s="60">
        <f ca="1">AVERAGE(OFFSET($R$3,0,0,'Données projet'!$E$9+1,1))-AVERAGE(OFFSET($H$3,0,0,'Données projet'!$E$9+1,1))</f>
        <v>222.57099967987045</v>
      </c>
      <c r="T49" s="60">
        <f t="shared" si="34"/>
        <v>221.49027090502796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10.95393634946006</v>
      </c>
      <c r="AA49" s="23">
        <f>EXP(-LN(2)/25)*AA48+(1-EXP(-LN(2)/25))/(LN(2)/25)*Calculateur!V49*Calculateur!X49*VLOOKUP('Données projet'!$B$9,Paramètres!$A$1:$I$88,3,0)*0.475*44/12</f>
        <v>27.743462438015712</v>
      </c>
      <c r="AB49" s="23">
        <f>EXP(-LN(2)/2)*AB48+(1-EXP(-LN(2)/2))/(LN(2)/2)*V49*Y49*VLOOKUP('Données projet'!$B$9,Paramètres!$A$1:$I$88,3,0)*0.475*44/12</f>
        <v>6.8393146483405562</v>
      </c>
      <c r="AC49" s="24">
        <f t="shared" si="3"/>
        <v>45.536713435816324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10.5</v>
      </c>
      <c r="AI49" s="14">
        <f>IF('Données projet'!$A$62&gt;35,AI48+AH49-AQ48,IF(A49&lt;'Données projet'!$A$62,$AF$205^A49,IF(A49='Données projet'!$A$62,'Données projet'!$B$62,AI48+AH49-AQ48)))</f>
        <v>253</v>
      </c>
      <c r="AJ49" s="14">
        <f>AI49*VLOOKUP('Données projet'!$B$10,Paramètres!$A$1:$I$88,3,0)*VLOOKUP('Données projet'!$B$10,Paramètres!$A$1:$I$88,5,0)</f>
        <v>118.404</v>
      </c>
      <c r="AK49" s="14">
        <f t="shared" si="35"/>
        <v>31.302468930496392</v>
      </c>
      <c r="AL49" s="22">
        <f t="shared" si="4"/>
        <v>260.73876672061448</v>
      </c>
      <c r="AM49" s="60">
        <f t="shared" si="5"/>
        <v>554.07210005394779</v>
      </c>
      <c r="AN49" s="60">
        <f ca="1">AVERAGE(OFFSET($AM$3,0,0,'Données projet'!$E$10+1,1))-AVERAGE(OFFSET($H$3,0,0,'Données projet'!$E$10+1,1))</f>
        <v>147.1675182177155</v>
      </c>
      <c r="AO49" s="60">
        <f t="shared" si="36"/>
        <v>115.86489547584461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2.4256142976500423</v>
      </c>
      <c r="AV49" s="23">
        <f>EXP(-LN(2)/25)*AV48+(1-EXP(-LN(2)/25))/(LN(2)/25)*Calculateur!AQ49*Calculateur!AS49*VLOOKUP('Données projet'!$B$10,Paramètres!$A$1:$I$88,3,0)*0.475*44/12</f>
        <v>10.04968173087785</v>
      </c>
      <c r="AW49" s="23">
        <f>EXP(-LN(2)/2)*AW48+(1-EXP(-LN(2)/2))/(LN(2)/2)*AQ49*AT49*VLOOKUP('Données projet'!$B$10,Paramètres!$A$1:$I$88,3,0)*0.475*44/12</f>
        <v>0.96902667299951384</v>
      </c>
      <c r="AX49" s="23">
        <f t="shared" si="6"/>
        <v>13.444322701527406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98.599999999999923</v>
      </c>
      <c r="BE49" s="14">
        <f>BD49*VLOOKUP('Données projet'!$B$11,Paramètres!$A$1:$I$88,3,0)*VLOOKUP('Données projet'!$B$11,Paramètres!$A$1:$I$88,5,0)</f>
        <v>99.980399999999918</v>
      </c>
      <c r="BF49" s="14">
        <f t="shared" si="37"/>
        <v>26.957328065359349</v>
      </c>
      <c r="BG49" s="22">
        <f t="shared" si="7"/>
        <v>221.08320971383401</v>
      </c>
      <c r="BH49" s="60">
        <f t="shared" si="8"/>
        <v>514.41654304716735</v>
      </c>
      <c r="BI49" s="60">
        <f ca="1">AVERAGE(OFFSET($BH$3,0,0,'Données projet'!$E$11+1,1))-AVERAGE(OFFSET($H$3,0,0,'Données projet'!$E$11+1,1))</f>
        <v>166.48525819448878</v>
      </c>
      <c r="BJ49" s="60">
        <f t="shared" si="38"/>
        <v>61.876502626609977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2.5215676383489098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2.5215676383489098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0" t="e">
        <f t="shared" si="11"/>
        <v>#N/A</v>
      </c>
      <c r="CD49" s="60" t="e">
        <f ca="1">AVERAGE(OFFSET($CC$3,0,0,'Données projet'!$E$12+1,1))-AVERAGE(OFFSET($H$3,0,0,'Données projet'!$E$12+1,1))</f>
        <v>#N/A</v>
      </c>
      <c r="CE49" s="60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0" t="e">
        <f t="shared" si="14"/>
        <v>#N/A</v>
      </c>
      <c r="CY49" s="60" t="e">
        <f ca="1">AVERAGE(OFFSET($CX$3,0,0,'Données projet'!$E$13+1,1))-AVERAGE(OFFSET($H$3,0,0,'Données projet'!$E$13+1,1))</f>
        <v>#N/A</v>
      </c>
      <c r="CZ49" s="60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14.4</v>
      </c>
      <c r="N50" s="14">
        <f>IF('Données projet'!$A$36&gt;35,N49+M50-V49,IF(A50&lt;'Données projet'!$A$36,$K$205^A50,IF(A50='Données projet'!$A$36,'Données projet'!$B$36,N49+M50-V49)))</f>
        <v>315.79999999999978</v>
      </c>
      <c r="O50" s="14">
        <f>N50*VLOOKUP('Données projet'!$B$9,Paramètres!$A$1:$I$88,3,0)*VLOOKUP('Données projet'!$B$9,Paramètres!$A$1:$I$88,5,0)</f>
        <v>188.84839999999988</v>
      </c>
      <c r="P50" s="14">
        <f t="shared" si="33"/>
        <v>47.285260426836061</v>
      </c>
      <c r="Q50" s="22">
        <f t="shared" si="53"/>
        <v>411.26612524340595</v>
      </c>
      <c r="R50" s="60">
        <f t="shared" si="0"/>
        <v>704.59945857673927</v>
      </c>
      <c r="S50" s="60">
        <f ca="1">AVERAGE(OFFSET($R$3,0,0,'Données projet'!$E$9+1,1))-AVERAGE(OFFSET($H$3,0,0,'Données projet'!$E$9+1,1))</f>
        <v>222.57099967987045</v>
      </c>
      <c r="T50" s="60">
        <f t="shared" si="34"/>
        <v>221.49027090502796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10.739136338888603</v>
      </c>
      <c r="AA50" s="23">
        <f>EXP(-LN(2)/25)*AA49+(1-EXP(-LN(2)/25))/(LN(2)/25)*Calculateur!V50*Calculateur!X50*VLOOKUP('Données projet'!$B$9,Paramètres!$A$1:$I$88,3,0)*0.475*44/12</f>
        <v>26.98481599868289</v>
      </c>
      <c r="AB50" s="23">
        <f>EXP(-LN(2)/2)*AB49+(1-EXP(-LN(2)/2))/(LN(2)/2)*V50*Y50*VLOOKUP('Données projet'!$B$9,Paramètres!$A$1:$I$88,3,0)*0.475*44/12</f>
        <v>4.8361257665100954</v>
      </c>
      <c r="AC50" s="24">
        <f t="shared" si="3"/>
        <v>42.560078104081583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10.5</v>
      </c>
      <c r="AI50" s="14">
        <f>IF('Données projet'!$A$62&gt;35,AI49+AH50-AQ49,IF(A50&lt;'Données projet'!$A$62,$AF$205^A50,IF(A50='Données projet'!$A$62,'Données projet'!$B$62,AI49+AH50-AQ49)))</f>
        <v>263.5</v>
      </c>
      <c r="AJ50" s="14">
        <f>AI50*VLOOKUP('Données projet'!$B$10,Paramètres!$A$1:$I$88,3,0)*VLOOKUP('Données projet'!$B$10,Paramètres!$A$1:$I$88,5,0)</f>
        <v>123.318</v>
      </c>
      <c r="AK50" s="14">
        <f t="shared" si="35"/>
        <v>32.44763560269552</v>
      </c>
      <c r="AL50" s="22">
        <f t="shared" si="4"/>
        <v>271.29181534136131</v>
      </c>
      <c r="AM50" s="60">
        <f t="shared" si="5"/>
        <v>564.62514867469463</v>
      </c>
      <c r="AN50" s="60">
        <f ca="1">AVERAGE(OFFSET($AM$3,0,0,'Données projet'!$E$10+1,1))-AVERAGE(OFFSET($H$3,0,0,'Données projet'!$E$10+1,1))</f>
        <v>147.1675182177155</v>
      </c>
      <c r="AO50" s="60">
        <f t="shared" si="36"/>
        <v>115.86489547584461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2.37804948075176</v>
      </c>
      <c r="AV50" s="23">
        <f>EXP(-LN(2)/25)*AV49+(1-EXP(-LN(2)/25))/(LN(2)/25)*Calculateur!AQ50*Calculateur!AS50*VLOOKUP('Données projet'!$B$10,Paramètres!$A$1:$I$88,3,0)*0.475*44/12</f>
        <v>9.7748726554572016</v>
      </c>
      <c r="AW50" s="23">
        <f>EXP(-LN(2)/2)*AW49+(1-EXP(-LN(2)/2))/(LN(2)/2)*AQ50*AT50*VLOOKUP('Données projet'!$B$10,Paramètres!$A$1:$I$88,3,0)*0.475*44/12</f>
        <v>0.68520533162859543</v>
      </c>
      <c r="AX50" s="23">
        <f t="shared" si="6"/>
        <v>12.838127467837555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104.19999999999992</v>
      </c>
      <c r="BE50" s="14">
        <f>BD50*VLOOKUP('Données projet'!$B$11,Paramètres!$A$1:$I$88,3,0)*VLOOKUP('Données projet'!$B$11,Paramètres!$A$1:$I$88,5,0)</f>
        <v>105.65879999999991</v>
      </c>
      <c r="BF50" s="14">
        <f t="shared" si="37"/>
        <v>28.305779445097851</v>
      </c>
      <c r="BG50" s="22">
        <f t="shared" si="7"/>
        <v>233.32164253354526</v>
      </c>
      <c r="BH50" s="60">
        <f t="shared" si="8"/>
        <v>526.65497586687854</v>
      </c>
      <c r="BI50" s="60">
        <f ca="1">AVERAGE(OFFSET($BH$3,0,0,'Données projet'!$E$11+1,1))-AVERAGE(OFFSET($H$3,0,0,'Données projet'!$E$11+1,1))</f>
        <v>166.48525819448878</v>
      </c>
      <c r="BJ50" s="60">
        <f t="shared" si="38"/>
        <v>61.876502626609977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2.4721212349652819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2.4721212349652819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0" t="e">
        <f t="shared" si="11"/>
        <v>#N/A</v>
      </c>
      <c r="CD50" s="60" t="e">
        <f ca="1">AVERAGE(OFFSET($CC$3,0,0,'Données projet'!$E$12+1,1))-AVERAGE(OFFSET($H$3,0,0,'Données projet'!$E$12+1,1))</f>
        <v>#N/A</v>
      </c>
      <c r="CE50" s="60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0" t="e">
        <f t="shared" si="14"/>
        <v>#N/A</v>
      </c>
      <c r="CY50" s="60" t="e">
        <f ca="1">AVERAGE(OFFSET($CX$3,0,0,'Données projet'!$E$13+1,1))-AVERAGE(OFFSET($H$3,0,0,'Données projet'!$E$13+1,1))</f>
        <v>#N/A</v>
      </c>
      <c r="CZ50" s="60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14.4</v>
      </c>
      <c r="N51" s="14">
        <f>IF('Données projet'!$A$36&gt;35,N50+M51-V50,IF(A51&lt;'Données projet'!$A$36,$K$205^A51,IF(A51='Données projet'!$A$36,'Données projet'!$B$36,N50+M51-V50)))</f>
        <v>330.19999999999976</v>
      </c>
      <c r="O51" s="14">
        <f>N51*VLOOKUP('Données projet'!$B$9,Paramètres!$A$1:$I$88,3,0)*VLOOKUP('Données projet'!$B$9,Paramètres!$A$1:$I$88,5,0)</f>
        <v>197.45959999999988</v>
      </c>
      <c r="P51" s="14">
        <f t="shared" si="33"/>
        <v>49.18545000243541</v>
      </c>
      <c r="Q51" s="22">
        <f t="shared" si="53"/>
        <v>429.5734620875748</v>
      </c>
      <c r="R51" s="60">
        <f t="shared" si="0"/>
        <v>722.90679542090811</v>
      </c>
      <c r="S51" s="60">
        <f ca="1">AVERAGE(OFFSET($R$3,0,0,'Données projet'!$E$9+1,1))-AVERAGE(OFFSET($H$3,0,0,'Données projet'!$E$9+1,1))</f>
        <v>222.57099967987045</v>
      </c>
      <c r="T51" s="60">
        <f t="shared" si="34"/>
        <v>221.49027090502796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10.528548425509383</v>
      </c>
      <c r="AA51" s="23">
        <f>EXP(-LN(2)/25)*AA50+(1-EXP(-LN(2)/25))/(LN(2)/25)*Calculateur!V51*Calculateur!X51*VLOOKUP('Données projet'!$B$9,Paramètres!$A$1:$I$88,3,0)*0.475*44/12</f>
        <v>26.246914786129107</v>
      </c>
      <c r="AB51" s="23">
        <f>EXP(-LN(2)/2)*AB50+(1-EXP(-LN(2)/2))/(LN(2)/2)*V51*Y51*VLOOKUP('Données projet'!$B$9,Paramètres!$A$1:$I$88,3,0)*0.475*44/12</f>
        <v>3.4196573241702786</v>
      </c>
      <c r="AC51" s="24">
        <f t="shared" si="3"/>
        <v>40.195120535808769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10.5</v>
      </c>
      <c r="AI51" s="14">
        <f>IF('Données projet'!$A$62&gt;35,AI50+AH51-AQ50,IF(A51&lt;'Données projet'!$A$62,$AF$205^A51,IF(A51='Données projet'!$A$62,'Données projet'!$B$62,AI50+AH51-AQ50)))</f>
        <v>274</v>
      </c>
      <c r="AJ51" s="14">
        <f>AI51*VLOOKUP('Données projet'!$B$10,Paramètres!$A$1:$I$88,3,0)*VLOOKUP('Données projet'!$B$10,Paramètres!$A$1:$I$88,5,0)</f>
        <v>128.232</v>
      </c>
      <c r="AK51" s="14">
        <f t="shared" si="35"/>
        <v>33.587501431737927</v>
      </c>
      <c r="AL51" s="22">
        <f t="shared" si="4"/>
        <v>281.83563166027687</v>
      </c>
      <c r="AM51" s="60">
        <f t="shared" si="5"/>
        <v>575.16896499361019</v>
      </c>
      <c r="AN51" s="60">
        <f ca="1">AVERAGE(OFFSET($AM$3,0,0,'Données projet'!$E$10+1,1))-AVERAGE(OFFSET($H$3,0,0,'Données projet'!$E$10+1,1))</f>
        <v>147.1675182177155</v>
      </c>
      <c r="AO51" s="60">
        <f t="shared" si="36"/>
        <v>115.86489547584461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2.3314173809011796</v>
      </c>
      <c r="AV51" s="23">
        <f>EXP(-LN(2)/25)*AV50+(1-EXP(-LN(2)/25))/(LN(2)/25)*Calculateur!AQ51*Calculateur!AS51*VLOOKUP('Données projet'!$B$10,Paramètres!$A$1:$I$88,3,0)*0.475*44/12</f>
        <v>9.5075782486555127</v>
      </c>
      <c r="AW51" s="23">
        <f>EXP(-LN(2)/2)*AW50+(1-EXP(-LN(2)/2))/(LN(2)/2)*AQ51*AT51*VLOOKUP('Données projet'!$B$10,Paramètres!$A$1:$I$88,3,0)*0.475*44/12</f>
        <v>0.48451333649975697</v>
      </c>
      <c r="AX51" s="23">
        <f t="shared" si="6"/>
        <v>12.323508966056449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109.79999999999991</v>
      </c>
      <c r="BE51" s="14">
        <f>BD51*VLOOKUP('Données projet'!$B$11,Paramètres!$A$1:$I$88,3,0)*VLOOKUP('Données projet'!$B$11,Paramètres!$A$1:$I$88,5,0)</f>
        <v>111.33719999999992</v>
      </c>
      <c r="BF51" s="14">
        <f t="shared" si="37"/>
        <v>29.645817422905317</v>
      </c>
      <c r="BG51" s="22">
        <f t="shared" si="7"/>
        <v>245.54542201155996</v>
      </c>
      <c r="BH51" s="60">
        <f t="shared" si="8"/>
        <v>538.87875534489331</v>
      </c>
      <c r="BI51" s="60">
        <f ca="1">AVERAGE(OFFSET($BH$3,0,0,'Données projet'!$E$11+1,1))-AVERAGE(OFFSET($H$3,0,0,'Données projet'!$E$11+1,1))</f>
        <v>166.48525819448878</v>
      </c>
      <c r="BJ51" s="60">
        <f t="shared" si="38"/>
        <v>61.876502626609977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2.4236444453926786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2.4236444453926786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0" t="e">
        <f t="shared" si="11"/>
        <v>#N/A</v>
      </c>
      <c r="CD51" s="60" t="e">
        <f ca="1">AVERAGE(OFFSET($CC$3,0,0,'Données projet'!$E$12+1,1))-AVERAGE(OFFSET($H$3,0,0,'Données projet'!$E$12+1,1))</f>
        <v>#N/A</v>
      </c>
      <c r="CE51" s="60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0" t="e">
        <f t="shared" si="14"/>
        <v>#N/A</v>
      </c>
      <c r="CY51" s="60" t="e">
        <f ca="1">AVERAGE(OFFSET($CX$3,0,0,'Données projet'!$E$13+1,1))-AVERAGE(OFFSET($H$3,0,0,'Données projet'!$E$13+1,1))</f>
        <v>#N/A</v>
      </c>
      <c r="CZ51" s="60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14.4</v>
      </c>
      <c r="N52" s="14">
        <f>IF('Données projet'!$A$36&gt;35,N51+M52-V51,IF(A52&lt;'Données projet'!$A$36,$K$205^A52,IF(A52='Données projet'!$A$36,'Données projet'!$B$36,N51+M52-V51)))</f>
        <v>344.59999999999974</v>
      </c>
      <c r="O52" s="14">
        <f>N52*VLOOKUP('Données projet'!$B$9,Paramètres!$A$1:$I$88,3,0)*VLOOKUP('Données projet'!$B$9,Paramètres!$A$1:$I$88,5,0)</f>
        <v>206.07079999999985</v>
      </c>
      <c r="P52" s="14">
        <f t="shared" si="33"/>
        <v>51.076015061754525</v>
      </c>
      <c r="Q52" s="22">
        <f t="shared" si="53"/>
        <v>447.86403623255546</v>
      </c>
      <c r="R52" s="60">
        <f t="shared" si="0"/>
        <v>741.19736956588872</v>
      </c>
      <c r="S52" s="60">
        <f ca="1">AVERAGE(OFFSET($R$3,0,0,'Données projet'!$E$9+1,1))-AVERAGE(OFFSET($H$3,0,0,'Données projet'!$E$9+1,1))</f>
        <v>222.57099967987045</v>
      </c>
      <c r="T52" s="60">
        <f t="shared" si="34"/>
        <v>221.49027090502796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10.322090012665585</v>
      </c>
      <c r="AA52" s="23">
        <f>EXP(-LN(2)/25)*AA51+(1-EXP(-LN(2)/25))/(LN(2)/25)*Calculateur!V52*Calculateur!X52*VLOOKUP('Données projet'!$B$9,Paramètres!$A$1:$I$88,3,0)*0.475*44/12</f>
        <v>25.529191521037145</v>
      </c>
      <c r="AB52" s="23">
        <f>EXP(-LN(2)/2)*AB51+(1-EXP(-LN(2)/2))/(LN(2)/2)*V52*Y52*VLOOKUP('Données projet'!$B$9,Paramètres!$A$1:$I$88,3,0)*0.475*44/12</f>
        <v>2.4180628832550481</v>
      </c>
      <c r="AC52" s="24">
        <f t="shared" si="3"/>
        <v>38.269344416957779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10.5</v>
      </c>
      <c r="AI52" s="14">
        <f>IF('Données projet'!$A$62&gt;35,AI51+AH52-AQ51,IF(A52&lt;'Données projet'!$A$62,$AF$205^A52,IF(A52='Données projet'!$A$62,'Données projet'!$B$62,AI51+AH52-AQ51)))</f>
        <v>284.5</v>
      </c>
      <c r="AJ52" s="14">
        <f>AI52*VLOOKUP('Données projet'!$B$10,Paramètres!$A$1:$I$88,3,0)*VLOOKUP('Données projet'!$B$10,Paramètres!$A$1:$I$88,5,0)</f>
        <v>133.14600000000002</v>
      </c>
      <c r="AK52" s="14">
        <f t="shared" si="35"/>
        <v>34.722292804767527</v>
      </c>
      <c r="AL52" s="22">
        <f t="shared" si="4"/>
        <v>292.37060996830348</v>
      </c>
      <c r="AM52" s="60">
        <f t="shared" si="5"/>
        <v>585.70394330163685</v>
      </c>
      <c r="AN52" s="60">
        <f ca="1">AVERAGE(OFFSET($AM$3,0,0,'Données projet'!$E$10+1,1))-AVERAGE(OFFSET($H$3,0,0,'Données projet'!$E$10+1,1))</f>
        <v>147.1675182177155</v>
      </c>
      <c r="AO52" s="60">
        <f t="shared" si="36"/>
        <v>115.86489547584461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2.2856997080858967</v>
      </c>
      <c r="AV52" s="23">
        <f>EXP(-LN(2)/25)*AV51+(1-EXP(-LN(2)/25))/(LN(2)/25)*Calculateur!AQ52*Calculateur!AS52*VLOOKUP('Données projet'!$B$10,Paramètres!$A$1:$I$88,3,0)*0.475*44/12</f>
        <v>9.2475930214642172</v>
      </c>
      <c r="AW52" s="23">
        <f>EXP(-LN(2)/2)*AW51+(1-EXP(-LN(2)/2))/(LN(2)/2)*AQ52*AT52*VLOOKUP('Données projet'!$B$10,Paramètres!$A$1:$I$88,3,0)*0.475*44/12</f>
        <v>0.34260266581429777</v>
      </c>
      <c r="AX52" s="23">
        <f t="shared" si="6"/>
        <v>11.875895395364411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115.39999999999991</v>
      </c>
      <c r="BE52" s="14">
        <f>BD52*VLOOKUP('Données projet'!$B$11,Paramètres!$A$1:$I$88,3,0)*VLOOKUP('Données projet'!$B$11,Paramètres!$A$1:$I$88,5,0)</f>
        <v>117.01559999999992</v>
      </c>
      <c r="BF52" s="14">
        <f t="shared" si="37"/>
        <v>30.977920050269763</v>
      </c>
      <c r="BG52" s="22">
        <f t="shared" si="7"/>
        <v>257.75538075421969</v>
      </c>
      <c r="BH52" s="60">
        <f t="shared" si="8"/>
        <v>551.08871408755294</v>
      </c>
      <c r="BI52" s="60">
        <f ca="1">AVERAGE(OFFSET($BH$3,0,0,'Données projet'!$E$11+1,1))-AVERAGE(OFFSET($H$3,0,0,'Données projet'!$E$11+1,1))</f>
        <v>166.48525819448878</v>
      </c>
      <c r="BJ52" s="60">
        <f t="shared" si="38"/>
        <v>61.876502626609977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2.3761182560956722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2.3761182560956722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0" t="e">
        <f t="shared" si="11"/>
        <v>#N/A</v>
      </c>
      <c r="CD52" s="60" t="e">
        <f ca="1">AVERAGE(OFFSET($CC$3,0,0,'Données projet'!$E$12+1,1))-AVERAGE(OFFSET($H$3,0,0,'Données projet'!$E$12+1,1))</f>
        <v>#N/A</v>
      </c>
      <c r="CE52" s="60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0" t="e">
        <f t="shared" si="14"/>
        <v>#N/A</v>
      </c>
      <c r="CY52" s="60" t="e">
        <f ca="1">AVERAGE(OFFSET($CX$3,0,0,'Données projet'!$E$13+1,1))-AVERAGE(OFFSET($H$3,0,0,'Données projet'!$E$13+1,1))</f>
        <v>#N/A</v>
      </c>
      <c r="CZ52" s="60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359</v>
      </c>
      <c r="L53" s="13">
        <f>VLOOKUP(A53,'Données projet'!$A$35:$I$55,9,0)</f>
        <v>14.4</v>
      </c>
      <c r="M53" s="13">
        <f t="array" ref="M53">INDEX(L:L,MIN(IF(ISNUMBER(L53:L249),ROW(L53:L249),"")))</f>
        <v>14.4</v>
      </c>
      <c r="N53" s="14">
        <f>IF('Données projet'!$A$36&gt;35,N52+M53-V52,IF(A53&lt;'Données projet'!$A$36,$K$205^A53,IF(A53='Données projet'!$A$36,'Données projet'!$B$36,N52+M53-V52)))</f>
        <v>358.99999999999972</v>
      </c>
      <c r="O53" s="14">
        <f>N53*VLOOKUP('Données projet'!$B$9,Paramètres!$A$1:$I$88,3,0)*VLOOKUP('Données projet'!$B$9,Paramètres!$A$1:$I$88,5,0)</f>
        <v>214.68199999999985</v>
      </c>
      <c r="P53" s="14">
        <f t="shared" si="33"/>
        <v>52.957403780225071</v>
      </c>
      <c r="Q53" s="22">
        <f t="shared" si="53"/>
        <v>466.13862825055838</v>
      </c>
      <c r="R53" s="60">
        <f t="shared" si="0"/>
        <v>759.4719615838917</v>
      </c>
      <c r="S53" s="60">
        <f ca="1">AVERAGE(OFFSET($R$3,0,0,'Données projet'!$E$9+1,1))-AVERAGE(OFFSET($H$3,0,0,'Données projet'!$E$9+1,1))</f>
        <v>222.57099967987045</v>
      </c>
      <c r="T53" s="60">
        <f t="shared" si="34"/>
        <v>221.49027090502796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40</v>
      </c>
      <c r="W53" s="17">
        <f>IF(ISNA(VLOOKUP(A53,'Données projet'!$A$35:$I$55,5,0)),0%,VLOOKUP(A53,'Données projet'!$A$35:$I$55,5,0)*VLOOKUP('Données projet'!$B$9,Paramètres!$A$1:$I$88,7,0))</f>
        <v>0.18000000000000002</v>
      </c>
      <c r="X53" s="17">
        <f>IF(ISNA(VLOOKUP(A53,'Données projet'!$A$35:$I$55,6,0)),0%,VLOOKUP(A53,'Données projet'!$A$35:$I$55,6,0)*VLOOKUP('Données projet'!$B$9,Paramètres!$A$1:$I$88,7,0))</f>
        <v>0.1512</v>
      </c>
      <c r="Y53" s="17">
        <f>IF(ISNA(VLOOKUP(A53,'Données projet'!$A$35:$I$55,7,0)),0%,VLOOKUP(A53,'Données projet'!$A$35:$I$55,7,0))</f>
        <v>0.26400000000000001</v>
      </c>
      <c r="Z53" s="23">
        <f>EXP(-LN(2)/35)*Z52+(1-EXP(-LN(2)/35))/(LN(2)/35)*V53*W53*VLOOKUP('Données projet'!$B$9,Paramètres!$A$1:$I$88,3,0)*0.475*44/12</f>
        <v>15.831336042710941</v>
      </c>
      <c r="AA53" s="23">
        <f>EXP(-LN(2)/25)*AA52+(1-EXP(-LN(2)/25))/(LN(2)/25)*Calculateur!V53*Calculateur!X53*VLOOKUP('Données projet'!$B$9,Paramètres!$A$1:$I$88,3,0)*0.475*44/12</f>
        <v>29.609994677459142</v>
      </c>
      <c r="AB53" s="23">
        <f>EXP(-LN(2)/2)*AB52+(1-EXP(-LN(2)/2))/(LN(2)/2)*V53*Y53*VLOOKUP('Données projet'!$B$9,Paramètres!$A$1:$I$88,3,0)*0.475*44/12</f>
        <v>8.8597397530890696</v>
      </c>
      <c r="AC53" s="24">
        <f t="shared" si="3"/>
        <v>54.301070473259159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295</v>
      </c>
      <c r="AG53" s="13">
        <f>VLOOKUP(A53,'Données projet'!$A$61:$I$81,9,0)</f>
        <v>10.5</v>
      </c>
      <c r="AH53" s="13">
        <f t="array" ref="AH53">INDEX(AG:AG,MIN(IF(ISNUMBER(AG53:AG249),ROW(AG53:AG249),"")))</f>
        <v>10.5</v>
      </c>
      <c r="AI53" s="14">
        <f>IF('Données projet'!$A$62&gt;35,AI52+AH53-AQ52,IF(A53&lt;'Données projet'!$A$62,$AF$205^A53,IF(A53='Données projet'!$A$62,'Données projet'!$B$62,AI52+AH53-AQ52)))</f>
        <v>295</v>
      </c>
      <c r="AJ53" s="14">
        <f>AI53*VLOOKUP('Données projet'!$B$10,Paramètres!$A$1:$I$88,3,0)*VLOOKUP('Données projet'!$B$10,Paramètres!$A$1:$I$88,5,0)</f>
        <v>138.06</v>
      </c>
      <c r="AK53" s="14">
        <f t="shared" si="35"/>
        <v>35.852218451596926</v>
      </c>
      <c r="AL53" s="22">
        <f t="shared" si="4"/>
        <v>302.89711380319795</v>
      </c>
      <c r="AM53" s="60">
        <f t="shared" si="5"/>
        <v>596.23044713653121</v>
      </c>
      <c r="AN53" s="60">
        <f ca="1">AVERAGE(OFFSET($AM$3,0,0,'Données projet'!$E$10+1,1))-AVERAGE(OFFSET($H$3,0,0,'Données projet'!$E$10+1,1))</f>
        <v>147.1675182177155</v>
      </c>
      <c r="AO53" s="60">
        <f t="shared" si="36"/>
        <v>115.86489547584461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40</v>
      </c>
      <c r="AR53" s="17">
        <f>IF(ISNA(VLOOKUP(A53,'Données projet'!$A$61:$I$81,5,0)),0%,VLOOKUP(A53,'Données projet'!$A$61:$I$81,5,0)*VLOOKUP('Données projet'!$B$10,Paramètres!$A$1:$I$88,7,0))</f>
        <v>0.11000000000000001</v>
      </c>
      <c r="AS53" s="17">
        <f>IF(ISNA(VLOOKUP(A53,'Données projet'!$A$61:$I$81,6,0)),0%,VLOOKUP(A53,'Données projet'!$A$61:$I$81,6,0)*VLOOKUP('Données projet'!$B$10,Paramètres!$A$1:$I$88,7,0))</f>
        <v>0.24640000000000006</v>
      </c>
      <c r="AT53" s="17">
        <f>IF(ISNA(VLOOKUP(A53,'Données projet'!$A$61:$I$81,7,0)),0%,VLOOKUP(A53,'Données projet'!$A$61:$I$81,7,0))</f>
        <v>0.35200000000000004</v>
      </c>
      <c r="AU53" s="23">
        <f>EXP(-LN(2)/35)*AU52+(1-EXP(-LN(2)/35))/(LN(2)/35)*AQ53*AR53*VLOOKUP('Données projet'!$B$10,Paramètres!$A$1:$I$88,3,0)*0.475*44/12</f>
        <v>4.9725400575905958</v>
      </c>
      <c r="AV53" s="23">
        <f>EXP(-LN(2)/25)*AV52+(1-EXP(-LN(2)/25))/(LN(2)/25)*Calculateur!AQ53*Calculateur!AS53*VLOOKUP('Données projet'!$B$10,Paramètres!$A$1:$I$88,3,0)*0.475*44/12</f>
        <v>15.089546396962501</v>
      </c>
      <c r="AW53" s="23">
        <f>EXP(-LN(2)/2)*AW52+(1-EXP(-LN(2)/2))/(LN(2)/2)*AQ53*AT53*VLOOKUP('Données projet'!$B$10,Paramètres!$A$1:$I$88,3,0)*0.475*44/12</f>
        <v>7.7030334588626737</v>
      </c>
      <c r="AX53" s="23">
        <f t="shared" si="6"/>
        <v>27.76511991341577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</v>
      </c>
      <c r="BE53" s="14">
        <f>BD53*VLOOKUP('Données projet'!$B$11,Paramètres!$A$1:$I$88,3,0)*VLOOKUP('Données projet'!$B$11,Paramètres!$A$1:$I$88,5,0)</f>
        <v>122.6939999999999</v>
      </c>
      <c r="BF53" s="14">
        <f t="shared" si="37"/>
        <v>32.302516360650657</v>
      </c>
      <c r="BG53" s="22">
        <f t="shared" si="7"/>
        <v>269.95226599479969</v>
      </c>
      <c r="BH53" s="60">
        <f t="shared" si="8"/>
        <v>563.285599328133</v>
      </c>
      <c r="BI53" s="60">
        <f ca="1">AVERAGE(OFFSET($BH$3,0,0,'Données projet'!$E$11+1,1))-AVERAGE(OFFSET($H$3,0,0,'Données projet'!$E$11+1,1))</f>
        <v>166.48525819448878</v>
      </c>
      <c r="BJ53" s="60">
        <f t="shared" si="38"/>
        <v>61.876502626609977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projet'!$B$11,Paramètres!$A$1:$I$88,7,0))</f>
        <v>0.129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4.3539542448952862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4.3539542448952862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0" t="e">
        <f t="shared" si="11"/>
        <v>#N/A</v>
      </c>
      <c r="CD53" s="60" t="e">
        <f ca="1">AVERAGE(OFFSET($CC$3,0,0,'Données projet'!$E$12+1,1))-AVERAGE(OFFSET($H$3,0,0,'Données projet'!$E$12+1,1))</f>
        <v>#N/A</v>
      </c>
      <c r="CE53" s="60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0" t="e">
        <f t="shared" si="14"/>
        <v>#N/A</v>
      </c>
      <c r="CY53" s="60" t="e">
        <f ca="1">AVERAGE(OFFSET($CX$3,0,0,'Données projet'!$E$13+1,1))-AVERAGE(OFFSET($H$3,0,0,'Données projet'!$E$13+1,1))</f>
        <v>#N/A</v>
      </c>
      <c r="CZ53" s="60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13.2</v>
      </c>
      <c r="N54" s="14">
        <f>IF('Données projet'!$A$36&gt;35,N53+M54-V53,IF(A54&lt;'Données projet'!$A$36,$K$205^A54,IF(A54='Données projet'!$A$36,'Données projet'!$B$36,N53+M54-V53)))</f>
        <v>332.1999999999997</v>
      </c>
      <c r="O54" s="14">
        <f>N54*VLOOKUP('Données projet'!$B$9,Paramètres!$A$1:$I$88,3,0)*VLOOKUP('Données projet'!$B$9,Paramètres!$A$1:$I$88,5,0)</f>
        <v>198.65559999999985</v>
      </c>
      <c r="P54" s="14">
        <f t="shared" si="33"/>
        <v>49.448593416781478</v>
      </c>
      <c r="Q54" s="22">
        <f t="shared" si="53"/>
        <v>432.11480353422752</v>
      </c>
      <c r="R54" s="60">
        <f t="shared" si="0"/>
        <v>725.44813686756083</v>
      </c>
      <c r="S54" s="60">
        <f ca="1">AVERAGE(OFFSET($R$3,0,0,'Données projet'!$E$9+1,1))-AVERAGE(OFFSET($H$3,0,0,'Données projet'!$E$9+1,1))</f>
        <v>222.57099967987045</v>
      </c>
      <c r="T54" s="60">
        <f t="shared" si="34"/>
        <v>221.49027090502796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15.520893199074898</v>
      </c>
      <c r="AA54" s="23">
        <f>EXP(-LN(2)/25)*AA53+(1-EXP(-LN(2)/25))/(LN(2)/25)*Calculateur!V54*Calculateur!X54*VLOOKUP('Données projet'!$B$9,Paramètres!$A$1:$I$88,3,0)*0.475*44/12</f>
        <v>28.800307815882075</v>
      </c>
      <c r="AB54" s="23">
        <f>EXP(-LN(2)/2)*AB53+(1-EXP(-LN(2)/2))/(LN(2)/2)*V54*Y54*VLOOKUP('Données projet'!$B$9,Paramètres!$A$1:$I$88,3,0)*0.475*44/12</f>
        <v>6.2647820589573096</v>
      </c>
      <c r="AC54" s="24">
        <f t="shared" si="3"/>
        <v>50.585983073914278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10.5</v>
      </c>
      <c r="AI54" s="14">
        <f>IF('Données projet'!$A$62&gt;35,AI53+AH54-AQ53,IF(A54&lt;'Données projet'!$A$62,$AF$205^A54,IF(A54='Données projet'!$A$62,'Données projet'!$B$62,AI53+AH54-AQ53)))</f>
        <v>265.5</v>
      </c>
      <c r="AJ54" s="14">
        <f>AI54*VLOOKUP('Données projet'!$B$10,Paramètres!$A$1:$I$88,3,0)*VLOOKUP('Données projet'!$B$10,Paramètres!$A$1:$I$88,5,0)</f>
        <v>124.254</v>
      </c>
      <c r="AK54" s="14">
        <f t="shared" si="35"/>
        <v>32.665154397958723</v>
      </c>
      <c r="AL54" s="22">
        <f t="shared" si="4"/>
        <v>273.30086057644479</v>
      </c>
      <c r="AM54" s="60">
        <f t="shared" si="5"/>
        <v>566.63419390977811</v>
      </c>
      <c r="AN54" s="60">
        <f ca="1">AVERAGE(OFFSET($AM$3,0,0,'Données projet'!$E$10+1,1))-AVERAGE(OFFSET($H$3,0,0,'Données projet'!$E$10+1,1))</f>
        <v>147.1675182177155</v>
      </c>
      <c r="AO54" s="60">
        <f t="shared" si="36"/>
        <v>115.86489547584461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4.8750315800112007</v>
      </c>
      <c r="AV54" s="23">
        <f>EXP(-LN(2)/25)*AV53+(1-EXP(-LN(2)/25))/(LN(2)/25)*Calculateur!AQ54*Calculateur!AS54*VLOOKUP('Données projet'!$B$10,Paramètres!$A$1:$I$88,3,0)*0.475*44/12</f>
        <v>14.676921957212803</v>
      </c>
      <c r="AW54" s="23">
        <f>EXP(-LN(2)/2)*AW53+(1-EXP(-LN(2)/2))/(LN(2)/2)*AQ54*AT54*VLOOKUP('Données projet'!$B$10,Paramètres!$A$1:$I$88,3,0)*0.475*44/12</f>
        <v>5.4468671944686635</v>
      </c>
      <c r="AX54" s="23">
        <f t="shared" si="6"/>
        <v>24.998820731692668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112.59999999999989</v>
      </c>
      <c r="BE54" s="14">
        <f>BD54*VLOOKUP('Données projet'!$B$11,Paramètres!$A$1:$I$88,3,0)*VLOOKUP('Données projet'!$B$11,Paramètres!$A$1:$I$88,5,0)</f>
        <v>114.17639999999992</v>
      </c>
      <c r="BF54" s="14">
        <f t="shared" si="37"/>
        <v>30.312832781759973</v>
      </c>
      <c r="BG54" s="22">
        <f t="shared" si="7"/>
        <v>251.65208042823178</v>
      </c>
      <c r="BH54" s="60">
        <f t="shared" si="8"/>
        <v>544.98541376156504</v>
      </c>
      <c r="BI54" s="60">
        <f ca="1">AVERAGE(OFFSET($BH$3,0,0,'Données projet'!$E$11+1,1))-AVERAGE(OFFSET($H$3,0,0,'Données projet'!$E$11+1,1))</f>
        <v>166.48525819448878</v>
      </c>
      <c r="BJ54" s="60">
        <f t="shared" si="38"/>
        <v>61.876502626609977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4.2685758578027553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4.2685758578027553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0" t="e">
        <f t="shared" si="11"/>
        <v>#N/A</v>
      </c>
      <c r="CD54" s="60" t="e">
        <f ca="1">AVERAGE(OFFSET($CC$3,0,0,'Données projet'!$E$12+1,1))-AVERAGE(OFFSET($H$3,0,0,'Données projet'!$E$12+1,1))</f>
        <v>#N/A</v>
      </c>
      <c r="CE54" s="60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0" t="e">
        <f t="shared" si="14"/>
        <v>#N/A</v>
      </c>
      <c r="CY54" s="60" t="e">
        <f ca="1">AVERAGE(OFFSET($CX$3,0,0,'Données projet'!$E$13+1,1))-AVERAGE(OFFSET($H$3,0,0,'Données projet'!$E$13+1,1))</f>
        <v>#N/A</v>
      </c>
      <c r="CZ54" s="60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13.2</v>
      </c>
      <c r="N55" s="14">
        <f>IF('Données projet'!$A$36&gt;35,N54+M55-V54,IF(A55&lt;'Données projet'!$A$36,$K$205^A55,IF(A55='Données projet'!$A$36,'Données projet'!$B$36,N54+M55-V54)))</f>
        <v>345.39999999999969</v>
      </c>
      <c r="O55" s="14">
        <f>N55*VLOOKUP('Données projet'!$B$9,Paramètres!$A$1:$I$88,3,0)*VLOOKUP('Données projet'!$B$9,Paramètres!$A$1:$I$88,5,0)</f>
        <v>206.54919999999984</v>
      </c>
      <c r="P55" s="14">
        <f t="shared" si="33"/>
        <v>51.180773446917371</v>
      </c>
      <c r="Q55" s="22">
        <f t="shared" si="53"/>
        <v>448.87970375338074</v>
      </c>
      <c r="R55" s="60">
        <f t="shared" si="0"/>
        <v>742.21303708671405</v>
      </c>
      <c r="S55" s="60">
        <f ca="1">AVERAGE(OFFSET($R$3,0,0,'Données projet'!$E$9+1,1))-AVERAGE(OFFSET($H$3,0,0,'Données projet'!$E$9+1,1))</f>
        <v>222.57099967987045</v>
      </c>
      <c r="T55" s="60">
        <f t="shared" si="34"/>
        <v>221.49027090502796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15.216537950251121</v>
      </c>
      <c r="AA55" s="23">
        <f>EXP(-LN(2)/25)*AA54+(1-EXP(-LN(2)/25))/(LN(2)/25)*Calculateur!V55*Calculateur!X55*VLOOKUP('Données projet'!$B$9,Paramètres!$A$1:$I$88,3,0)*0.475*44/12</f>
        <v>28.012761884114415</v>
      </c>
      <c r="AB55" s="23">
        <f>EXP(-LN(2)/2)*AB54+(1-EXP(-LN(2)/2))/(LN(2)/2)*V55*Y55*VLOOKUP('Données projet'!$B$9,Paramètres!$A$1:$I$88,3,0)*0.475*44/12</f>
        <v>4.4298698765445357</v>
      </c>
      <c r="AC55" s="24">
        <f t="shared" si="3"/>
        <v>47.659169710910071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10.5</v>
      </c>
      <c r="AI55" s="14">
        <f>IF('Données projet'!$A$62&gt;35,AI54+AH55-AQ54,IF(A55&lt;'Données projet'!$A$62,$AF$205^A55,IF(A55='Données projet'!$A$62,'Données projet'!$B$62,AI54+AH55-AQ54)))</f>
        <v>276</v>
      </c>
      <c r="AJ55" s="14">
        <f>AI55*VLOOKUP('Données projet'!$B$10,Paramètres!$A$1:$I$88,3,0)*VLOOKUP('Données projet'!$B$10,Paramètres!$A$1:$I$88,5,0)</f>
        <v>129.16800000000001</v>
      </c>
      <c r="AK55" s="14">
        <f t="shared" si="35"/>
        <v>33.804036779774435</v>
      </c>
      <c r="AL55" s="22">
        <f t="shared" si="4"/>
        <v>283.84296405810716</v>
      </c>
      <c r="AM55" s="60">
        <f t="shared" si="5"/>
        <v>577.17629739144047</v>
      </c>
      <c r="AN55" s="60">
        <f ca="1">AVERAGE(OFFSET($AM$3,0,0,'Données projet'!$E$10+1,1))-AVERAGE(OFFSET($H$3,0,0,'Données projet'!$E$10+1,1))</f>
        <v>147.1675182177155</v>
      </c>
      <c r="AO55" s="60">
        <f t="shared" si="36"/>
        <v>115.86489547584461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4.7794351842028382</v>
      </c>
      <c r="AV55" s="23">
        <f>EXP(-LN(2)/25)*AV54+(1-EXP(-LN(2)/25))/(LN(2)/25)*Calculateur!AQ55*Calculateur!AS55*VLOOKUP('Données projet'!$B$10,Paramètres!$A$1:$I$88,3,0)*0.475*44/12</f>
        <v>14.275580754467038</v>
      </c>
      <c r="AW55" s="23">
        <f>EXP(-LN(2)/2)*AW54+(1-EXP(-LN(2)/2))/(LN(2)/2)*AQ55*AT55*VLOOKUP('Données projet'!$B$10,Paramètres!$A$1:$I$88,3,0)*0.475*44/12</f>
        <v>3.8515167294313377</v>
      </c>
      <c r="AX55" s="23">
        <f t="shared" si="6"/>
        <v>22.906532668101214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118.19999999999989</v>
      </c>
      <c r="BE55" s="14">
        <f>BD55*VLOOKUP('Données projet'!$B$11,Paramètres!$A$1:$I$88,3,0)*VLOOKUP('Données projet'!$B$11,Paramètres!$A$1:$I$88,5,0)</f>
        <v>119.85479999999988</v>
      </c>
      <c r="BF55" s="14">
        <f t="shared" si="37"/>
        <v>31.641131392625812</v>
      </c>
      <c r="BG55" s="22">
        <f t="shared" si="7"/>
        <v>263.85541384215639</v>
      </c>
      <c r="BH55" s="60">
        <f t="shared" si="8"/>
        <v>557.18874717548965</v>
      </c>
      <c r="BI55" s="60">
        <f ca="1">AVERAGE(OFFSET($BH$3,0,0,'Données projet'!$E$11+1,1))-AVERAGE(OFFSET($H$3,0,0,'Données projet'!$E$11+1,1))</f>
        <v>166.48525819448878</v>
      </c>
      <c r="BJ55" s="60">
        <f t="shared" si="38"/>
        <v>61.876502626609977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4.1848716888054351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4.1848716888054351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0" t="e">
        <f t="shared" si="11"/>
        <v>#N/A</v>
      </c>
      <c r="CD55" s="60" t="e">
        <f ca="1">AVERAGE(OFFSET($CC$3,0,0,'Données projet'!$E$12+1,1))-AVERAGE(OFFSET($H$3,0,0,'Données projet'!$E$12+1,1))</f>
        <v>#N/A</v>
      </c>
      <c r="CE55" s="60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0" t="e">
        <f t="shared" si="14"/>
        <v>#N/A</v>
      </c>
      <c r="CY55" s="60" t="e">
        <f ca="1">AVERAGE(OFFSET($CX$3,0,0,'Données projet'!$E$13+1,1))-AVERAGE(OFFSET($H$3,0,0,'Données projet'!$E$13+1,1))</f>
        <v>#N/A</v>
      </c>
      <c r="CZ55" s="60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13.2</v>
      </c>
      <c r="N56" s="14">
        <f>IF('Données projet'!$A$36&gt;35,N55+M56-V55,IF(A56&lt;'Données projet'!$A$36,$K$205^A56,IF(A56='Données projet'!$A$36,'Données projet'!$B$36,N55+M56-V55)))</f>
        <v>358.59999999999968</v>
      </c>
      <c r="O56" s="14">
        <f>N56*VLOOKUP('Données projet'!$B$9,Paramètres!$A$1:$I$88,3,0)*VLOOKUP('Données projet'!$B$9,Paramètres!$A$1:$I$88,5,0)</f>
        <v>214.44279999999981</v>
      </c>
      <c r="P56" s="14">
        <f t="shared" si="33"/>
        <v>52.905263170057076</v>
      </c>
      <c r="Q56" s="22">
        <f t="shared" si="53"/>
        <v>465.63121002118237</v>
      </c>
      <c r="R56" s="60">
        <f t="shared" si="0"/>
        <v>758.96454335451563</v>
      </c>
      <c r="S56" s="60">
        <f ca="1">AVERAGE(OFFSET($R$3,0,0,'Données projet'!$E$9+1,1))-AVERAGE(OFFSET($H$3,0,0,'Données projet'!$E$9+1,1))</f>
        <v>222.57099967987045</v>
      </c>
      <c r="T56" s="60">
        <f t="shared" si="34"/>
        <v>221.49027090502796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14.918150922218407</v>
      </c>
      <c r="AA56" s="23">
        <f>EXP(-LN(2)/25)*AA55+(1-EXP(-LN(2)/25))/(LN(2)/25)*Calculateur!V56*Calculateur!X56*VLOOKUP('Données projet'!$B$9,Paramètres!$A$1:$I$88,3,0)*0.475*44/12</f>
        <v>27.246751437266184</v>
      </c>
      <c r="AB56" s="23">
        <f>EXP(-LN(2)/2)*AB55+(1-EXP(-LN(2)/2))/(LN(2)/2)*V56*Y56*VLOOKUP('Données projet'!$B$9,Paramètres!$A$1:$I$88,3,0)*0.475*44/12</f>
        <v>3.1323910294786557</v>
      </c>
      <c r="AC56" s="24">
        <f t="shared" si="3"/>
        <v>45.297293388963247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10.5</v>
      </c>
      <c r="AI56" s="14">
        <f>IF('Données projet'!$A$62&gt;35,AI55+AH56-AQ55,IF(A56&lt;'Données projet'!$A$62,$AF$205^A56,IF(A56='Données projet'!$A$62,'Données projet'!$B$62,AI55+AH56-AQ55)))</f>
        <v>286.5</v>
      </c>
      <c r="AJ56" s="14">
        <f>AI56*VLOOKUP('Données projet'!$B$10,Paramètres!$A$1:$I$88,3,0)*VLOOKUP('Données projet'!$B$10,Paramètres!$A$1:$I$88,5,0)</f>
        <v>134.08199999999999</v>
      </c>
      <c r="AK56" s="14">
        <f t="shared" si="35"/>
        <v>34.937885760877087</v>
      </c>
      <c r="AL56" s="22">
        <f t="shared" si="4"/>
        <v>294.37630103352757</v>
      </c>
      <c r="AM56" s="60">
        <f t="shared" si="5"/>
        <v>587.70963436686088</v>
      </c>
      <c r="AN56" s="60">
        <f ca="1">AVERAGE(OFFSET($AM$3,0,0,'Données projet'!$E$10+1,1))-AVERAGE(OFFSET($H$3,0,0,'Données projet'!$E$10+1,1))</f>
        <v>147.1675182177155</v>
      </c>
      <c r="AO56" s="60">
        <f t="shared" si="36"/>
        <v>115.86489547584461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4.6857133754082341</v>
      </c>
      <c r="AV56" s="23">
        <f>EXP(-LN(2)/25)*AV55+(1-EXP(-LN(2)/25))/(LN(2)/25)*Calculateur!AQ56*Calculateur!AS56*VLOOKUP('Données projet'!$B$10,Paramètres!$A$1:$I$88,3,0)*0.475*44/12</f>
        <v>13.885214248015972</v>
      </c>
      <c r="AW56" s="23">
        <f>EXP(-LN(2)/2)*AW55+(1-EXP(-LN(2)/2))/(LN(2)/2)*AQ56*AT56*VLOOKUP('Données projet'!$B$10,Paramètres!$A$1:$I$88,3,0)*0.475*44/12</f>
        <v>2.7234335972343322</v>
      </c>
      <c r="AX56" s="23">
        <f t="shared" si="6"/>
        <v>21.294361220658537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123.79999999999988</v>
      </c>
      <c r="BE56" s="14">
        <f>BD56*VLOOKUP('Données projet'!$B$11,Paramètres!$A$1:$I$88,3,0)*VLOOKUP('Données projet'!$B$11,Paramètres!$A$1:$I$88,5,0)</f>
        <v>125.53319999999989</v>
      </c>
      <c r="BF56" s="14">
        <f t="shared" si="37"/>
        <v>32.962122082003106</v>
      </c>
      <c r="BG56" s="22">
        <f t="shared" si="7"/>
        <v>276.04601929282188</v>
      </c>
      <c r="BH56" s="60">
        <f t="shared" si="8"/>
        <v>569.3793526261552</v>
      </c>
      <c r="BI56" s="60">
        <f ca="1">AVERAGE(OFFSET($BH$3,0,0,'Données projet'!$E$11+1,1))-AVERAGE(OFFSET($H$3,0,0,'Données projet'!$E$11+1,1))</f>
        <v>166.48525819448878</v>
      </c>
      <c r="BJ56" s="60">
        <f t="shared" si="38"/>
        <v>61.876502626609977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4.1028089075076499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4.1028089075076499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0" t="e">
        <f t="shared" si="11"/>
        <v>#N/A</v>
      </c>
      <c r="CD56" s="60" t="e">
        <f ca="1">AVERAGE(OFFSET($CC$3,0,0,'Données projet'!$E$12+1,1))-AVERAGE(OFFSET($H$3,0,0,'Données projet'!$E$12+1,1))</f>
        <v>#N/A</v>
      </c>
      <c r="CE56" s="60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0" t="e">
        <f t="shared" si="14"/>
        <v>#N/A</v>
      </c>
      <c r="CY56" s="60" t="e">
        <f ca="1">AVERAGE(OFFSET($CX$3,0,0,'Données projet'!$E$13+1,1))-AVERAGE(OFFSET($H$3,0,0,'Données projet'!$E$13+1,1))</f>
        <v>#N/A</v>
      </c>
      <c r="CZ56" s="60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13.2</v>
      </c>
      <c r="N57" s="14">
        <f>IF('Données projet'!$A$36&gt;35,N56+M57-V56,IF(A57&lt;'Données projet'!$A$36,$K$205^A57,IF(A57='Données projet'!$A$36,'Données projet'!$B$36,N56+M57-V56)))</f>
        <v>371.79999999999967</v>
      </c>
      <c r="O57" s="14">
        <f>N57*VLOOKUP('Données projet'!$B$9,Paramètres!$A$1:$I$88,3,0)*VLOOKUP('Données projet'!$B$9,Paramètres!$A$1:$I$88,5,0)</f>
        <v>222.3363999999998</v>
      </c>
      <c r="P57" s="14">
        <f t="shared" si="33"/>
        <v>54.622378084246307</v>
      </c>
      <c r="Q57" s="22">
        <f t="shared" si="53"/>
        <v>482.36987183006198</v>
      </c>
      <c r="R57" s="60">
        <f t="shared" si="0"/>
        <v>775.7032051633953</v>
      </c>
      <c r="S57" s="60">
        <f ca="1">AVERAGE(OFFSET($R$3,0,0,'Données projet'!$E$9+1,1))-AVERAGE(OFFSET($H$3,0,0,'Données projet'!$E$9+1,1))</f>
        <v>222.57099967987045</v>
      </c>
      <c r="T57" s="60">
        <f t="shared" si="34"/>
        <v>221.49027090502796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14.625615081807299</v>
      </c>
      <c r="AA57" s="23">
        <f>EXP(-LN(2)/25)*AA56+(1-EXP(-LN(2)/25))/(LN(2)/25)*Calculateur!V57*Calculateur!X57*VLOOKUP('Données projet'!$B$9,Paramètres!$A$1:$I$88,3,0)*0.475*44/12</f>
        <v>26.501687586369755</v>
      </c>
      <c r="AB57" s="23">
        <f>EXP(-LN(2)/2)*AB56+(1-EXP(-LN(2)/2))/(LN(2)/2)*V57*Y57*VLOOKUP('Données projet'!$B$9,Paramètres!$A$1:$I$88,3,0)*0.475*44/12</f>
        <v>2.2149349382722683</v>
      </c>
      <c r="AC57" s="24">
        <f t="shared" si="3"/>
        <v>43.342237606449316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10.5</v>
      </c>
      <c r="AI57" s="14">
        <f>IF('Données projet'!$A$62&gt;35,AI56+AH57-AQ56,IF(A57&lt;'Données projet'!$A$62,$AF$205^A57,IF(A57='Données projet'!$A$62,'Données projet'!$B$62,AI56+AH57-AQ56)))</f>
        <v>297</v>
      </c>
      <c r="AJ57" s="14">
        <f>AI57*VLOOKUP('Données projet'!$B$10,Paramètres!$A$1:$I$88,3,0)*VLOOKUP('Données projet'!$B$10,Paramètres!$A$1:$I$88,5,0)</f>
        <v>138.99600000000001</v>
      </c>
      <c r="AK57" s="14">
        <f t="shared" si="35"/>
        <v>36.066906938767758</v>
      </c>
      <c r="AL57" s="22">
        <f t="shared" si="4"/>
        <v>304.90122958502047</v>
      </c>
      <c r="AM57" s="60">
        <f t="shared" si="5"/>
        <v>598.23456291835373</v>
      </c>
      <c r="AN57" s="60">
        <f ca="1">AVERAGE(OFFSET($AM$3,0,0,'Données projet'!$E$10+1,1))-AVERAGE(OFFSET($H$3,0,0,'Données projet'!$E$10+1,1))</f>
        <v>147.1675182177155</v>
      </c>
      <c r="AO57" s="60">
        <f t="shared" si="36"/>
        <v>115.86489547584461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4.5938293941194335</v>
      </c>
      <c r="AV57" s="23">
        <f>EXP(-LN(2)/25)*AV56+(1-EXP(-LN(2)/25))/(LN(2)/25)*Calculateur!AQ57*Calculateur!AS57*VLOOKUP('Données projet'!$B$10,Paramètres!$A$1:$I$88,3,0)*0.475*44/12</f>
        <v>13.505522334212293</v>
      </c>
      <c r="AW57" s="23">
        <f>EXP(-LN(2)/2)*AW56+(1-EXP(-LN(2)/2))/(LN(2)/2)*AQ57*AT57*VLOOKUP('Données projet'!$B$10,Paramètres!$A$1:$I$88,3,0)*0.475*44/12</f>
        <v>1.9257583647156691</v>
      </c>
      <c r="AX57" s="23">
        <f t="shared" si="6"/>
        <v>20.025110093047395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129.39999999999989</v>
      </c>
      <c r="BE57" s="14">
        <f>BD57*VLOOKUP('Données projet'!$B$11,Paramètres!$A$1:$I$88,3,0)*VLOOKUP('Données projet'!$B$11,Paramètres!$A$1:$I$88,5,0)</f>
        <v>131.21159999999989</v>
      </c>
      <c r="BF57" s="14">
        <f t="shared" si="37"/>
        <v>34.276173183172489</v>
      </c>
      <c r="BG57" s="22">
        <f t="shared" si="7"/>
        <v>288.22453829402519</v>
      </c>
      <c r="BH57" s="60">
        <f t="shared" si="8"/>
        <v>581.55787162735851</v>
      </c>
      <c r="BI57" s="60">
        <f ca="1">AVERAGE(OFFSET($BH$3,0,0,'Données projet'!$E$11+1,1))-AVERAGE(OFFSET($H$3,0,0,'Données projet'!$E$11+1,1))</f>
        <v>166.48525819448878</v>
      </c>
      <c r="BJ57" s="60">
        <f t="shared" si="38"/>
        <v>61.876502626609977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4.0223553272977606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4.0223553272977606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0" t="e">
        <f t="shared" si="11"/>
        <v>#N/A</v>
      </c>
      <c r="CD57" s="60" t="e">
        <f ca="1">AVERAGE(OFFSET($CC$3,0,0,'Données projet'!$E$12+1,1))-AVERAGE(OFFSET($H$3,0,0,'Données projet'!$E$12+1,1))</f>
        <v>#N/A</v>
      </c>
      <c r="CE57" s="60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0" t="e">
        <f t="shared" si="14"/>
        <v>#N/A</v>
      </c>
      <c r="CY57" s="60" t="e">
        <f ca="1">AVERAGE(OFFSET($CX$3,0,0,'Données projet'!$E$13+1,1))-AVERAGE(OFFSET($H$3,0,0,'Données projet'!$E$13+1,1))</f>
        <v>#N/A</v>
      </c>
      <c r="CZ57" s="60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385</v>
      </c>
      <c r="L58" s="13">
        <f>VLOOKUP(A58,'Données projet'!$A$35:$I$55,9,0)</f>
        <v>13.2</v>
      </c>
      <c r="M58" s="13">
        <f t="array" ref="M58">INDEX(L:L,MIN(IF(ISNUMBER(L58:L254),ROW(L58:L254),"")))</f>
        <v>13.2</v>
      </c>
      <c r="N58" s="14">
        <f>IF('Données projet'!$A$36&gt;35,N57+M58-V57,IF(A58&lt;'Données projet'!$A$36,$K$205^A58,IF(A58='Données projet'!$A$36,'Données projet'!$B$36,N57+M58-V57)))</f>
        <v>384.99999999999966</v>
      </c>
      <c r="O58" s="14">
        <f>N58*VLOOKUP('Données projet'!$B$9,Paramètres!$A$1:$I$88,3,0)*VLOOKUP('Données projet'!$B$9,Paramètres!$A$1:$I$88,5,0)</f>
        <v>230.22999999999982</v>
      </c>
      <c r="P58" s="14">
        <f t="shared" si="33"/>
        <v>56.33241001525225</v>
      </c>
      <c r="Q58" s="22">
        <f t="shared" si="53"/>
        <v>499.09619744323066</v>
      </c>
      <c r="R58" s="60">
        <f t="shared" si="0"/>
        <v>792.42953077656398</v>
      </c>
      <c r="S58" s="60">
        <f ca="1">AVERAGE(OFFSET($R$3,0,0,'Données projet'!$E$9+1,1))-AVERAGE(OFFSET($H$3,0,0,'Données projet'!$E$9+1,1))</f>
        <v>222.57099967987045</v>
      </c>
      <c r="T58" s="60">
        <f t="shared" si="34"/>
        <v>221.49027090502796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34</v>
      </c>
      <c r="W58" s="17">
        <f>IF(ISNA(VLOOKUP(A58,'Données projet'!$A$35:$I$55,5,0)),0%,VLOOKUP(A58,'Données projet'!$A$35:$I$55,5,0)*VLOOKUP('Données projet'!$B$9,Paramètres!$A$1:$I$88,7,0))</f>
        <v>0.27</v>
      </c>
      <c r="X58" s="17">
        <f>IF(ISNA(VLOOKUP(A58,'Données projet'!$A$35:$I$55,6,0)),0%,VLOOKUP(A58,'Données projet'!$A$35:$I$55,6,0)*VLOOKUP('Données projet'!$B$9,Paramètres!$A$1:$I$88,7,0))</f>
        <v>0.10080000000000001</v>
      </c>
      <c r="Y58" s="17">
        <f>IF(ISNA(VLOOKUP(A58,'Données projet'!$A$35:$I$55,7,0)),0%,VLOOKUP(A58,'Données projet'!$A$35:$I$55,7,0))</f>
        <v>0.17600000000000002</v>
      </c>
      <c r="Z58" s="23">
        <f>EXP(-LN(2)/35)*Z57+(1-EXP(-LN(2)/35))/(LN(2)/35)*V58*W58*VLOOKUP('Données projet'!$B$9,Paramètres!$A$1:$I$88,3,0)*0.475*44/12</f>
        <v>21.621176987956524</v>
      </c>
      <c r="AA58" s="23">
        <f>EXP(-LN(2)/25)*AA57+(1-EXP(-LN(2)/25))/(LN(2)/25)*Calculateur!V58*Calculateur!X58*VLOOKUP('Données projet'!$B$9,Paramètres!$A$1:$I$88,3,0)*0.475*44/12</f>
        <v>28.485041015606363</v>
      </c>
      <c r="AB58" s="23">
        <f>EXP(-LN(2)/2)*AB57+(1-EXP(-LN(2)/2))/(LN(2)/2)*V58*Y58*VLOOKUP('Données projet'!$B$9,Paramètres!$A$1:$I$88,3,0)*0.475*44/12</f>
        <v>5.6178117996415544</v>
      </c>
      <c r="AC58" s="24">
        <f t="shared" si="3"/>
        <v>55.724029803204445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10.5</v>
      </c>
      <c r="AI58" s="14">
        <f>IF('Données projet'!$A$62&gt;35,AI57+AH58-AQ57,IF(A58&lt;'Données projet'!$A$62,$AF$205^A58,IF(A58='Données projet'!$A$62,'Données projet'!$B$62,AI57+AH58-AQ57)))</f>
        <v>307.5</v>
      </c>
      <c r="AJ58" s="14">
        <f>AI58*VLOOKUP('Données projet'!$B$10,Paramètres!$A$1:$I$88,3,0)*VLOOKUP('Données projet'!$B$10,Paramètres!$A$1:$I$88,5,0)</f>
        <v>143.91</v>
      </c>
      <c r="AK58" s="14">
        <f t="shared" si="35"/>
        <v>37.191290549543432</v>
      </c>
      <c r="AL58" s="22">
        <f t="shared" si="4"/>
        <v>315.41808104045475</v>
      </c>
      <c r="AM58" s="60">
        <f t="shared" si="5"/>
        <v>608.75141437378807</v>
      </c>
      <c r="AN58" s="60">
        <f ca="1">AVERAGE(OFFSET($AM$3,0,0,'Données projet'!$E$10+1,1))-AVERAGE(OFFSET($H$3,0,0,'Données projet'!$E$10+1,1))</f>
        <v>147.1675182177155</v>
      </c>
      <c r="AO58" s="60">
        <f t="shared" si="36"/>
        <v>115.86489547584461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4.5037472016600111</v>
      </c>
      <c r="AV58" s="23">
        <f>EXP(-LN(2)/25)*AV57+(1-EXP(-LN(2)/25))/(LN(2)/25)*Calculateur!AQ58*Calculateur!AS58*VLOOKUP('Données projet'!$B$10,Paramètres!$A$1:$I$88,3,0)*0.475*44/12</f>
        <v>13.136213115758705</v>
      </c>
      <c r="AW58" s="23">
        <f>EXP(-LN(2)/2)*AW57+(1-EXP(-LN(2)/2))/(LN(2)/2)*AQ58*AT58*VLOOKUP('Données projet'!$B$10,Paramètres!$A$1:$I$88,3,0)*0.475*44/12</f>
        <v>1.3617167986171663</v>
      </c>
      <c r="AX58" s="23">
        <f t="shared" si="6"/>
        <v>19.001677116035882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134.99999999999989</v>
      </c>
      <c r="BE58" s="14">
        <f>BD58*VLOOKUP('Données projet'!$B$11,Paramètres!$A$1:$I$88,3,0)*VLOOKUP('Données projet'!$B$11,Paramètres!$A$1:$I$88,5,0)</f>
        <v>136.8899999999999</v>
      </c>
      <c r="BF58" s="14">
        <f t="shared" si="37"/>
        <v>35.583619346017684</v>
      </c>
      <c r="BG58" s="22">
        <f t="shared" si="7"/>
        <v>300.39155369431393</v>
      </c>
      <c r="BH58" s="60">
        <f t="shared" si="8"/>
        <v>593.72488702764724</v>
      </c>
      <c r="BI58" s="60">
        <f ca="1">AVERAGE(OFFSET($BH$3,0,0,'Données projet'!$E$11+1,1))-AVERAGE(OFFSET($H$3,0,0,'Données projet'!$E$11+1,1))</f>
        <v>166.48525819448878</v>
      </c>
      <c r="BJ58" s="60">
        <f t="shared" si="38"/>
        <v>61.876502626609977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projet'!$B$11,Paramètres!$A$1:$I$88,7,0))</f>
        <v>0.129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5.9679096112365677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5.9679096112365677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0" t="e">
        <f t="shared" si="11"/>
        <v>#N/A</v>
      </c>
      <c r="CD58" s="60" t="e">
        <f ca="1">AVERAGE(OFFSET($CC$3,0,0,'Données projet'!$E$12+1,1))-AVERAGE(OFFSET($H$3,0,0,'Données projet'!$E$12+1,1))</f>
        <v>#N/A</v>
      </c>
      <c r="CE58" s="60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0" t="e">
        <f t="shared" si="14"/>
        <v>#N/A</v>
      </c>
      <c r="CY58" s="60" t="e">
        <f ca="1">AVERAGE(OFFSET($CX$3,0,0,'Données projet'!$E$13+1,1))-AVERAGE(OFFSET($H$3,0,0,'Données projet'!$E$13+1,1))</f>
        <v>#N/A</v>
      </c>
      <c r="CZ58" s="60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12.4</v>
      </c>
      <c r="N59" s="14">
        <f>IF('Données projet'!$A$36&gt;35,N58+M59-V58,IF(A59&lt;'Données projet'!$A$36,$K$205^A59,IF(A59='Données projet'!$A$36,'Données projet'!$B$36,N58+M59-V58)))</f>
        <v>363.39999999999964</v>
      </c>
      <c r="O59" s="14">
        <f>N59*VLOOKUP('Données projet'!$B$9,Paramètres!$A$1:$I$88,3,0)*VLOOKUP('Données projet'!$B$9,Paramètres!$A$1:$I$88,5,0)</f>
        <v>217.3131999999998</v>
      </c>
      <c r="P59" s="14">
        <f t="shared" si="33"/>
        <v>53.530506047441698</v>
      </c>
      <c r="Q59" s="22">
        <f t="shared" si="53"/>
        <v>471.71945469929392</v>
      </c>
      <c r="R59" s="60">
        <f t="shared" si="0"/>
        <v>765.05278803262718</v>
      </c>
      <c r="S59" s="60">
        <f ca="1">AVERAGE(OFFSET($R$3,0,0,'Données projet'!$E$9+1,1))-AVERAGE(OFFSET($H$3,0,0,'Données projet'!$E$9+1,1))</f>
        <v>222.57099967987045</v>
      </c>
      <c r="T59" s="60">
        <f t="shared" si="34"/>
        <v>221.49027090502796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21.19719889483849</v>
      </c>
      <c r="AA59" s="23">
        <f>EXP(-LN(2)/25)*AA58+(1-EXP(-LN(2)/25))/(LN(2)/25)*Calculateur!V59*Calculateur!X59*VLOOKUP('Données projet'!$B$9,Paramètres!$A$1:$I$88,3,0)*0.475*44/12</f>
        <v>27.706116071071403</v>
      </c>
      <c r="AB59" s="23">
        <f>EXP(-LN(2)/2)*AB58+(1-EXP(-LN(2)/2))/(LN(2)/2)*V59*Y59*VLOOKUP('Données projet'!$B$9,Paramètres!$A$1:$I$88,3,0)*0.475*44/12</f>
        <v>3.9723928189563456</v>
      </c>
      <c r="AC59" s="24">
        <f t="shared" si="3"/>
        <v>52.875707784866236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10.5</v>
      </c>
      <c r="AI59" s="14">
        <f>IF('Données projet'!$A$62&gt;35,AI58+AH59-AQ58,IF(A59&lt;'Données projet'!$A$62,$AF$205^A59,IF(A59='Données projet'!$A$62,'Données projet'!$B$62,AI58+AH59-AQ58)))</f>
        <v>318</v>
      </c>
      <c r="AJ59" s="14">
        <f>AI59*VLOOKUP('Données projet'!$B$10,Paramètres!$A$1:$I$88,3,0)*VLOOKUP('Données projet'!$B$10,Paramètres!$A$1:$I$88,5,0)</f>
        <v>148.82399999999998</v>
      </c>
      <c r="AK59" s="14">
        <f t="shared" si="35"/>
        <v>38.311213100614353</v>
      </c>
      <c r="AL59" s="22">
        <f t="shared" si="4"/>
        <v>325.92716281690332</v>
      </c>
      <c r="AM59" s="60">
        <f t="shared" si="5"/>
        <v>619.26049615023658</v>
      </c>
      <c r="AN59" s="60">
        <f ca="1">AVERAGE(OFFSET($AM$3,0,0,'Données projet'!$E$10+1,1))-AVERAGE(OFFSET($H$3,0,0,'Données projet'!$E$10+1,1))</f>
        <v>147.1675182177155</v>
      </c>
      <c r="AO59" s="60">
        <f t="shared" si="36"/>
        <v>115.86489547584461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4.4154314660500065</v>
      </c>
      <c r="AV59" s="23">
        <f>EXP(-LN(2)/25)*AV58+(1-EXP(-LN(2)/25))/(LN(2)/25)*Calculateur!AQ59*Calculateur!AS59*VLOOKUP('Données projet'!$B$10,Paramètres!$A$1:$I$88,3,0)*0.475*44/12</f>
        <v>12.777002677304859</v>
      </c>
      <c r="AW59" s="23">
        <f>EXP(-LN(2)/2)*AW58+(1-EXP(-LN(2)/2))/(LN(2)/2)*AQ59*AT59*VLOOKUP('Données projet'!$B$10,Paramètres!$A$1:$I$88,3,0)*0.475*44/12</f>
        <v>0.96287918235783465</v>
      </c>
      <c r="AX59" s="23">
        <f t="shared" si="6"/>
        <v>18.155313325712701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5.4</v>
      </c>
      <c r="BD59" s="13">
        <f>IF('Données projet'!$A$88&gt;35,BD58+BC59-BL58,IF(A59&lt;'Données projet'!$A$88,$BA$205^A59,IF(A59='Données projet'!$A$88,'Données projet'!$B$88,BD58+BC59-BL58)))</f>
        <v>126.39999999999989</v>
      </c>
      <c r="BE59" s="14">
        <f>BD59*VLOOKUP('Données projet'!$B$11,Paramètres!$A$1:$I$88,3,0)*VLOOKUP('Données projet'!$B$11,Paramètres!$A$1:$I$88,5,0)</f>
        <v>128.16959999999989</v>
      </c>
      <c r="BF59" s="14">
        <f t="shared" si="37"/>
        <v>33.573059214253441</v>
      </c>
      <c r="BG59" s="22">
        <f t="shared" si="7"/>
        <v>281.70179813149122</v>
      </c>
      <c r="BH59" s="60">
        <f t="shared" si="8"/>
        <v>575.03513146482453</v>
      </c>
      <c r="BI59" s="60">
        <f ca="1">AVERAGE(OFFSET($BH$3,0,0,'Données projet'!$E$11+1,1))-AVERAGE(OFFSET($H$3,0,0,'Données projet'!$E$11+1,1))</f>
        <v>166.48525819448878</v>
      </c>
      <c r="BJ59" s="60">
        <f t="shared" si="38"/>
        <v>61.876502626609977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5.8508825438256551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5.8508825438256551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0" t="e">
        <f t="shared" si="11"/>
        <v>#N/A</v>
      </c>
      <c r="CD59" s="60" t="e">
        <f ca="1">AVERAGE(OFFSET($CC$3,0,0,'Données projet'!$E$12+1,1))-AVERAGE(OFFSET($H$3,0,0,'Données projet'!$E$12+1,1))</f>
        <v>#N/A</v>
      </c>
      <c r="CE59" s="60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0" t="e">
        <f t="shared" si="14"/>
        <v>#N/A</v>
      </c>
      <c r="CY59" s="60" t="e">
        <f ca="1">AVERAGE(OFFSET($CX$3,0,0,'Données projet'!$E$13+1,1))-AVERAGE(OFFSET($H$3,0,0,'Données projet'!$E$13+1,1))</f>
        <v>#N/A</v>
      </c>
      <c r="CZ59" s="60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12.4</v>
      </c>
      <c r="N60" s="14">
        <f>IF('Données projet'!$A$36&gt;35,N59+M60-V59,IF(A60&lt;'Données projet'!$A$36,$K$205^A60,IF(A60='Données projet'!$A$36,'Données projet'!$B$36,N59+M60-V59)))</f>
        <v>375.79999999999961</v>
      </c>
      <c r="O60" s="14">
        <f>N60*VLOOKUP('Données projet'!$B$9,Paramètres!$A$1:$I$88,3,0)*VLOOKUP('Données projet'!$B$9,Paramètres!$A$1:$I$88,5,0)</f>
        <v>224.72839999999977</v>
      </c>
      <c r="P60" s="14">
        <f t="shared" si="33"/>
        <v>55.14130474591758</v>
      </c>
      <c r="Q60" s="22">
        <f t="shared" si="53"/>
        <v>487.43973576580606</v>
      </c>
      <c r="R60" s="60">
        <f t="shared" si="0"/>
        <v>780.77306909913932</v>
      </c>
      <c r="S60" s="60">
        <f ca="1">AVERAGE(OFFSET($R$3,0,0,'Données projet'!$E$9+1,1))-AVERAGE(OFFSET($H$3,0,0,'Données projet'!$E$9+1,1))</f>
        <v>222.57099967987045</v>
      </c>
      <c r="T60" s="60">
        <f t="shared" si="34"/>
        <v>221.49027090502796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20.781534753525399</v>
      </c>
      <c r="AA60" s="23">
        <f>EXP(-LN(2)/25)*AA59+(1-EXP(-LN(2)/25))/(LN(2)/25)*Calculateur!V60*Calculateur!X60*VLOOKUP('Données projet'!$B$9,Paramètres!$A$1:$I$88,3,0)*0.475*44/12</f>
        <v>26.948490870106635</v>
      </c>
      <c r="AB60" s="23">
        <f>EXP(-LN(2)/2)*AB59+(1-EXP(-LN(2)/2))/(LN(2)/2)*V60*Y60*VLOOKUP('Données projet'!$B$9,Paramètres!$A$1:$I$88,3,0)*0.475*44/12</f>
        <v>2.8089058998207777</v>
      </c>
      <c r="AC60" s="24">
        <f t="shared" si="3"/>
        <v>50.53893152345281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10.5</v>
      </c>
      <c r="AI60" s="14">
        <f>IF('Données projet'!$A$62&gt;35,AI59+AH60-AQ59,IF(A60&lt;'Données projet'!$A$62,$AF$205^A60,IF(A60='Données projet'!$A$62,'Données projet'!$B$62,AI59+AH60-AQ59)))</f>
        <v>328.5</v>
      </c>
      <c r="AJ60" s="14">
        <f>AI60*VLOOKUP('Données projet'!$B$10,Paramètres!$A$1:$I$88,3,0)*VLOOKUP('Données projet'!$B$10,Paramètres!$A$1:$I$88,5,0)</f>
        <v>153.738</v>
      </c>
      <c r="AK60" s="14">
        <f t="shared" si="35"/>
        <v>39.426838781722438</v>
      </c>
      <c r="AL60" s="22">
        <f t="shared" si="4"/>
        <v>336.42876087816654</v>
      </c>
      <c r="AM60" s="60">
        <f t="shared" si="5"/>
        <v>629.76209421149986</v>
      </c>
      <c r="AN60" s="60">
        <f ca="1">AVERAGE(OFFSET($AM$3,0,0,'Données projet'!$E$10+1,1))-AVERAGE(OFFSET($H$3,0,0,'Données projet'!$E$10+1,1))</f>
        <v>147.1675182177155</v>
      </c>
      <c r="AO60" s="60">
        <f t="shared" si="36"/>
        <v>115.86489547584461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4.3288475481480342</v>
      </c>
      <c r="AV60" s="23">
        <f>EXP(-LN(2)/25)*AV59+(1-EXP(-LN(2)/25))/(LN(2)/25)*Calculateur!AQ60*Calculateur!AS60*VLOOKUP('Données projet'!$B$10,Paramètres!$A$1:$I$88,3,0)*0.475*44/12</f>
        <v>12.427614867180589</v>
      </c>
      <c r="AW60" s="23">
        <f>EXP(-LN(2)/2)*AW59+(1-EXP(-LN(2)/2))/(LN(2)/2)*AQ60*AT60*VLOOKUP('Données projet'!$B$10,Paramètres!$A$1:$I$88,3,0)*0.475*44/12</f>
        <v>0.68085839930858327</v>
      </c>
      <c r="AX60" s="23">
        <f t="shared" si="6"/>
        <v>17.437320814637207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5.4</v>
      </c>
      <c r="BD60" s="13">
        <f>IF('Données projet'!$A$88&gt;35,BD59+BC60-BL59,IF(A60&lt;'Données projet'!$A$88,$BA$205^A60,IF(A60='Données projet'!$A$88,'Données projet'!$B$88,BD59+BC60-BL59)))</f>
        <v>131.7999999999999</v>
      </c>
      <c r="BE60" s="14">
        <f>BD60*VLOOKUP('Données projet'!$B$11,Paramètres!$A$1:$I$88,3,0)*VLOOKUP('Données projet'!$B$11,Paramètres!$A$1:$I$88,5,0)</f>
        <v>133.6451999999999</v>
      </c>
      <c r="BF60" s="14">
        <f t="shared" si="37"/>
        <v>34.837297589797373</v>
      </c>
      <c r="BG60" s="22">
        <f t="shared" si="7"/>
        <v>293.4403499688969</v>
      </c>
      <c r="BH60" s="60">
        <f t="shared" si="8"/>
        <v>586.77368330223021</v>
      </c>
      <c r="BI60" s="60">
        <f ca="1">AVERAGE(OFFSET($BH$3,0,0,'Données projet'!$E$11+1,1))-AVERAGE(OFFSET($H$3,0,0,'Données projet'!$E$11+1,1))</f>
        <v>166.48525819448878</v>
      </c>
      <c r="BJ60" s="60">
        <f t="shared" si="38"/>
        <v>61.876502626609977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5.7361503058272074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5.7361503058272074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0" t="e">
        <f t="shared" si="11"/>
        <v>#N/A</v>
      </c>
      <c r="CD60" s="60" t="e">
        <f ca="1">AVERAGE(OFFSET($CC$3,0,0,'Données projet'!$E$12+1,1))-AVERAGE(OFFSET($H$3,0,0,'Données projet'!$E$12+1,1))</f>
        <v>#N/A</v>
      </c>
      <c r="CE60" s="60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0" t="e">
        <f t="shared" si="14"/>
        <v>#N/A</v>
      </c>
      <c r="CY60" s="60" t="e">
        <f ca="1">AVERAGE(OFFSET($CX$3,0,0,'Données projet'!$E$13+1,1))-AVERAGE(OFFSET($H$3,0,0,'Données projet'!$E$13+1,1))</f>
        <v>#N/A</v>
      </c>
      <c r="CZ60" s="60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12.4</v>
      </c>
      <c r="N61" s="14">
        <f>IF('Données projet'!$A$36&gt;35,N60+M61-V60,IF(A61&lt;'Données projet'!$A$36,$K$205^A61,IF(A61='Données projet'!$A$36,'Données projet'!$B$36,N60+M61-V60)))</f>
        <v>388.19999999999959</v>
      </c>
      <c r="O61" s="14">
        <f>N61*VLOOKUP('Données projet'!$B$9,Paramètres!$A$1:$I$88,3,0)*VLOOKUP('Données projet'!$B$9,Paramètres!$A$1:$I$88,5,0)</f>
        <v>232.14359999999979</v>
      </c>
      <c r="P61" s="14">
        <f t="shared" si="33"/>
        <v>56.745927424617399</v>
      </c>
      <c r="Q61" s="22">
        <f t="shared" si="53"/>
        <v>503.14926026454168</v>
      </c>
      <c r="R61" s="60">
        <f t="shared" si="0"/>
        <v>796.48259359787494</v>
      </c>
      <c r="S61" s="60">
        <f ca="1">AVERAGE(OFFSET($R$3,0,0,'Données projet'!$E$9+1,1))-AVERAGE(OFFSET($H$3,0,0,'Données projet'!$E$9+1,1))</f>
        <v>222.57099967987045</v>
      </c>
      <c r="T61" s="60">
        <f t="shared" si="34"/>
        <v>221.49027090502796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20.374021532493366</v>
      </c>
      <c r="AA61" s="23">
        <f>EXP(-LN(2)/25)*AA60+(1-EXP(-LN(2)/25))/(LN(2)/25)*Calculateur!V61*Calculateur!X61*VLOOKUP('Données projet'!$B$9,Paramètres!$A$1:$I$88,3,0)*0.475*44/12</f>
        <v>26.211582970104025</v>
      </c>
      <c r="AB61" s="23">
        <f>EXP(-LN(2)/2)*AB60+(1-EXP(-LN(2)/2))/(LN(2)/2)*V61*Y61*VLOOKUP('Données projet'!$B$9,Paramètres!$A$1:$I$88,3,0)*0.475*44/12</f>
        <v>1.9861964094781732</v>
      </c>
      <c r="AC61" s="24">
        <f t="shared" si="3"/>
        <v>48.571800912075567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10.5</v>
      </c>
      <c r="AI61" s="14">
        <f>IF('Données projet'!$A$62&gt;35,AI60+AH61-AQ60,IF(A61&lt;'Données projet'!$A$62,$AF$205^A61,IF(A61='Données projet'!$A$62,'Données projet'!$B$62,AI60+AH61-AQ60)))</f>
        <v>339</v>
      </c>
      <c r="AJ61" s="14">
        <f>AI61*VLOOKUP('Données projet'!$B$10,Paramètres!$A$1:$I$88,3,0)*VLOOKUP('Données projet'!$B$10,Paramètres!$A$1:$I$88,5,0)</f>
        <v>158.65199999999999</v>
      </c>
      <c r="AK61" s="14">
        <f t="shared" si="35"/>
        <v>40.538320690487296</v>
      </c>
      <c r="AL61" s="22">
        <f t="shared" si="4"/>
        <v>346.92314186926529</v>
      </c>
      <c r="AM61" s="60">
        <f t="shared" si="5"/>
        <v>640.25647520259861</v>
      </c>
      <c r="AN61" s="60">
        <f ca="1">AVERAGE(OFFSET($AM$3,0,0,'Données projet'!$E$10+1,1))-AVERAGE(OFFSET($H$3,0,0,'Données projet'!$E$10+1,1))</f>
        <v>147.1675182177155</v>
      </c>
      <c r="AO61" s="60">
        <f t="shared" si="36"/>
        <v>115.86489547584461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4.2439614880651444</v>
      </c>
      <c r="AV61" s="23">
        <f>EXP(-LN(2)/25)*AV60+(1-EXP(-LN(2)/25))/(LN(2)/25)*Calculateur!AQ61*Calculateur!AS61*VLOOKUP('Données projet'!$B$10,Paramètres!$A$1:$I$88,3,0)*0.475*44/12</f>
        <v>12.087781085097674</v>
      </c>
      <c r="AW61" s="23">
        <f>EXP(-LN(2)/2)*AW60+(1-EXP(-LN(2)/2))/(LN(2)/2)*AQ61*AT61*VLOOKUP('Données projet'!$B$10,Paramètres!$A$1:$I$88,3,0)*0.475*44/12</f>
        <v>0.48143959117891744</v>
      </c>
      <c r="AX61" s="23">
        <f t="shared" si="6"/>
        <v>16.81318216434174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5.4</v>
      </c>
      <c r="BD61" s="13">
        <f>IF('Données projet'!$A$88&gt;35,BD60+BC61-BL60,IF(A61&lt;'Données projet'!$A$88,$BA$205^A61,IF(A61='Données projet'!$A$88,'Données projet'!$B$88,BD60+BC61-BL60)))</f>
        <v>137.1999999999999</v>
      </c>
      <c r="BE61" s="14">
        <f>BD61*VLOOKUP('Données projet'!$B$11,Paramètres!$A$1:$I$88,3,0)*VLOOKUP('Données projet'!$B$11,Paramètres!$A$1:$I$88,5,0)</f>
        <v>139.12079999999992</v>
      </c>
      <c r="BF61" s="14">
        <f t="shared" si="37"/>
        <v>36.095519333110218</v>
      </c>
      <c r="BG61" s="22">
        <f t="shared" si="7"/>
        <v>305.16842283850013</v>
      </c>
      <c r="BH61" s="60">
        <f t="shared" si="8"/>
        <v>598.50175617183345</v>
      </c>
      <c r="BI61" s="60">
        <f ca="1">AVERAGE(OFFSET($BH$3,0,0,'Données projet'!$E$11+1,1))-AVERAGE(OFFSET($H$3,0,0,'Données projet'!$E$11+1,1))</f>
        <v>166.48525819448878</v>
      </c>
      <c r="BJ61" s="60">
        <f t="shared" si="38"/>
        <v>61.876502626609977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5.623667897036154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5.623667897036154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0" t="e">
        <f t="shared" si="11"/>
        <v>#N/A</v>
      </c>
      <c r="CD61" s="60" t="e">
        <f ca="1">AVERAGE(OFFSET($CC$3,0,0,'Données projet'!$E$12+1,1))-AVERAGE(OFFSET($H$3,0,0,'Données projet'!$E$12+1,1))</f>
        <v>#N/A</v>
      </c>
      <c r="CE61" s="60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0" t="e">
        <f t="shared" si="14"/>
        <v>#N/A</v>
      </c>
      <c r="CY61" s="60" t="e">
        <f ca="1">AVERAGE(OFFSET($CX$3,0,0,'Données projet'!$E$13+1,1))-AVERAGE(OFFSET($H$3,0,0,'Données projet'!$E$13+1,1))</f>
        <v>#N/A</v>
      </c>
      <c r="CZ61" s="60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12.4</v>
      </c>
      <c r="N62" s="14">
        <f>IF('Données projet'!$A$36&gt;35,N61+M62-V61,IF(A62&lt;'Données projet'!$A$36,$K$205^A62,IF(A62='Données projet'!$A$36,'Données projet'!$B$36,N61+M62-V61)))</f>
        <v>400.59999999999957</v>
      </c>
      <c r="O62" s="14">
        <f>N62*VLOOKUP('Données projet'!$B$9,Paramètres!$A$1:$I$88,3,0)*VLOOKUP('Données projet'!$B$9,Paramètres!$A$1:$I$88,5,0)</f>
        <v>239.55879999999976</v>
      </c>
      <c r="P62" s="14">
        <f t="shared" si="33"/>
        <v>58.344593989738705</v>
      </c>
      <c r="Q62" s="22">
        <f t="shared" si="53"/>
        <v>518.84841119879445</v>
      </c>
      <c r="R62" s="60">
        <f t="shared" si="0"/>
        <v>812.18174453212782</v>
      </c>
      <c r="S62" s="60">
        <f ca="1">AVERAGE(OFFSET($R$3,0,0,'Données projet'!$E$9+1,1))-AVERAGE(OFFSET($H$3,0,0,'Données projet'!$E$9+1,1))</f>
        <v>222.57099967987045</v>
      </c>
      <c r="T62" s="60">
        <f t="shared" si="34"/>
        <v>221.49027090502796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19.97449939716725</v>
      </c>
      <c r="AA62" s="23">
        <f>EXP(-LN(2)/25)*AA61+(1-EXP(-LN(2)/25))/(LN(2)/25)*Calculateur!V62*Calculateur!X62*VLOOKUP('Données projet'!$B$9,Paramètres!$A$1:$I$88,3,0)*0.475*44/12</f>
        <v>25.49482585537929</v>
      </c>
      <c r="AB62" s="23">
        <f>EXP(-LN(2)/2)*AB61+(1-EXP(-LN(2)/2))/(LN(2)/2)*V62*Y62*VLOOKUP('Données projet'!$B$9,Paramètres!$A$1:$I$88,3,0)*0.475*44/12</f>
        <v>1.404452949910389</v>
      </c>
      <c r="AC62" s="24">
        <f t="shared" si="3"/>
        <v>46.873778202456926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10.5</v>
      </c>
      <c r="AI62" s="14">
        <f>IF('Données projet'!$A$62&gt;35,AI61+AH62-AQ61,IF(A62&lt;'Données projet'!$A$62,$AF$205^A62,IF(A62='Données projet'!$A$62,'Données projet'!$B$62,AI61+AH62-AQ61)))</f>
        <v>349.5</v>
      </c>
      <c r="AJ62" s="14">
        <f>AI62*VLOOKUP('Données projet'!$B$10,Paramètres!$A$1:$I$88,3,0)*VLOOKUP('Données projet'!$B$10,Paramètres!$A$1:$I$88,5,0)</f>
        <v>163.566</v>
      </c>
      <c r="AK62" s="14">
        <f t="shared" si="35"/>
        <v>41.645801901849417</v>
      </c>
      <c r="AL62" s="22">
        <f t="shared" si="4"/>
        <v>357.41055497905433</v>
      </c>
      <c r="AM62" s="60">
        <f t="shared" si="5"/>
        <v>650.74388831238764</v>
      </c>
      <c r="AN62" s="60">
        <f ca="1">AVERAGE(OFFSET($AM$3,0,0,'Données projet'!$E$10+1,1))-AVERAGE(OFFSET($H$3,0,0,'Données projet'!$E$10+1,1))</f>
        <v>147.1675182177155</v>
      </c>
      <c r="AO62" s="60">
        <f t="shared" si="36"/>
        <v>115.86489547584461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4.1607399918450954</v>
      </c>
      <c r="AV62" s="23">
        <f>EXP(-LN(2)/25)*AV61+(1-EXP(-LN(2)/25))/(LN(2)/25)*Calculateur!AQ62*Calculateur!AS62*VLOOKUP('Données projet'!$B$10,Paramètres!$A$1:$I$88,3,0)*0.475*44/12</f>
        <v>11.757240075656899</v>
      </c>
      <c r="AW62" s="23">
        <f>EXP(-LN(2)/2)*AW61+(1-EXP(-LN(2)/2))/(LN(2)/2)*AQ62*AT62*VLOOKUP('Données projet'!$B$10,Paramètres!$A$1:$I$88,3,0)*0.475*44/12</f>
        <v>0.34042919965429169</v>
      </c>
      <c r="AX62" s="23">
        <f t="shared" si="6"/>
        <v>16.258409267156285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5.4</v>
      </c>
      <c r="BD62" s="13">
        <f>IF('Données projet'!$A$88&gt;35,BD61+BC62-BL61,IF(A62&lt;'Données projet'!$A$88,$BA$205^A62,IF(A62='Données projet'!$A$88,'Données projet'!$B$88,BD61+BC62-BL61)))</f>
        <v>142.59999999999991</v>
      </c>
      <c r="BE62" s="14">
        <f>BD62*VLOOKUP('Données projet'!$B$11,Paramètres!$A$1:$I$88,3,0)*VLOOKUP('Données projet'!$B$11,Paramètres!$A$1:$I$88,5,0)</f>
        <v>144.5963999999999</v>
      </c>
      <c r="BF62" s="14">
        <f t="shared" si="37"/>
        <v>37.347988348805522</v>
      </c>
      <c r="BG62" s="22">
        <f t="shared" si="7"/>
        <v>316.88647637416949</v>
      </c>
      <c r="BH62" s="60">
        <f t="shared" si="8"/>
        <v>610.2198097075028</v>
      </c>
      <c r="BI62" s="60">
        <f ca="1">AVERAGE(OFFSET($BH$3,0,0,'Données projet'!$E$11+1,1))-AVERAGE(OFFSET($H$3,0,0,'Données projet'!$E$11+1,1))</f>
        <v>166.48525819448878</v>
      </c>
      <c r="BJ62" s="60">
        <f t="shared" si="38"/>
        <v>61.876502626609977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5.5133911996739977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5.5133911996739977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0" t="e">
        <f t="shared" si="11"/>
        <v>#N/A</v>
      </c>
      <c r="CD62" s="60" t="e">
        <f ca="1">AVERAGE(OFFSET($CC$3,0,0,'Données projet'!$E$12+1,1))-AVERAGE(OFFSET($H$3,0,0,'Données projet'!$E$12+1,1))</f>
        <v>#N/A</v>
      </c>
      <c r="CE62" s="60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0" t="e">
        <f t="shared" si="14"/>
        <v>#N/A</v>
      </c>
      <c r="CY62" s="60" t="e">
        <f ca="1">AVERAGE(OFFSET($CX$3,0,0,'Données projet'!$E$13+1,1))-AVERAGE(OFFSET($H$3,0,0,'Données projet'!$E$13+1,1))</f>
        <v>#N/A</v>
      </c>
      <c r="CZ62" s="60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413</v>
      </c>
      <c r="L63" s="13">
        <f>VLOOKUP(A63,'Données projet'!$A$35:$I$55,9,0)</f>
        <v>12.4</v>
      </c>
      <c r="M63" s="13">
        <f t="array" ref="M63">INDEX(L:L,MIN(IF(ISNUMBER(L63:L259),ROW(L63:L259),"")))</f>
        <v>12.4</v>
      </c>
      <c r="N63" s="14">
        <f>IF('Données projet'!$A$36&gt;35,N62+M63-V62,IF(A63&lt;'Données projet'!$A$36,$K$205^A63,IF(A63='Données projet'!$A$36,'Données projet'!$B$36,N62+M63-V62)))</f>
        <v>412.99999999999955</v>
      </c>
      <c r="O63" s="14">
        <f>N63*VLOOKUP('Données projet'!$B$9,Paramètres!$A$1:$I$88,3,0)*VLOOKUP('Données projet'!$B$9,Paramètres!$A$1:$I$88,5,0)</f>
        <v>246.97399999999973</v>
      </c>
      <c r="P63" s="14">
        <f t="shared" si="33"/>
        <v>59.937509960346993</v>
      </c>
      <c r="Q63" s="22">
        <f t="shared" si="53"/>
        <v>534.5375465142705</v>
      </c>
      <c r="R63" s="60">
        <f t="shared" si="0"/>
        <v>827.87087984760387</v>
      </c>
      <c r="S63" s="60">
        <f ca="1">AVERAGE(OFFSET($R$3,0,0,'Données projet'!$E$9+1,1))-AVERAGE(OFFSET($H$3,0,0,'Données projet'!$E$9+1,1))</f>
        <v>222.57099967987045</v>
      </c>
      <c r="T63" s="60">
        <f t="shared" si="34"/>
        <v>221.49027090502796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30</v>
      </c>
      <c r="W63" s="17">
        <f>IF(ISNA(VLOOKUP(A63,'Données projet'!$A$35:$I$55,5,0)),0%,VLOOKUP(A63,'Données projet'!$A$35:$I$55,5,0)*VLOOKUP('Données projet'!$B$9,Paramètres!$A$1:$I$88,7,0))</f>
        <v>0.27</v>
      </c>
      <c r="X63" s="17">
        <f>IF(ISNA(VLOOKUP(A63,'Données projet'!$A$35:$I$55,6,0)),0%,VLOOKUP(A63,'Données projet'!$A$35:$I$55,6,0)*VLOOKUP('Données projet'!$B$9,Paramètres!$A$1:$I$88,7,0))</f>
        <v>0.10080000000000001</v>
      </c>
      <c r="Y63" s="17">
        <f>IF(ISNA(VLOOKUP(A63,'Données projet'!$A$35:$I$55,7,0)),0%,VLOOKUP(A63,'Données projet'!$A$35:$I$55,7,0))</f>
        <v>0.17600000000000002</v>
      </c>
      <c r="Z63" s="23">
        <f>EXP(-LN(2)/35)*Z62+(1-EXP(-LN(2)/35))/(LN(2)/35)*V63*W63*VLOOKUP('Données projet'!$B$9,Paramètres!$A$1:$I$88,3,0)*0.475*44/12</f>
        <v>26.008424556488482</v>
      </c>
      <c r="AA63" s="23">
        <f>EXP(-LN(2)/25)*AA62+(1-EXP(-LN(2)/25))/(LN(2)/25)*Calculateur!V63*Calculateur!X63*VLOOKUP('Données projet'!$B$9,Paramètres!$A$1:$I$88,3,0)*0.475*44/12</f>
        <v>27.187118622192617</v>
      </c>
      <c r="AB63" s="23">
        <f>EXP(-LN(2)/2)*AB62+(1-EXP(-LN(2)/2))/(LN(2)/2)*V63*Y63*VLOOKUP('Données projet'!$B$9,Paramètres!$A$1:$I$88,3,0)*0.475*44/12</f>
        <v>4.5680537502410514</v>
      </c>
      <c r="AC63" s="24">
        <f t="shared" si="3"/>
        <v>57.763596928922148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360</v>
      </c>
      <c r="AG63" s="13">
        <f>VLOOKUP(A63,'Données projet'!$A$61:$I$81,9,0)</f>
        <v>10.5</v>
      </c>
      <c r="AH63" s="13">
        <f t="array" ref="AH63">INDEX(AG:AG,MIN(IF(ISNUMBER(AG63:AG259),ROW(AG63:AG259),"")))</f>
        <v>10.5</v>
      </c>
      <c r="AI63" s="14">
        <f>IF('Données projet'!$A$62&gt;35,AI62+AH63-AQ62,IF(A63&lt;'Données projet'!$A$62,$AF$205^A63,IF(A63='Données projet'!$A$62,'Données projet'!$B$62,AI62+AH63-AQ62)))</f>
        <v>360</v>
      </c>
      <c r="AJ63" s="14">
        <f>AI63*VLOOKUP('Données projet'!$B$10,Paramètres!$A$1:$I$88,3,0)*VLOOKUP('Données projet'!$B$10,Paramètres!$A$1:$I$88,5,0)</f>
        <v>168.48</v>
      </c>
      <c r="AK63" s="14">
        <f t="shared" si="35"/>
        <v>42.74941640538534</v>
      </c>
      <c r="AL63" s="22">
        <f t="shared" si="4"/>
        <v>367.89123357271274</v>
      </c>
      <c r="AM63" s="60">
        <f t="shared" si="5"/>
        <v>661.22456690604599</v>
      </c>
      <c r="AN63" s="60">
        <f ca="1">AVERAGE(OFFSET($AM$3,0,0,'Données projet'!$E$10+1,1))-AVERAGE(OFFSET($H$3,0,0,'Données projet'!$E$10+1,1))</f>
        <v>147.1675182177155</v>
      </c>
      <c r="AO63" s="60">
        <f t="shared" si="36"/>
        <v>115.86489547584461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40</v>
      </c>
      <c r="AR63" s="17">
        <f>IF(ISNA(VLOOKUP(A63,'Données projet'!$A$61:$I$81,5,0)),0%,VLOOKUP(A63,'Données projet'!$A$61:$I$81,5,0)*VLOOKUP('Données projet'!$B$10,Paramètres!$A$1:$I$88,7,0))</f>
        <v>0.22000000000000003</v>
      </c>
      <c r="AS63" s="17">
        <f>IF(ISNA(VLOOKUP(A63,'Données projet'!$A$61:$I$81,6,0)),0%,VLOOKUP(A63,'Données projet'!$A$61:$I$81,6,0)*VLOOKUP('Données projet'!$B$10,Paramètres!$A$1:$I$88,7,0))</f>
        <v>0.18480000000000002</v>
      </c>
      <c r="AT63" s="17">
        <f>IF(ISNA(VLOOKUP(A63,'Données projet'!$A$61:$I$81,7,0)),0%,VLOOKUP(A63,'Données projet'!$A$61:$I$81,7,0))</f>
        <v>0.26400000000000001</v>
      </c>
      <c r="AU63" s="23">
        <f>EXP(-LN(2)/35)*AU62+(1-EXP(-LN(2)/35))/(LN(2)/35)*AQ63*AR63*VLOOKUP('Données projet'!$B$10,Paramètres!$A$1:$I$88,3,0)*0.475*44/12</f>
        <v>9.5424734716880231</v>
      </c>
      <c r="AV63" s="23">
        <f>EXP(-LN(2)/25)*AV62+(1-EXP(-LN(2)/25))/(LN(2)/25)*Calculateur!AQ63*Calculateur!AS63*VLOOKUP('Données projet'!$B$10,Paramètres!$A$1:$I$88,3,0)*0.475*44/12</f>
        <v>16.006859697236678</v>
      </c>
      <c r="AW63" s="23">
        <f>EXP(-LN(2)/2)*AW62+(1-EXP(-LN(2)/2))/(LN(2)/2)*AQ63*AT63*VLOOKUP('Données projet'!$B$10,Paramètres!$A$1:$I$88,3,0)*0.475*44/12</f>
        <v>5.8363023885490559</v>
      </c>
      <c r="AX63" s="23">
        <f t="shared" si="6"/>
        <v>31.385635557473755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148</v>
      </c>
      <c r="BB63" s="13">
        <f>VLOOKUP(A63,'Données projet'!$A$87:$I$107,9,0)</f>
        <v>5.4</v>
      </c>
      <c r="BC63" s="13">
        <f t="array" ref="BC63">INDEX(BB:BB,MIN(IF(ISNUMBER(BB63:BB259),ROW(BB63:BB259),"")))</f>
        <v>5.4</v>
      </c>
      <c r="BD63" s="13">
        <f>IF('Données projet'!$A$88&gt;35,BD62+BC63-BL62,IF(A63&lt;'Données projet'!$A$88,$BA$205^A63,IF(A63='Données projet'!$A$88,'Données projet'!$B$88,BD62+BC63-BL62)))</f>
        <v>147.99999999999991</v>
      </c>
      <c r="BE63" s="14">
        <f>BD63*VLOOKUP('Données projet'!$B$11,Paramètres!$A$1:$I$88,3,0)*VLOOKUP('Données projet'!$B$11,Paramètres!$A$1:$I$88,5,0)</f>
        <v>150.07199999999992</v>
      </c>
      <c r="BF63" s="14">
        <f t="shared" si="37"/>
        <v>38.594947422201457</v>
      </c>
      <c r="BG63" s="22">
        <f t="shared" si="7"/>
        <v>328.59493342700068</v>
      </c>
      <c r="BH63" s="60">
        <f t="shared" si="8"/>
        <v>621.92826676033405</v>
      </c>
      <c r="BI63" s="60">
        <f ca="1">AVERAGE(OFFSET($BH$3,0,0,'Données projet'!$E$11+1,1))-AVERAGE(OFFSET($H$3,0,0,'Données projet'!$E$11+1,1))</f>
        <v>166.48525819448878</v>
      </c>
      <c r="BJ63" s="60">
        <f t="shared" si="38"/>
        <v>61.876502626609977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projet'!$B$11,Paramètres!$A$1:$I$88,7,0))</f>
        <v>0.17200000000000001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8.1045172524351283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8.1045172524351283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0" t="e">
        <f t="shared" si="11"/>
        <v>#N/A</v>
      </c>
      <c r="CD63" s="60" t="e">
        <f ca="1">AVERAGE(OFFSET($CC$3,0,0,'Données projet'!$E$12+1,1))-AVERAGE(OFFSET($H$3,0,0,'Données projet'!$E$12+1,1))</f>
        <v>#N/A</v>
      </c>
      <c r="CE63" s="60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0" t="e">
        <f t="shared" si="14"/>
        <v>#N/A</v>
      </c>
      <c r="CY63" s="60" t="e">
        <f ca="1">AVERAGE(OFFSET($CX$3,0,0,'Données projet'!$E$13+1,1))-AVERAGE(OFFSET($H$3,0,0,'Données projet'!$E$13+1,1))</f>
        <v>#N/A</v>
      </c>
      <c r="CZ63" s="60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11.4</v>
      </c>
      <c r="N64" s="14">
        <f>IF('Données projet'!$A$36&gt;35,N63+M64-V63,IF(A64&lt;'Données projet'!$A$36,$K$205^A64,IF(A64='Données projet'!$A$36,'Données projet'!$B$36,N63+M64-V63)))</f>
        <v>394.39999999999952</v>
      </c>
      <c r="O64" s="14">
        <f>N64*VLOOKUP('Données projet'!$B$9,Paramètres!$A$1:$I$88,3,0)*VLOOKUP('Données projet'!$B$9,Paramètres!$A$1:$I$88,5,0)</f>
        <v>235.85119999999972</v>
      </c>
      <c r="P64" s="14">
        <f t="shared" si="33"/>
        <v>57.545992055842966</v>
      </c>
      <c r="Q64" s="22">
        <f t="shared" si="53"/>
        <v>511.00010949725942</v>
      </c>
      <c r="R64" s="60">
        <f t="shared" si="0"/>
        <v>804.33344283059273</v>
      </c>
      <c r="S64" s="60">
        <f ca="1">AVERAGE(OFFSET($R$3,0,0,'Données projet'!$E$9+1,1))-AVERAGE(OFFSET($H$3,0,0,'Données projet'!$E$9+1,1))</f>
        <v>222.57099967987045</v>
      </c>
      <c r="T64" s="60">
        <f t="shared" si="34"/>
        <v>221.49027090502796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25.498415214508324</v>
      </c>
      <c r="AA64" s="23">
        <f>EXP(-LN(2)/25)*AA63+(1-EXP(-LN(2)/25))/(LN(2)/25)*Calculateur!V64*Calculateur!X64*VLOOKUP('Données projet'!$B$9,Paramètres!$A$1:$I$88,3,0)*0.475*44/12</f>
        <v>26.443685433760329</v>
      </c>
      <c r="AB64" s="23">
        <f>EXP(-LN(2)/2)*AB63+(1-EXP(-LN(2)/2))/(LN(2)/2)*V64*Y64*VLOOKUP('Données projet'!$B$9,Paramètres!$A$1:$I$88,3,0)*0.475*44/12</f>
        <v>3.2301017836200874</v>
      </c>
      <c r="AC64" s="24">
        <f t="shared" si="3"/>
        <v>55.172202431888735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10</v>
      </c>
      <c r="AI64" s="14">
        <f>IF('Données projet'!$A$62&gt;35,AI63+AH64-AQ63,IF(A64&lt;'Données projet'!$A$62,$AF$205^A64,IF(A64='Données projet'!$A$62,'Données projet'!$B$62,AI63+AH64-AQ63)))</f>
        <v>330</v>
      </c>
      <c r="AJ64" s="14">
        <f>AI64*VLOOKUP('Données projet'!$B$10,Paramètres!$A$1:$I$88,3,0)*VLOOKUP('Données projet'!$B$10,Paramètres!$A$1:$I$88,5,0)</f>
        <v>154.44</v>
      </c>
      <c r="AK64" s="14">
        <f t="shared" si="35"/>
        <v>39.58587217095549</v>
      </c>
      <c r="AL64" s="22">
        <f t="shared" si="4"/>
        <v>337.92839403108081</v>
      </c>
      <c r="AM64" s="60">
        <f t="shared" si="5"/>
        <v>631.26172736441413</v>
      </c>
      <c r="AN64" s="60">
        <f ca="1">AVERAGE(OFFSET($AM$3,0,0,'Données projet'!$E$10+1,1))-AVERAGE(OFFSET($H$3,0,0,'Données projet'!$E$10+1,1))</f>
        <v>147.1675182177155</v>
      </c>
      <c r="AO64" s="60">
        <f t="shared" si="36"/>
        <v>115.86489547584461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9.3553513872423277</v>
      </c>
      <c r="AV64" s="23">
        <f>EXP(-LN(2)/25)*AV63+(1-EXP(-LN(2)/25))/(LN(2)/25)*Calculateur!AQ64*Calculateur!AS64*VLOOKUP('Données projet'!$B$10,Paramètres!$A$1:$I$88,3,0)*0.475*44/12</f>
        <v>15.569151277051573</v>
      </c>
      <c r="AW64" s="23">
        <f>EXP(-LN(2)/2)*AW63+(1-EXP(-LN(2)/2))/(LN(2)/2)*AQ64*AT64*VLOOKUP('Données projet'!$B$10,Paramètres!$A$1:$I$88,3,0)*0.475*44/12</f>
        <v>4.1268889959982822</v>
      </c>
      <c r="AX64" s="23">
        <f t="shared" si="6"/>
        <v>29.051391660292182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5.4</v>
      </c>
      <c r="BD64" s="13">
        <f>IF('Données projet'!$A$88&gt;35,BD63+BC64-BL63,IF(A64&lt;'Données projet'!$A$88,$BA$205^A64,IF(A64='Données projet'!$A$88,'Données projet'!$B$88,BD63+BC64-BL63)))</f>
        <v>139.39999999999992</v>
      </c>
      <c r="BE64" s="14">
        <f>BD64*VLOOKUP('Données projet'!$B$11,Paramètres!$A$1:$I$88,3,0)*VLOOKUP('Données projet'!$B$11,Paramètres!$A$1:$I$88,5,0)</f>
        <v>141.35159999999993</v>
      </c>
      <c r="BF64" s="14">
        <f t="shared" si="37"/>
        <v>36.606464720907098</v>
      </c>
      <c r="BG64" s="22">
        <f t="shared" si="7"/>
        <v>309.94362938891305</v>
      </c>
      <c r="BH64" s="60">
        <f t="shared" si="8"/>
        <v>603.27696272224637</v>
      </c>
      <c r="BI64" s="60">
        <f ca="1">AVERAGE(OFFSET($BH$3,0,0,'Données projet'!$E$11+1,1))-AVERAGE(OFFSET($H$3,0,0,'Données projet'!$E$11+1,1))</f>
        <v>166.48525819448878</v>
      </c>
      <c r="BJ64" s="60">
        <f t="shared" si="38"/>
        <v>61.876502626609977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7.945592612382292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7.945592612382292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0" t="e">
        <f t="shared" si="11"/>
        <v>#N/A</v>
      </c>
      <c r="CD64" s="60" t="e">
        <f ca="1">AVERAGE(OFFSET($CC$3,0,0,'Données projet'!$E$12+1,1))-AVERAGE(OFFSET($H$3,0,0,'Données projet'!$E$12+1,1))</f>
        <v>#N/A</v>
      </c>
      <c r="CE64" s="60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0" t="e">
        <f t="shared" si="14"/>
        <v>#N/A</v>
      </c>
      <c r="CY64" s="60" t="e">
        <f ca="1">AVERAGE(OFFSET($CX$3,0,0,'Données projet'!$E$13+1,1))-AVERAGE(OFFSET($H$3,0,0,'Données projet'!$E$13+1,1))</f>
        <v>#N/A</v>
      </c>
      <c r="CZ64" s="60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11.4</v>
      </c>
      <c r="N65" s="14">
        <f>IF('Données projet'!$A$36&gt;35,N64+M65-V64,IF(A65&lt;'Données projet'!$A$36,$K$205^A65,IF(A65='Données projet'!$A$36,'Données projet'!$B$36,N64+M65-V64)))</f>
        <v>405.7999999999995</v>
      </c>
      <c r="O65" s="14">
        <f>N65*VLOOKUP('Données projet'!$B$9,Paramètres!$A$1:$I$88,3,0)*VLOOKUP('Données projet'!$B$9,Paramètres!$A$1:$I$88,5,0)</f>
        <v>242.66839999999971</v>
      </c>
      <c r="P65" s="14">
        <f t="shared" si="33"/>
        <v>59.013279764051227</v>
      </c>
      <c r="Q65" s="22">
        <f t="shared" si="53"/>
        <v>525.42892558905544</v>
      </c>
      <c r="R65" s="60">
        <f t="shared" si="0"/>
        <v>818.76225892238881</v>
      </c>
      <c r="S65" s="60">
        <f ca="1">AVERAGE(OFFSET($R$3,0,0,'Données projet'!$E$9+1,1))-AVERAGE(OFFSET($H$3,0,0,'Données projet'!$E$9+1,1))</f>
        <v>222.57099967987045</v>
      </c>
      <c r="T65" s="60">
        <f t="shared" si="34"/>
        <v>221.49027090502796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24.998406844649416</v>
      </c>
      <c r="AA65" s="23">
        <f>EXP(-LN(2)/25)*AA64+(1-EXP(-LN(2)/25))/(LN(2)/25)*Calculateur!V65*Calculateur!X65*VLOOKUP('Données projet'!$B$9,Paramètres!$A$1:$I$88,3,0)*0.475*44/12</f>
        <v>25.720581464961175</v>
      </c>
      <c r="AB65" s="23">
        <f>EXP(-LN(2)/2)*AB64+(1-EXP(-LN(2)/2))/(LN(2)/2)*V65*Y65*VLOOKUP('Données projet'!$B$9,Paramètres!$A$1:$I$88,3,0)*0.475*44/12</f>
        <v>2.2840268751205262</v>
      </c>
      <c r="AC65" s="24">
        <f t="shared" si="3"/>
        <v>53.003015184731119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10</v>
      </c>
      <c r="AI65" s="14">
        <f>IF('Données projet'!$A$62&gt;35,AI64+AH65-AQ64,IF(A65&lt;'Données projet'!$A$62,$AF$205^A65,IF(A65='Données projet'!$A$62,'Données projet'!$B$62,AI64+AH65-AQ64)))</f>
        <v>340</v>
      </c>
      <c r="AJ65" s="14">
        <f>AI65*VLOOKUP('Données projet'!$B$10,Paramètres!$A$1:$I$88,3,0)*VLOOKUP('Données projet'!$B$10,Paramètres!$A$1:$I$88,5,0)</f>
        <v>159.12</v>
      </c>
      <c r="AK65" s="14">
        <f t="shared" si="35"/>
        <v>40.643965284387697</v>
      </c>
      <c r="AL65" s="22">
        <f t="shared" si="4"/>
        <v>347.92223953697521</v>
      </c>
      <c r="AM65" s="60">
        <f t="shared" si="5"/>
        <v>641.25557287030847</v>
      </c>
      <c r="AN65" s="60">
        <f ca="1">AVERAGE(OFFSET($AM$3,0,0,'Données projet'!$E$10+1,1))-AVERAGE(OFFSET($H$3,0,0,'Données projet'!$E$10+1,1))</f>
        <v>147.1675182177155</v>
      </c>
      <c r="AO65" s="60">
        <f t="shared" si="36"/>
        <v>115.86489547584461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9.1718986527394115</v>
      </c>
      <c r="AV65" s="23">
        <f>EXP(-LN(2)/25)*AV64+(1-EXP(-LN(2)/25))/(LN(2)/25)*Calculateur!AQ65*Calculateur!AS65*VLOOKUP('Données projet'!$B$10,Paramètres!$A$1:$I$88,3,0)*0.475*44/12</f>
        <v>15.143412016634516</v>
      </c>
      <c r="AW65" s="23">
        <f>EXP(-LN(2)/2)*AW64+(1-EXP(-LN(2)/2))/(LN(2)/2)*AQ65*AT65*VLOOKUP('Données projet'!$B$10,Paramètres!$A$1:$I$88,3,0)*0.475*44/12</f>
        <v>2.9181511942745284</v>
      </c>
      <c r="AX65" s="23">
        <f t="shared" si="6"/>
        <v>27.233461863648458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5.4</v>
      </c>
      <c r="BD65" s="13">
        <f>IF('Données projet'!$A$88&gt;35,BD64+BC65-BL64,IF(A65&lt;'Données projet'!$A$88,$BA$205^A65,IF(A65='Données projet'!$A$88,'Données projet'!$B$88,BD64+BC65-BL64)))</f>
        <v>144.79999999999993</v>
      </c>
      <c r="BE65" s="14">
        <f>BD65*VLOOKUP('Données projet'!$B$11,Paramètres!$A$1:$I$88,3,0)*VLOOKUP('Données projet'!$B$11,Paramètres!$A$1:$I$88,5,0)</f>
        <v>146.82719999999995</v>
      </c>
      <c r="BF65" s="14">
        <f t="shared" si="37"/>
        <v>37.856660748046949</v>
      </c>
      <c r="BG65" s="22">
        <f t="shared" si="7"/>
        <v>321.65772413618168</v>
      </c>
      <c r="BH65" s="60">
        <f t="shared" si="8"/>
        <v>614.991057469515</v>
      </c>
      <c r="BI65" s="60">
        <f ca="1">AVERAGE(OFFSET($BH$3,0,0,'Données projet'!$E$11+1,1))-AVERAGE(OFFSET($H$3,0,0,'Données projet'!$E$11+1,1))</f>
        <v>166.48525819448878</v>
      </c>
      <c r="BJ65" s="60">
        <f t="shared" si="38"/>
        <v>61.876502626609977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7.7897843875864332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7.7897843875864332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0" t="e">
        <f t="shared" si="11"/>
        <v>#N/A</v>
      </c>
      <c r="CD65" s="60" t="e">
        <f ca="1">AVERAGE(OFFSET($CC$3,0,0,'Données projet'!$E$12+1,1))-AVERAGE(OFFSET($H$3,0,0,'Données projet'!$E$12+1,1))</f>
        <v>#N/A</v>
      </c>
      <c r="CE65" s="60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0" t="e">
        <f t="shared" si="14"/>
        <v>#N/A</v>
      </c>
      <c r="CY65" s="60" t="e">
        <f ca="1">AVERAGE(OFFSET($CX$3,0,0,'Données projet'!$E$13+1,1))-AVERAGE(OFFSET($H$3,0,0,'Données projet'!$E$13+1,1))</f>
        <v>#N/A</v>
      </c>
      <c r="CZ65" s="60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11.4</v>
      </c>
      <c r="N66" s="14">
        <f>IF('Données projet'!$A$36&gt;35,N65+M66-V65,IF(A66&lt;'Données projet'!$A$36,$K$205^A66,IF(A66='Données projet'!$A$36,'Données projet'!$B$36,N65+M66-V65)))</f>
        <v>417.19999999999948</v>
      </c>
      <c r="O66" s="14">
        <f>N66*VLOOKUP('Données projet'!$B$9,Paramètres!$A$1:$I$88,3,0)*VLOOKUP('Données projet'!$B$9,Paramètres!$A$1:$I$88,5,0)</f>
        <v>249.48559999999972</v>
      </c>
      <c r="P66" s="14">
        <f t="shared" si="33"/>
        <v>60.475776633448604</v>
      </c>
      <c r="Q66" s="22">
        <f t="shared" si="53"/>
        <v>539.84939763658917</v>
      </c>
      <c r="R66" s="60">
        <f t="shared" si="0"/>
        <v>833.18273096992243</v>
      </c>
      <c r="S66" s="60">
        <f ca="1">AVERAGE(OFFSET($R$3,0,0,'Données projet'!$E$9+1,1))-AVERAGE(OFFSET($H$3,0,0,'Données projet'!$E$9+1,1))</f>
        <v>222.57099967987045</v>
      </c>
      <c r="T66" s="60">
        <f t="shared" si="34"/>
        <v>221.49027090502796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24.508203333948448</v>
      </c>
      <c r="AA66" s="23">
        <f>EXP(-LN(2)/25)*AA65+(1-EXP(-LN(2)/25))/(LN(2)/25)*Calculateur!V66*Calculateur!X66*VLOOKUP('Données projet'!$B$9,Paramètres!$A$1:$I$88,3,0)*0.475*44/12</f>
        <v>25.017250812215217</v>
      </c>
      <c r="AB66" s="23">
        <f>EXP(-LN(2)/2)*AB65+(1-EXP(-LN(2)/2))/(LN(2)/2)*V66*Y66*VLOOKUP('Données projet'!$B$9,Paramètres!$A$1:$I$88,3,0)*0.475*44/12</f>
        <v>1.6150508918100439</v>
      </c>
      <c r="AC66" s="24">
        <f t="shared" si="3"/>
        <v>51.140505037973711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10</v>
      </c>
      <c r="AI66" s="14">
        <f>IF('Données projet'!$A$62&gt;35,AI65+AH66-AQ65,IF(A66&lt;'Données projet'!$A$62,$AF$205^A66,IF(A66='Données projet'!$A$62,'Données projet'!$B$62,AI65+AH66-AQ65)))</f>
        <v>350</v>
      </c>
      <c r="AJ66" s="14">
        <f>AI66*VLOOKUP('Données projet'!$B$10,Paramètres!$A$1:$I$88,3,0)*VLOOKUP('Données projet'!$B$10,Paramètres!$A$1:$I$88,5,0)</f>
        <v>163.80000000000001</v>
      </c>
      <c r="AK66" s="14">
        <f t="shared" si="35"/>
        <v>41.698441627605334</v>
      </c>
      <c r="AL66" s="22">
        <f t="shared" si="4"/>
        <v>357.90978583474595</v>
      </c>
      <c r="AM66" s="60">
        <f t="shared" si="5"/>
        <v>651.24311916807926</v>
      </c>
      <c r="AN66" s="60">
        <f ca="1">AVERAGE(OFFSET($AM$3,0,0,'Données projet'!$E$10+1,1))-AVERAGE(OFFSET($H$3,0,0,'Données projet'!$E$10+1,1))</f>
        <v>147.1675182177155</v>
      </c>
      <c r="AO66" s="60">
        <f t="shared" si="36"/>
        <v>115.86489547584461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8.9920433144649774</v>
      </c>
      <c r="AV66" s="23">
        <f>EXP(-LN(2)/25)*AV65+(1-EXP(-LN(2)/25))/(LN(2)/25)*Calculateur!AQ66*Calculateur!AS66*VLOOKUP('Données projet'!$B$10,Paramètres!$A$1:$I$88,3,0)*0.475*44/12</f>
        <v>14.729314618682217</v>
      </c>
      <c r="AW66" s="23">
        <f>EXP(-LN(2)/2)*AW65+(1-EXP(-LN(2)/2))/(LN(2)/2)*AQ66*AT66*VLOOKUP('Données projet'!$B$10,Paramètres!$A$1:$I$88,3,0)*0.475*44/12</f>
        <v>2.0634444979991415</v>
      </c>
      <c r="AX66" s="23">
        <f t="shared" si="6"/>
        <v>25.784802431146339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5.4</v>
      </c>
      <c r="BD66" s="13">
        <f>IF('Données projet'!$A$88&gt;35,BD65+BC66-BL65,IF(A66&lt;'Données projet'!$A$88,$BA$205^A66,IF(A66='Données projet'!$A$88,'Données projet'!$B$88,BD65+BC66-BL65)))</f>
        <v>150.19999999999993</v>
      </c>
      <c r="BE66" s="14">
        <f>BD66*VLOOKUP('Données projet'!$B$11,Paramètres!$A$1:$I$88,3,0)*VLOOKUP('Données projet'!$B$11,Paramètres!$A$1:$I$88,5,0)</f>
        <v>152.30279999999993</v>
      </c>
      <c r="BF66" s="14">
        <f t="shared" si="37"/>
        <v>39.101440255006892</v>
      </c>
      <c r="BG66" s="22">
        <f t="shared" si="7"/>
        <v>333.36238511080353</v>
      </c>
      <c r="BH66" s="60">
        <f t="shared" si="8"/>
        <v>626.6957184441369</v>
      </c>
      <c r="BI66" s="60">
        <f ca="1">AVERAGE(OFFSET($BH$3,0,0,'Données projet'!$E$11+1,1))-AVERAGE(OFFSET($H$3,0,0,'Données projet'!$E$11+1,1))</f>
        <v>166.48525819448878</v>
      </c>
      <c r="BJ66" s="60">
        <f t="shared" si="38"/>
        <v>61.876502626609977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7.6370314670451878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7.6370314670451878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0" t="e">
        <f t="shared" si="11"/>
        <v>#N/A</v>
      </c>
      <c r="CD66" s="60" t="e">
        <f ca="1">AVERAGE(OFFSET($CC$3,0,0,'Données projet'!$E$12+1,1))-AVERAGE(OFFSET($H$3,0,0,'Données projet'!$E$12+1,1))</f>
        <v>#N/A</v>
      </c>
      <c r="CE66" s="60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0" t="e">
        <f t="shared" si="14"/>
        <v>#N/A</v>
      </c>
      <c r="CY66" s="60" t="e">
        <f ca="1">AVERAGE(OFFSET($CX$3,0,0,'Données projet'!$E$13+1,1))-AVERAGE(OFFSET($H$3,0,0,'Données projet'!$E$13+1,1))</f>
        <v>#N/A</v>
      </c>
      <c r="CZ66" s="60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11.4</v>
      </c>
      <c r="N67" s="14">
        <f>IF('Données projet'!$A$36&gt;35,N66+M67-V66,IF(A67&lt;'Données projet'!$A$36,$K$205^A67,IF(A67='Données projet'!$A$36,'Données projet'!$B$36,N66+M67-V66)))</f>
        <v>428.59999999999945</v>
      </c>
      <c r="O67" s="14">
        <f>N67*VLOOKUP('Données projet'!$B$9,Paramètres!$A$1:$I$88,3,0)*VLOOKUP('Données projet'!$B$9,Paramètres!$A$1:$I$88,5,0)</f>
        <v>256.30279999999971</v>
      </c>
      <c r="P67" s="14">
        <f t="shared" si="33"/>
        <v>61.933628616328946</v>
      </c>
      <c r="Q67" s="22">
        <f t="shared" ref="Q67:Q98" si="54">(O67+P67)*0.475*44/12</f>
        <v>554.26177984010576</v>
      </c>
      <c r="R67" s="60">
        <f t="shared" ref="R67:R130" si="55">Q67+(I67+J67)*44/12</f>
        <v>847.59511317343913</v>
      </c>
      <c r="S67" s="60">
        <f ca="1">AVERAGE(OFFSET($R$3,0,0,'Données projet'!$E$9+1,1))-AVERAGE(OFFSET($H$3,0,0,'Données projet'!$E$9+1,1))</f>
        <v>222.57099967987045</v>
      </c>
      <c r="T67" s="60">
        <f t="shared" si="34"/>
        <v>221.49027090502796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24.027612415097707</v>
      </c>
      <c r="AA67" s="23">
        <f>EXP(-LN(2)/25)*AA66+(1-EXP(-LN(2)/25))/(LN(2)/25)*Calculateur!V67*Calculateur!X67*VLOOKUP('Données projet'!$B$9,Paramètres!$A$1:$I$88,3,0)*0.475*44/12</f>
        <v>24.333152773155149</v>
      </c>
      <c r="AB67" s="23">
        <f>EXP(-LN(2)/2)*AB66+(1-EXP(-LN(2)/2))/(LN(2)/2)*V67*Y67*VLOOKUP('Données projet'!$B$9,Paramètres!$A$1:$I$88,3,0)*0.475*44/12</f>
        <v>1.1420134375602633</v>
      </c>
      <c r="AC67" s="24">
        <f t="shared" si="3"/>
        <v>49.502778625813121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10</v>
      </c>
      <c r="AI67" s="14">
        <f>IF('Données projet'!$A$62&gt;35,AI66+AH67-AQ66,IF(A67&lt;'Données projet'!$A$62,$AF$205^A67,IF(A67='Données projet'!$A$62,'Données projet'!$B$62,AI66+AH67-AQ66)))</f>
        <v>360</v>
      </c>
      <c r="AJ67" s="14">
        <f>AI67*VLOOKUP('Données projet'!$B$10,Paramètres!$A$1:$I$88,3,0)*VLOOKUP('Données projet'!$B$10,Paramètres!$A$1:$I$88,5,0)</f>
        <v>168.48</v>
      </c>
      <c r="AK67" s="14">
        <f t="shared" si="35"/>
        <v>42.74941640538534</v>
      </c>
      <c r="AL67" s="22">
        <f t="shared" si="4"/>
        <v>367.89123357271274</v>
      </c>
      <c r="AM67" s="60">
        <f t="shared" si="5"/>
        <v>661.22456690604599</v>
      </c>
      <c r="AN67" s="60">
        <f ca="1">AVERAGE(OFFSET($AM$3,0,0,'Données projet'!$E$10+1,1))-AVERAGE(OFFSET($H$3,0,0,'Données projet'!$E$10+1,1))</f>
        <v>147.1675182177155</v>
      </c>
      <c r="AO67" s="60">
        <f t="shared" si="36"/>
        <v>115.86489547584461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8.8157148296731815</v>
      </c>
      <c r="AV67" s="23">
        <f>EXP(-LN(2)/25)*AV66+(1-EXP(-LN(2)/25))/(LN(2)/25)*Calculateur!AQ67*Calculateur!AS67*VLOOKUP('Données projet'!$B$10,Paramètres!$A$1:$I$88,3,0)*0.475*44/12</f>
        <v>14.32654073585336</v>
      </c>
      <c r="AW67" s="23">
        <f>EXP(-LN(2)/2)*AW66+(1-EXP(-LN(2)/2))/(LN(2)/2)*AQ67*AT67*VLOOKUP('Données projet'!$B$10,Paramètres!$A$1:$I$88,3,0)*0.475*44/12</f>
        <v>1.4590755971372644</v>
      </c>
      <c r="AX67" s="23">
        <f t="shared" si="6"/>
        <v>24.601331162663804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5.4</v>
      </c>
      <c r="BD67" s="13">
        <f>IF('Données projet'!$A$88&gt;35,BD66+BC67-BL66,IF(A67&lt;'Données projet'!$A$88,$BA$205^A67,IF(A67='Données projet'!$A$88,'Données projet'!$B$88,BD66+BC67-BL66)))</f>
        <v>155.59999999999994</v>
      </c>
      <c r="BE67" s="14">
        <f>BD67*VLOOKUP('Données projet'!$B$11,Paramètres!$A$1:$I$88,3,0)*VLOOKUP('Données projet'!$B$11,Paramètres!$A$1:$I$88,5,0)</f>
        <v>157.77839999999995</v>
      </c>
      <c r="BF67" s="14">
        <f t="shared" si="37"/>
        <v>40.341020284861067</v>
      </c>
      <c r="BG67" s="22">
        <f t="shared" si="7"/>
        <v>345.05799032946624</v>
      </c>
      <c r="BH67" s="60">
        <f t="shared" si="8"/>
        <v>638.39132366279955</v>
      </c>
      <c r="BI67" s="60">
        <f ca="1">AVERAGE(OFFSET($BH$3,0,0,'Données projet'!$E$11+1,1))-AVERAGE(OFFSET($H$3,0,0,'Données projet'!$E$11+1,1))</f>
        <v>166.48525819448878</v>
      </c>
      <c r="BJ67" s="60">
        <f t="shared" si="38"/>
        <v>61.876502626609977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7.4872739381056741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7.4872739381056741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0" t="e">
        <f t="shared" si="11"/>
        <v>#N/A</v>
      </c>
      <c r="CD67" s="60" t="e">
        <f ca="1">AVERAGE(OFFSET($CC$3,0,0,'Données projet'!$E$12+1,1))-AVERAGE(OFFSET($H$3,0,0,'Données projet'!$E$12+1,1))</f>
        <v>#N/A</v>
      </c>
      <c r="CE67" s="60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0" t="e">
        <f t="shared" si="14"/>
        <v>#N/A</v>
      </c>
      <c r="CY67" s="60" t="e">
        <f ca="1">AVERAGE(OFFSET($CX$3,0,0,'Données projet'!$E$13+1,1))-AVERAGE(OFFSET($H$3,0,0,'Données projet'!$E$13+1,1))</f>
        <v>#N/A</v>
      </c>
      <c r="CZ67" s="60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440</v>
      </c>
      <c r="L68" s="13">
        <f>VLOOKUP(A68,'Données projet'!$A$35:$I$55,9,0)</f>
        <v>11.4</v>
      </c>
      <c r="M68" s="13">
        <f t="array" ref="M68">INDEX(L:L,MIN(IF(ISNUMBER(L68:L264),ROW(L68:L264),"")))</f>
        <v>11.4</v>
      </c>
      <c r="N68" s="14">
        <f>IF('Données projet'!$A$36&gt;35,N67+M68-V67,IF(A68&lt;'Données projet'!$A$36,$K$205^A68,IF(A68='Données projet'!$A$36,'Données projet'!$B$36,N67+M68-V67)))</f>
        <v>439.99999999999943</v>
      </c>
      <c r="O68" s="14">
        <f>N68*VLOOKUP('Données projet'!$B$9,Paramètres!$A$1:$I$88,3,0)*VLOOKUP('Données projet'!$B$9,Paramètres!$A$1:$I$88,5,0)</f>
        <v>263.11999999999966</v>
      </c>
      <c r="P68" s="14">
        <f t="shared" si="33"/>
        <v>63.386973458751953</v>
      </c>
      <c r="Q68" s="22">
        <f t="shared" si="54"/>
        <v>568.66631210732578</v>
      </c>
      <c r="R68" s="60">
        <f t="shared" si="55"/>
        <v>861.99964544065915</v>
      </c>
      <c r="S68" s="60">
        <f ca="1">AVERAGE(OFFSET($R$3,0,0,'Données projet'!$E$9+1,1))-AVERAGE(OFFSET($H$3,0,0,'Données projet'!$E$9+1,1))</f>
        <v>222.57099967987045</v>
      </c>
      <c r="T68" s="60">
        <f t="shared" si="34"/>
        <v>221.49027090502796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26</v>
      </c>
      <c r="W68" s="17">
        <f>IF(ISNA(VLOOKUP(A68,'Données projet'!$A$35:$I$55,5,0)),0%,VLOOKUP(A68,'Données projet'!$A$35:$I$55,5,0)*VLOOKUP('Données projet'!$B$9,Paramètres!$A$1:$I$88,7,0))</f>
        <v>0.36000000000000004</v>
      </c>
      <c r="X68" s="17">
        <f>IF(ISNA(VLOOKUP(A68,'Données projet'!$A$35:$I$55,6,0)),0%,VLOOKUP(A68,'Données projet'!$A$35:$I$55,6,0)*VLOOKUP('Données projet'!$B$9,Paramètres!$A$1:$I$88,7,0))</f>
        <v>5.0400000000000007E-2</v>
      </c>
      <c r="Y68" s="17">
        <f>IF(ISNA(VLOOKUP(A68,'Données projet'!$A$35:$I$55,7,0)),0%,VLOOKUP(A68,'Données projet'!$A$35:$I$55,7,0))</f>
        <v>8.8000000000000009E-2</v>
      </c>
      <c r="Z68" s="23">
        <f>EXP(-LN(2)/35)*Z67+(1-EXP(-LN(2)/35))/(LN(2)/35)*V68*W68*VLOOKUP('Données projet'!$B$9,Paramètres!$A$1:$I$88,3,0)*0.475*44/12</f>
        <v>30.981598286176744</v>
      </c>
      <c r="AA68" s="23">
        <f>EXP(-LN(2)/25)*AA67+(1-EXP(-LN(2)/25))/(LN(2)/25)*Calculateur!V68*Calculateur!X68*VLOOKUP('Données projet'!$B$9,Paramètres!$A$1:$I$88,3,0)*0.475*44/12</f>
        <v>24.703189816517092</v>
      </c>
      <c r="AB68" s="23">
        <f>EXP(-LN(2)/2)*AB67+(1-EXP(-LN(2)/2))/(LN(2)/2)*V68*Y68*VLOOKUP('Données projet'!$B$9,Paramètres!$A$1:$I$88,3,0)*0.475*44/12</f>
        <v>2.3566728489558733</v>
      </c>
      <c r="AC68" s="24">
        <f t="shared" ref="AC68:AC131" si="57">SUM(Z68:AB68)</f>
        <v>58.041460951649711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10</v>
      </c>
      <c r="AI68" s="14">
        <f>IF('Données projet'!$A$62&gt;35,AI67+AH68-AQ67,IF(A68&lt;'Données projet'!$A$62,$AF$205^A68,IF(A68='Données projet'!$A$62,'Données projet'!$B$62,AI67+AH68-AQ67)))</f>
        <v>370</v>
      </c>
      <c r="AJ68" s="14">
        <f>AI68*VLOOKUP('Données projet'!$B$10,Paramètres!$A$1:$I$88,3,0)*VLOOKUP('Données projet'!$B$10,Paramètres!$A$1:$I$88,5,0)</f>
        <v>173.16</v>
      </c>
      <c r="AK68" s="14">
        <f t="shared" si="35"/>
        <v>43.796998058051557</v>
      </c>
      <c r="AL68" s="22">
        <f t="shared" ref="AL68:AL131" si="58">(AJ68+AK68)*0.475*44/12</f>
        <v>377.86677161777311</v>
      </c>
      <c r="AM68" s="60">
        <f t="shared" ref="AM68:AM131" si="59">AL68+(AD68+AE68)*44/12</f>
        <v>671.20010495110637</v>
      </c>
      <c r="AN68" s="60">
        <f ca="1">AVERAGE(OFFSET($AM$3,0,0,'Données projet'!$E$10+1,1))-AVERAGE(OFFSET($H$3,0,0,'Données projet'!$E$10+1,1))</f>
        <v>147.1675182177155</v>
      </c>
      <c r="AO68" s="60">
        <f t="shared" si="36"/>
        <v>115.86489547584461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8.6428440389183958</v>
      </c>
      <c r="AV68" s="23">
        <f>EXP(-LN(2)/25)*AV67+(1-EXP(-LN(2)/25))/(LN(2)/25)*Calculateur!AQ68*Calculateur!AS68*VLOOKUP('Données projet'!$B$10,Paramètres!$A$1:$I$88,3,0)*0.475*44/12</f>
        <v>13.934780726031416</v>
      </c>
      <c r="AW68" s="23">
        <f>EXP(-LN(2)/2)*AW67+(1-EXP(-LN(2)/2))/(LN(2)/2)*AQ68*AT68*VLOOKUP('Données projet'!$B$10,Paramètres!$A$1:$I$88,3,0)*0.475*44/12</f>
        <v>1.0317222489995708</v>
      </c>
      <c r="AX68" s="23">
        <f t="shared" ref="AX68:AX131" si="60">SUM(AU68:AW68)</f>
        <v>23.609347013949382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5.4</v>
      </c>
      <c r="BC68" s="13">
        <f t="array" ref="BC68">INDEX(BB:BB,MIN(IF(ISNUMBER(BB68:BB264),ROW(BB68:BB264),"")))</f>
        <v>5.4</v>
      </c>
      <c r="BD68" s="13">
        <f>IF('Données projet'!$A$88&gt;35,BD67+BC68-BL67,IF(A68&lt;'Données projet'!$A$88,$BA$205^A68,IF(A68='Données projet'!$A$88,'Données projet'!$B$88,BD67+BC68-BL67)))</f>
        <v>160.99999999999994</v>
      </c>
      <c r="BE68" s="14">
        <f>BD68*VLOOKUP('Données projet'!$B$11,Paramètres!$A$1:$I$88,3,0)*VLOOKUP('Données projet'!$B$11,Paramètres!$A$1:$I$88,5,0)</f>
        <v>163.25399999999993</v>
      </c>
      <c r="BF68" s="14">
        <f t="shared" si="37"/>
        <v>41.575601961656915</v>
      </c>
      <c r="BG68" s="22">
        <f t="shared" ref="BG68:BG131" si="61">(BE68+BF68)*0.475*44/12</f>
        <v>356.74489008321899</v>
      </c>
      <c r="BH68" s="60">
        <f t="shared" ref="BH68:BH131" si="62">BG68+(AY68+AZ68)*44/12</f>
        <v>650.07822341655231</v>
      </c>
      <c r="BI68" s="60">
        <f ca="1">AVERAGE(OFFSET($BH$3,0,0,'Données projet'!$E$11+1,1))-AVERAGE(OFFSET($H$3,0,0,'Données projet'!$E$11+1,1))</f>
        <v>166.48525819448878</v>
      </c>
      <c r="BJ68" s="60">
        <f t="shared" si="38"/>
        <v>61.876502626609977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projet'!$B$11,Paramètres!$A$1:$I$88,7,0))</f>
        <v>0.17200000000000001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10.03969335431575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10.03969335431575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0" t="e">
        <f t="shared" ref="CC68:CC131" si="65">CB68+(BT68+BU68)*44/12</f>
        <v>#N/A</v>
      </c>
      <c r="CD68" s="60" t="e">
        <f ca="1">AVERAGE(OFFSET($CC$3,0,0,'Données projet'!$E$12+1,1))-AVERAGE(OFFSET($H$3,0,0,'Données projet'!$E$12+1,1))</f>
        <v>#N/A</v>
      </c>
      <c r="CE68" s="60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0" t="e">
        <f t="shared" ref="CX68:CX131" si="68">CW68+(CO68+CP68)*44/12</f>
        <v>#N/A</v>
      </c>
      <c r="CY68" s="60" t="e">
        <f ca="1">AVERAGE(OFFSET($CX$3,0,0,'Données projet'!$E$13+1,1))-AVERAGE(OFFSET($H$3,0,0,'Données projet'!$E$13+1,1))</f>
        <v>#N/A</v>
      </c>
      <c r="CZ68" s="60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10</v>
      </c>
      <c r="N69" s="14">
        <f>IF('Données projet'!$A$36&gt;35,N68+M69-V68,IF(A69&lt;'Données projet'!$A$36,$K$205^A69,IF(A69='Données projet'!$A$36,'Données projet'!$B$36,N68+M69-V68)))</f>
        <v>423.99999999999943</v>
      </c>
      <c r="O69" s="14">
        <f>N69*VLOOKUP('Données projet'!$B$9,Paramètres!$A$1:$I$88,3,0)*VLOOKUP('Données projet'!$B$9,Paramètres!$A$1:$I$88,5,0)</f>
        <v>253.55199999999968</v>
      </c>
      <c r="P69" s="14">
        <f t="shared" ref="P69:P132" si="87">EXP(-1.0587+0.8836*LN(O69)+0.284)</f>
        <v>61.34592254261343</v>
      </c>
      <c r="Q69" s="22">
        <f t="shared" si="54"/>
        <v>548.44721509505109</v>
      </c>
      <c r="R69" s="60">
        <f t="shared" si="55"/>
        <v>841.78054842838446</v>
      </c>
      <c r="S69" s="60">
        <f ca="1">AVERAGE(OFFSET($R$3,0,0,'Données projet'!$E$9+1,1))-AVERAGE(OFFSET($H$3,0,0,'Données projet'!$E$9+1,1))</f>
        <v>222.57099967987045</v>
      </c>
      <c r="T69" s="60">
        <f t="shared" ref="T69:T132" si="88">$T$3</f>
        <v>221.49027090502796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30.374068040693857</v>
      </c>
      <c r="AA69" s="23">
        <f>EXP(-LN(2)/25)*AA68+(1-EXP(-LN(2)/25))/(LN(2)/25)*Calculateur!V69*Calculateur!X69*VLOOKUP('Données projet'!$B$9,Paramètres!$A$1:$I$88,3,0)*0.475*44/12</f>
        <v>24.027679791900141</v>
      </c>
      <c r="AB69" s="23">
        <f>EXP(-LN(2)/2)*AB68+(1-EXP(-LN(2)/2))/(LN(2)/2)*V69*Y69*VLOOKUP('Données projet'!$B$9,Paramètres!$A$1:$I$88,3,0)*0.475*44/12</f>
        <v>1.6664193525349182</v>
      </c>
      <c r="AC69" s="24">
        <f t="shared" si="57"/>
        <v>56.068167185128914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10</v>
      </c>
      <c r="AI69" s="14">
        <f>IF('Données projet'!$A$62&gt;35,AI68+AH69-AQ68,IF(A69&lt;'Données projet'!$A$62,$AF$205^A69,IF(A69='Données projet'!$A$62,'Données projet'!$B$62,AI68+AH69-AQ68)))</f>
        <v>380</v>
      </c>
      <c r="AJ69" s="14">
        <f>AI69*VLOOKUP('Données projet'!$B$10,Paramètres!$A$1:$I$88,3,0)*VLOOKUP('Données projet'!$B$10,Paramètres!$A$1:$I$88,5,0)</f>
        <v>177.83999999999997</v>
      </c>
      <c r="AK69" s="14">
        <f t="shared" ref="AK69:AK132" si="89">EXP(-1.0587+0.8836*LN(AJ69)+0.284)</f>
        <v>44.841288830609102</v>
      </c>
      <c r="AL69" s="22">
        <f t="shared" si="58"/>
        <v>387.83657804664409</v>
      </c>
      <c r="AM69" s="60">
        <f t="shared" si="59"/>
        <v>681.16991137997741</v>
      </c>
      <c r="AN69" s="60">
        <f ca="1">AVERAGE(OFFSET($AM$3,0,0,'Données projet'!$E$10+1,1))-AVERAGE(OFFSET($H$3,0,0,'Données projet'!$E$10+1,1))</f>
        <v>147.1675182177155</v>
      </c>
      <c r="AO69" s="60">
        <f t="shared" ref="AO69:AO132" si="90">$AO$3</f>
        <v>115.86489547584461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8.4733631389295407</v>
      </c>
      <c r="AV69" s="23">
        <f>EXP(-LN(2)/25)*AV68+(1-EXP(-LN(2)/25))/(LN(2)/25)*Calculateur!AQ69*Calculateur!AS69*VLOOKUP('Données projet'!$B$10,Paramètres!$A$1:$I$88,3,0)*0.475*44/12</f>
        <v>13.553733414279817</v>
      </c>
      <c r="AW69" s="23">
        <f>EXP(-LN(2)/2)*AW68+(1-EXP(-LN(2)/2))/(LN(2)/2)*AQ69*AT69*VLOOKUP('Données projet'!$B$10,Paramètres!$A$1:$I$88,3,0)*0.475*44/12</f>
        <v>0.72953779856863221</v>
      </c>
      <c r="AX69" s="23">
        <f t="shared" si="60"/>
        <v>22.75663435177799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</v>
      </c>
      <c r="BD69" s="13">
        <f>IF('Données projet'!$A$88&gt;35,BD68+BC69-BL68,IF(A69&lt;'Données projet'!$A$88,$BA$205^A69,IF(A69='Données projet'!$A$88,'Données projet'!$B$88,BD68+BC69-BL68)))</f>
        <v>151.99999999999994</v>
      </c>
      <c r="BE69" s="14">
        <f>BD69*VLOOKUP('Données projet'!$B$11,Paramètres!$A$1:$I$88,3,0)*VLOOKUP('Données projet'!$B$11,Paramètres!$A$1:$I$88,5,0)</f>
        <v>154.12799999999996</v>
      </c>
      <c r="BF69" s="14">
        <f t="shared" ref="BF69:BF132" si="91">EXP(-1.0587+0.8836*LN(BE69)+0.284)</f>
        <v>39.515201075361155</v>
      </c>
      <c r="BG69" s="22">
        <f t="shared" si="61"/>
        <v>337.26190853958724</v>
      </c>
      <c r="BH69" s="60">
        <f t="shared" si="62"/>
        <v>630.5952418729205</v>
      </c>
      <c r="BI69" s="60">
        <f ca="1">AVERAGE(OFFSET($BH$3,0,0,'Données projet'!$E$11+1,1))-AVERAGE(OFFSET($H$3,0,0,'Données projet'!$E$11+1,1))</f>
        <v>166.48525819448878</v>
      </c>
      <c r="BJ69" s="60">
        <f t="shared" ref="BJ69:BJ132" si="92">$BJ$3</f>
        <v>61.876502626609977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9.8428210912459075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9.8428210912459075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0" t="e">
        <f t="shared" si="65"/>
        <v>#N/A</v>
      </c>
      <c r="CD69" s="60" t="e">
        <f ca="1">AVERAGE(OFFSET($CC$3,0,0,'Données projet'!$E$12+1,1))-AVERAGE(OFFSET($H$3,0,0,'Données projet'!$E$12+1,1))</f>
        <v>#N/A</v>
      </c>
      <c r="CE69" s="60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0" t="e">
        <f t="shared" si="68"/>
        <v>#N/A</v>
      </c>
      <c r="CY69" s="60" t="e">
        <f ca="1">AVERAGE(OFFSET($CX$3,0,0,'Données projet'!$E$13+1,1))-AVERAGE(OFFSET($H$3,0,0,'Données projet'!$E$13+1,1))</f>
        <v>#N/A</v>
      </c>
      <c r="CZ69" s="60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10</v>
      </c>
      <c r="N70" s="14">
        <f>IF('Données projet'!$A$36&gt;35,N69+M70-V69,IF(A70&lt;'Données projet'!$A$36,$K$205^A70,IF(A70='Données projet'!$A$36,'Données projet'!$B$36,N69+M70-V69)))</f>
        <v>433.99999999999943</v>
      </c>
      <c r="O70" s="14">
        <f>N70*VLOOKUP('Données projet'!$B$9,Paramètres!$A$1:$I$88,3,0)*VLOOKUP('Données projet'!$B$9,Paramètres!$A$1:$I$88,5,0)</f>
        <v>259.5319999999997</v>
      </c>
      <c r="P70" s="14">
        <f t="shared" si="87"/>
        <v>62.622608810743841</v>
      </c>
      <c r="Q70" s="22">
        <f t="shared" si="54"/>
        <v>561.0859436787116</v>
      </c>
      <c r="R70" s="60">
        <f t="shared" si="55"/>
        <v>854.41927701204486</v>
      </c>
      <c r="S70" s="60">
        <f ca="1">AVERAGE(OFFSET($R$3,0,0,'Données projet'!$E$9+1,1))-AVERAGE(OFFSET($H$3,0,0,'Données projet'!$E$9+1,1))</f>
        <v>222.57099967987045</v>
      </c>
      <c r="T70" s="60">
        <f t="shared" si="88"/>
        <v>221.49027090502796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29.77845109276803</v>
      </c>
      <c r="AA70" s="23">
        <f>EXP(-LN(2)/25)*AA69+(1-EXP(-LN(2)/25))/(LN(2)/25)*Calculateur!V70*Calculateur!X70*VLOOKUP('Données projet'!$B$9,Paramètres!$A$1:$I$88,3,0)*0.475*44/12</f>
        <v>23.370641624429869</v>
      </c>
      <c r="AB70" s="23">
        <f>EXP(-LN(2)/2)*AB69+(1-EXP(-LN(2)/2))/(LN(2)/2)*V70*Y70*VLOOKUP('Données projet'!$B$9,Paramètres!$A$1:$I$88,3,0)*0.475*44/12</f>
        <v>1.1783364244779366</v>
      </c>
      <c r="AC70" s="24">
        <f t="shared" si="57"/>
        <v>54.327429141675836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10</v>
      </c>
      <c r="AI70" s="14">
        <f>IF('Données projet'!$A$62&gt;35,AI69+AH70-AQ69,IF(A70&lt;'Données projet'!$A$62,$AF$205^A70,IF(A70='Données projet'!$A$62,'Données projet'!$B$62,AI69+AH70-AQ69)))</f>
        <v>390</v>
      </c>
      <c r="AJ70" s="14">
        <f>AI70*VLOOKUP('Données projet'!$B$10,Paramètres!$A$1:$I$88,3,0)*VLOOKUP('Données projet'!$B$10,Paramètres!$A$1:$I$88,5,0)</f>
        <v>182.52</v>
      </c>
      <c r="AK70" s="14">
        <f t="shared" si="89"/>
        <v>45.882385280285632</v>
      </c>
      <c r="AL70" s="22">
        <f t="shared" si="58"/>
        <v>397.80082102983079</v>
      </c>
      <c r="AM70" s="60">
        <f t="shared" si="59"/>
        <v>691.13415436316404</v>
      </c>
      <c r="AN70" s="60">
        <f ca="1">AVERAGE(OFFSET($AM$3,0,0,'Données projet'!$E$10+1,1))-AVERAGE(OFFSET($H$3,0,0,'Données projet'!$E$10+1,1))</f>
        <v>147.1675182177155</v>
      </c>
      <c r="AO70" s="60">
        <f t="shared" si="90"/>
        <v>115.86489547584461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8.3072056560163254</v>
      </c>
      <c r="AV70" s="23">
        <f>EXP(-LN(2)/25)*AV69+(1-EXP(-LN(2)/25))/(LN(2)/25)*Calculateur!AQ70*Calculateur!AS70*VLOOKUP('Données projet'!$B$10,Paramètres!$A$1:$I$88,3,0)*0.475*44/12</f>
        <v>13.183105861306473</v>
      </c>
      <c r="AW70" s="23">
        <f>EXP(-LN(2)/2)*AW69+(1-EXP(-LN(2)/2))/(LN(2)/2)*AQ70*AT70*VLOOKUP('Données projet'!$B$10,Paramètres!$A$1:$I$88,3,0)*0.475*44/12</f>
        <v>0.51586112449978538</v>
      </c>
      <c r="AX70" s="23">
        <f t="shared" si="60"/>
        <v>22.006172641822584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</v>
      </c>
      <c r="BD70" s="13">
        <f>IF('Données projet'!$A$88&gt;35,BD69+BC70-BL69,IF(A70&lt;'Données projet'!$A$88,$BA$205^A70,IF(A70='Données projet'!$A$88,'Données projet'!$B$88,BD69+BC70-BL69)))</f>
        <v>156.99999999999994</v>
      </c>
      <c r="BE70" s="14">
        <f>BD70*VLOOKUP('Données projet'!$B$11,Paramètres!$A$1:$I$88,3,0)*VLOOKUP('Données projet'!$B$11,Paramètres!$A$1:$I$88,5,0)</f>
        <v>159.19799999999995</v>
      </c>
      <c r="BF70" s="14">
        <f t="shared" si="91"/>
        <v>40.661569197787273</v>
      </c>
      <c r="BG70" s="22">
        <f t="shared" si="61"/>
        <v>348.088749686146</v>
      </c>
      <c r="BH70" s="60">
        <f t="shared" si="62"/>
        <v>641.42208301947926</v>
      </c>
      <c r="BI70" s="60">
        <f ca="1">AVERAGE(OFFSET($BH$3,0,0,'Données projet'!$E$11+1,1))-AVERAGE(OFFSET($H$3,0,0,'Données projet'!$E$11+1,1))</f>
        <v>166.48525819448878</v>
      </c>
      <c r="BJ70" s="60">
        <f t="shared" si="92"/>
        <v>61.876502626609977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9.6498093731746426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9.6498093731746426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0" t="e">
        <f t="shared" si="65"/>
        <v>#N/A</v>
      </c>
      <c r="CD70" s="60" t="e">
        <f ca="1">AVERAGE(OFFSET($CC$3,0,0,'Données projet'!$E$12+1,1))-AVERAGE(OFFSET($H$3,0,0,'Données projet'!$E$12+1,1))</f>
        <v>#N/A</v>
      </c>
      <c r="CE70" s="60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0" t="e">
        <f t="shared" si="68"/>
        <v>#N/A</v>
      </c>
      <c r="CY70" s="60" t="e">
        <f ca="1">AVERAGE(OFFSET($CX$3,0,0,'Données projet'!$E$13+1,1))-AVERAGE(OFFSET($H$3,0,0,'Données projet'!$E$13+1,1))</f>
        <v>#N/A</v>
      </c>
      <c r="CZ70" s="60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10</v>
      </c>
      <c r="N71" s="14">
        <f>IF('Données projet'!$A$36&gt;35,N70+M71-V70,IF(A71&lt;'Données projet'!$A$36,$K$205^A71,IF(A71='Données projet'!$A$36,'Données projet'!$B$36,N70+M71-V70)))</f>
        <v>443.99999999999943</v>
      </c>
      <c r="O71" s="14">
        <f>N71*VLOOKUP('Données projet'!$B$9,Paramètres!$A$1:$I$88,3,0)*VLOOKUP('Données projet'!$B$9,Paramètres!$A$1:$I$88,5,0)</f>
        <v>265.51199999999972</v>
      </c>
      <c r="P71" s="14">
        <f t="shared" si="87"/>
        <v>63.895875238848802</v>
      </c>
      <c r="Q71" s="22">
        <f t="shared" si="54"/>
        <v>573.71871604099454</v>
      </c>
      <c r="R71" s="60">
        <f t="shared" si="55"/>
        <v>867.05204937432791</v>
      </c>
      <c r="S71" s="60">
        <f ca="1">AVERAGE(OFFSET($R$3,0,0,'Données projet'!$E$9+1,1))-AVERAGE(OFFSET($H$3,0,0,'Données projet'!$E$9+1,1))</f>
        <v>222.57099967987045</v>
      </c>
      <c r="T71" s="60">
        <f t="shared" si="88"/>
        <v>221.49027090502796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29.194513829900561</v>
      </c>
      <c r="AA71" s="23">
        <f>EXP(-LN(2)/25)*AA70+(1-EXP(-LN(2)/25))/(LN(2)/25)*Calculateur!V71*Calculateur!X71*VLOOKUP('Données projet'!$B$9,Paramètres!$A$1:$I$88,3,0)*0.475*44/12</f>
        <v>22.731570200201205</v>
      </c>
      <c r="AB71" s="23">
        <f>EXP(-LN(2)/2)*AB70+(1-EXP(-LN(2)/2))/(LN(2)/2)*V71*Y71*VLOOKUP('Données projet'!$B$9,Paramètres!$A$1:$I$88,3,0)*0.475*44/12</f>
        <v>0.83320967626745912</v>
      </c>
      <c r="AC71" s="24">
        <f t="shared" si="57"/>
        <v>52.75929370636922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10</v>
      </c>
      <c r="AI71" s="14">
        <f>IF('Données projet'!$A$62&gt;35,AI70+AH71-AQ70,IF(A71&lt;'Données projet'!$A$62,$AF$205^A71,IF(A71='Données projet'!$A$62,'Données projet'!$B$62,AI70+AH71-AQ70)))</f>
        <v>400</v>
      </c>
      <c r="AJ71" s="14">
        <f>AI71*VLOOKUP('Données projet'!$B$10,Paramètres!$A$1:$I$88,3,0)*VLOOKUP('Données projet'!$B$10,Paramètres!$A$1:$I$88,5,0)</f>
        <v>187.20000000000002</v>
      </c>
      <c r="AK71" s="14">
        <f t="shared" si="89"/>
        <v>46.920378730551299</v>
      </c>
      <c r="AL71" s="22">
        <f t="shared" si="58"/>
        <v>407.75965962237683</v>
      </c>
      <c r="AM71" s="60">
        <f t="shared" si="59"/>
        <v>701.09299295571009</v>
      </c>
      <c r="AN71" s="60">
        <f ca="1">AVERAGE(OFFSET($AM$3,0,0,'Données projet'!$E$10+1,1))-AVERAGE(OFFSET($H$3,0,0,'Données projet'!$E$10+1,1))</f>
        <v>147.1675182177155</v>
      </c>
      <c r="AO71" s="60">
        <f t="shared" si="90"/>
        <v>115.86489547584461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8.1443064199969815</v>
      </c>
      <c r="AV71" s="23">
        <f>EXP(-LN(2)/25)*AV70+(1-EXP(-LN(2)/25))/(LN(2)/25)*Calculateur!AQ71*Calculateur!AS71*VLOOKUP('Données projet'!$B$10,Paramètres!$A$1:$I$88,3,0)*0.475*44/12</f>
        <v>12.822613138259641</v>
      </c>
      <c r="AW71" s="23">
        <f>EXP(-LN(2)/2)*AW70+(1-EXP(-LN(2)/2))/(LN(2)/2)*AQ71*AT71*VLOOKUP('Données projet'!$B$10,Paramètres!$A$1:$I$88,3,0)*0.475*44/12</f>
        <v>0.36476889928431611</v>
      </c>
      <c r="AX71" s="23">
        <f t="shared" si="60"/>
        <v>21.331688457540935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</v>
      </c>
      <c r="BD71" s="13">
        <f>IF('Données projet'!$A$88&gt;35,BD70+BC71-BL70,IF(A71&lt;'Données projet'!$A$88,$BA$205^A71,IF(A71='Données projet'!$A$88,'Données projet'!$B$88,BD70+BC71-BL70)))</f>
        <v>161.99999999999994</v>
      </c>
      <c r="BE71" s="14">
        <f>BD71*VLOOKUP('Données projet'!$B$11,Paramètres!$A$1:$I$88,3,0)*VLOOKUP('Données projet'!$B$11,Paramètres!$A$1:$I$88,5,0)</f>
        <v>164.26799999999994</v>
      </c>
      <c r="BF71" s="14">
        <f t="shared" si="91"/>
        <v>41.803694835525619</v>
      </c>
      <c r="BG71" s="22">
        <f t="shared" si="61"/>
        <v>358.90820183854038</v>
      </c>
      <c r="BH71" s="60">
        <f t="shared" si="62"/>
        <v>652.24153517187369</v>
      </c>
      <c r="BI71" s="60">
        <f ca="1">AVERAGE(OFFSET($BH$3,0,0,'Données projet'!$E$11+1,1))-AVERAGE(OFFSET($H$3,0,0,'Données projet'!$E$11+1,1))</f>
        <v>166.48525819448878</v>
      </c>
      <c r="BJ71" s="60">
        <f t="shared" si="92"/>
        <v>61.876502626609977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9.4605824971692307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9.4605824971692307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0" t="e">
        <f t="shared" si="65"/>
        <v>#N/A</v>
      </c>
      <c r="CD71" s="60" t="e">
        <f ca="1">AVERAGE(OFFSET($CC$3,0,0,'Données projet'!$E$12+1,1))-AVERAGE(OFFSET($H$3,0,0,'Données projet'!$E$12+1,1))</f>
        <v>#N/A</v>
      </c>
      <c r="CE71" s="60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0" t="e">
        <f t="shared" si="68"/>
        <v>#N/A</v>
      </c>
      <c r="CY71" s="60" t="e">
        <f ca="1">AVERAGE(OFFSET($CX$3,0,0,'Données projet'!$E$13+1,1))-AVERAGE(OFFSET($H$3,0,0,'Données projet'!$E$13+1,1))</f>
        <v>#N/A</v>
      </c>
      <c r="CZ71" s="60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10</v>
      </c>
      <c r="N72" s="14">
        <f>IF('Données projet'!$A$36&gt;35,N71+M72-V71,IF(A72&lt;'Données projet'!$A$36,$K$205^A72,IF(A72='Données projet'!$A$36,'Données projet'!$B$36,N71+M72-V71)))</f>
        <v>453.99999999999943</v>
      </c>
      <c r="O72" s="14">
        <f>N72*VLOOKUP('Données projet'!$B$9,Paramètres!$A$1:$I$88,3,0)*VLOOKUP('Données projet'!$B$9,Paramètres!$A$1:$I$88,5,0)</f>
        <v>271.49199999999968</v>
      </c>
      <c r="P72" s="14">
        <f t="shared" si="87"/>
        <v>65.165807717935252</v>
      </c>
      <c r="Q72" s="22">
        <f t="shared" si="54"/>
        <v>586.34568177540336</v>
      </c>
      <c r="R72" s="60">
        <f t="shared" si="55"/>
        <v>879.67901510873662</v>
      </c>
      <c r="S72" s="60">
        <f ca="1">AVERAGE(OFFSET($R$3,0,0,'Données projet'!$E$9+1,1))-AVERAGE(OFFSET($H$3,0,0,'Données projet'!$E$9+1,1))</f>
        <v>222.57099967987045</v>
      </c>
      <c r="T72" s="60">
        <f t="shared" si="88"/>
        <v>221.49027090502796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28.622027220591363</v>
      </c>
      <c r="AA72" s="23">
        <f>EXP(-LN(2)/25)*AA71+(1-EXP(-LN(2)/25))/(LN(2)/25)*Calculateur!V72*Calculateur!X72*VLOOKUP('Données projet'!$B$9,Paramètres!$A$1:$I$88,3,0)*0.475*44/12</f>
        <v>22.109974217675379</v>
      </c>
      <c r="AB72" s="23">
        <f>EXP(-LN(2)/2)*AB71+(1-EXP(-LN(2)/2))/(LN(2)/2)*V72*Y72*VLOOKUP('Données projet'!$B$9,Paramètres!$A$1:$I$88,3,0)*0.475*44/12</f>
        <v>0.58916821223896831</v>
      </c>
      <c r="AC72" s="24">
        <f t="shared" si="57"/>
        <v>51.321169650505709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10</v>
      </c>
      <c r="AI72" s="14">
        <f>IF('Données projet'!$A$62&gt;35,AI71+AH72-AQ71,IF(A72&lt;'Données projet'!$A$62,$AF$205^A72,IF(A72='Données projet'!$A$62,'Données projet'!$B$62,AI71+AH72-AQ71)))</f>
        <v>410</v>
      </c>
      <c r="AJ72" s="14">
        <f>AI72*VLOOKUP('Données projet'!$B$10,Paramètres!$A$1:$I$88,3,0)*VLOOKUP('Données projet'!$B$10,Paramètres!$A$1:$I$88,5,0)</f>
        <v>191.88</v>
      </c>
      <c r="AK72" s="14">
        <f t="shared" si="89"/>
        <v>47.955355678459618</v>
      </c>
      <c r="AL72" s="22">
        <f t="shared" si="58"/>
        <v>417.71324447331716</v>
      </c>
      <c r="AM72" s="60">
        <f t="shared" si="59"/>
        <v>711.04657780665048</v>
      </c>
      <c r="AN72" s="60">
        <f ca="1">AVERAGE(OFFSET($AM$3,0,0,'Données projet'!$E$10+1,1))-AVERAGE(OFFSET($H$3,0,0,'Données projet'!$E$10+1,1))</f>
        <v>147.1675182177155</v>
      </c>
      <c r="AO72" s="60">
        <f t="shared" si="90"/>
        <v>115.86489547584461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7.9846015386372535</v>
      </c>
      <c r="AV72" s="23">
        <f>EXP(-LN(2)/25)*AV71+(1-EXP(-LN(2)/25))/(LN(2)/25)*Calculateur!AQ72*Calculateur!AS72*VLOOKUP('Données projet'!$B$10,Paramètres!$A$1:$I$88,3,0)*0.475*44/12</f>
        <v>12.471978107682013</v>
      </c>
      <c r="AW72" s="23">
        <f>EXP(-LN(2)/2)*AW71+(1-EXP(-LN(2)/2))/(LN(2)/2)*AQ72*AT72*VLOOKUP('Données projet'!$B$10,Paramètres!$A$1:$I$88,3,0)*0.475*44/12</f>
        <v>0.25793056224989269</v>
      </c>
      <c r="AX72" s="23">
        <f t="shared" si="60"/>
        <v>20.714510208569159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</v>
      </c>
      <c r="BD72" s="13">
        <f>IF('Données projet'!$A$88&gt;35,BD71+BC72-BL71,IF(A72&lt;'Données projet'!$A$88,$BA$205^A72,IF(A72='Données projet'!$A$88,'Données projet'!$B$88,BD71+BC72-BL71)))</f>
        <v>166.99999999999994</v>
      </c>
      <c r="BE72" s="14">
        <f>BD72*VLOOKUP('Données projet'!$B$11,Paramètres!$A$1:$I$88,3,0)*VLOOKUP('Données projet'!$B$11,Paramètres!$A$1:$I$88,5,0)</f>
        <v>169.33799999999997</v>
      </c>
      <c r="BF72" s="14">
        <f t="shared" si="91"/>
        <v>42.941723955722921</v>
      </c>
      <c r="BG72" s="22">
        <f t="shared" si="61"/>
        <v>369.72051922288398</v>
      </c>
      <c r="BH72" s="60">
        <f t="shared" si="62"/>
        <v>663.05385255621729</v>
      </c>
      <c r="BI72" s="60">
        <f ca="1">AVERAGE(OFFSET($BH$3,0,0,'Données projet'!$E$11+1,1))-AVERAGE(OFFSET($H$3,0,0,'Données projet'!$E$11+1,1))</f>
        <v>166.48525819448878</v>
      </c>
      <c r="BJ72" s="60">
        <f t="shared" si="92"/>
        <v>61.876502626609977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9.2750662447852879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9.2750662447852879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0" t="e">
        <f t="shared" si="65"/>
        <v>#N/A</v>
      </c>
      <c r="CD72" s="60" t="e">
        <f ca="1">AVERAGE(OFFSET($CC$3,0,0,'Données projet'!$E$12+1,1))-AVERAGE(OFFSET($H$3,0,0,'Données projet'!$E$12+1,1))</f>
        <v>#N/A</v>
      </c>
      <c r="CE72" s="60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0" t="e">
        <f t="shared" si="68"/>
        <v>#N/A</v>
      </c>
      <c r="CY72" s="60" t="e">
        <f ca="1">AVERAGE(OFFSET($CX$3,0,0,'Données projet'!$E$13+1,1))-AVERAGE(OFFSET($H$3,0,0,'Données projet'!$E$13+1,1))</f>
        <v>#N/A</v>
      </c>
      <c r="CZ72" s="60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464</v>
      </c>
      <c r="L73" s="13">
        <f>VLOOKUP(A73,'Données projet'!$A$35:$I$55,9,0)</f>
        <v>10</v>
      </c>
      <c r="M73" s="13">
        <f t="array" ref="M73">INDEX(L:L,MIN(IF(ISNUMBER(L73:L269),ROW(L73:L269),"")))</f>
        <v>10</v>
      </c>
      <c r="N73" s="14">
        <f>IF('Données projet'!$A$36&gt;35,N72+M73-V72,IF(A73&lt;'Données projet'!$A$36,$K$205^A73,IF(A73='Données projet'!$A$36,'Données projet'!$B$36,N72+M73-V72)))</f>
        <v>463.99999999999943</v>
      </c>
      <c r="O73" s="14">
        <f>N73*VLOOKUP('Données projet'!$B$9,Paramètres!$A$1:$I$88,3,0)*VLOOKUP('Données projet'!$B$9,Paramètres!$A$1:$I$88,5,0)</f>
        <v>277.4719999999997</v>
      </c>
      <c r="P73" s="14">
        <f t="shared" si="87"/>
        <v>66.432488139207578</v>
      </c>
      <c r="Q73" s="22">
        <f t="shared" si="54"/>
        <v>598.96698350911936</v>
      </c>
      <c r="R73" s="60">
        <f t="shared" si="55"/>
        <v>892.30031684245273</v>
      </c>
      <c r="S73" s="60">
        <f ca="1">AVERAGE(OFFSET($R$3,0,0,'Données projet'!$E$9+1,1))-AVERAGE(OFFSET($H$3,0,0,'Données projet'!$E$9+1,1))</f>
        <v>222.57099967987045</v>
      </c>
      <c r="T73" s="60">
        <f t="shared" si="88"/>
        <v>221.49027090502796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464</v>
      </c>
      <c r="W73" s="17">
        <f>IF(ISNA(VLOOKUP(A73,'Données projet'!$A$35:$I$55,5,0)),0%,VLOOKUP(A73,'Données projet'!$A$35:$I$55,5,0)*VLOOKUP('Données projet'!$B$9,Paramètres!$A$1:$I$88,7,0))</f>
        <v>0.36000000000000004</v>
      </c>
      <c r="X73" s="17">
        <f>IF(ISNA(VLOOKUP(A73,'Données projet'!$A$35:$I$55,6,0)),0%,VLOOKUP(A73,'Données projet'!$A$35:$I$55,6,0)*VLOOKUP('Données projet'!$B$9,Paramètres!$A$1:$I$88,7,0))</f>
        <v>5.0400000000000007E-2</v>
      </c>
      <c r="Y73" s="17">
        <f>IF(ISNA(VLOOKUP(A73,'Données projet'!$A$35:$I$55,7,0)),0%,VLOOKUP(A73,'Données projet'!$A$35:$I$55,7,0))</f>
        <v>8.8000000000000009E-2</v>
      </c>
      <c r="Z73" s="23">
        <f>EXP(-LN(2)/35)*Z72+(1-EXP(-LN(2)/35))/(LN(2)/35)*V73*W73*VLOOKUP('Données projet'!$B$9,Paramètres!$A$1:$I$88,3,0)*0.475*44/12</f>
        <v>160.57118405320765</v>
      </c>
      <c r="AA73" s="23">
        <f>EXP(-LN(2)/25)*AA72+(1-EXP(-LN(2)/25))/(LN(2)/25)*Calculateur!V73*Calculateur!X73*VLOOKUP('Données projet'!$B$9,Paramètres!$A$1:$I$88,3,0)*0.475*44/12</f>
        <v>39.983790075514861</v>
      </c>
      <c r="AB73" s="23">
        <f>EXP(-LN(2)/2)*AB72+(1-EXP(-LN(2)/2))/(LN(2)/2)*V73*Y73*VLOOKUP('Données projet'!$B$9,Paramètres!$A$1:$I$88,3,0)*0.475*44/12</f>
        <v>28.062927723348924</v>
      </c>
      <c r="AC73" s="24">
        <f t="shared" si="57"/>
        <v>228.61790185207144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420</v>
      </c>
      <c r="AG73" s="13">
        <f>VLOOKUP(A73,'Données projet'!$A$61:$I$81,9,0)</f>
        <v>10</v>
      </c>
      <c r="AH73" s="13">
        <f t="array" ref="AH73">INDEX(AG:AG,MIN(IF(ISNUMBER(AG73:AG269),ROW(AG73:AG269),"")))</f>
        <v>10</v>
      </c>
      <c r="AI73" s="14">
        <f>IF('Données projet'!$A$62&gt;35,AI72+AH73-AQ72,IF(A73&lt;'Données projet'!$A$62,$AF$205^A73,IF(A73='Données projet'!$A$62,'Données projet'!$B$62,AI72+AH73-AQ72)))</f>
        <v>420</v>
      </c>
      <c r="AJ73" s="14">
        <f>AI73*VLOOKUP('Données projet'!$B$10,Paramètres!$A$1:$I$88,3,0)*VLOOKUP('Données projet'!$B$10,Paramètres!$A$1:$I$88,5,0)</f>
        <v>196.56</v>
      </c>
      <c r="AK73" s="14">
        <f t="shared" si="89"/>
        <v>48.987398161128091</v>
      </c>
      <c r="AL73" s="22">
        <f t="shared" si="58"/>
        <v>427.66171846396475</v>
      </c>
      <c r="AM73" s="60">
        <f t="shared" si="59"/>
        <v>720.99505179729806</v>
      </c>
      <c r="AN73" s="60">
        <f ca="1">AVERAGE(OFFSET($AM$3,0,0,'Données projet'!$E$10+1,1))-AVERAGE(OFFSET($H$3,0,0,'Données projet'!$E$10+1,1))</f>
        <v>147.1675182177155</v>
      </c>
      <c r="AO73" s="60">
        <f t="shared" si="90"/>
        <v>115.86489547584461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50</v>
      </c>
      <c r="AR73" s="17">
        <f>IF(ISNA(VLOOKUP(A73,'Données projet'!$A$61:$I$81,5,0)),0%,VLOOKUP(A73,'Données projet'!$A$61:$I$81,5,0)*VLOOKUP('Données projet'!$B$10,Paramètres!$A$1:$I$88,7,0))</f>
        <v>0.22000000000000003</v>
      </c>
      <c r="AS73" s="17">
        <f>IF(ISNA(VLOOKUP(A73,'Données projet'!$A$61:$I$81,6,0)),0%,VLOOKUP(A73,'Données projet'!$A$61:$I$81,6,0)*VLOOKUP('Données projet'!$B$10,Paramètres!$A$1:$I$88,7,0))</f>
        <v>0.18480000000000002</v>
      </c>
      <c r="AT73" s="17">
        <f>IF(ISNA(VLOOKUP(A73,'Données projet'!$A$61:$I$81,7,0)),0%,VLOOKUP(A73,'Données projet'!$A$61:$I$81,7,0))</f>
        <v>0.26400000000000001</v>
      </c>
      <c r="AU73" s="23">
        <f>EXP(-LN(2)/35)*AU72+(1-EXP(-LN(2)/35))/(LN(2)/35)*AQ73*AR73*VLOOKUP('Données projet'!$B$10,Paramètres!$A$1:$I$88,3,0)*0.475*44/12</f>
        <v>14.657182189193385</v>
      </c>
      <c r="AV73" s="23">
        <f>EXP(-LN(2)/25)*AV72+(1-EXP(-LN(2)/25))/(LN(2)/25)*Calculateur!AQ73*Calculateur!AS73*VLOOKUP('Données projet'!$B$10,Paramètres!$A$1:$I$88,3,0)*0.475*44/12</f>
        <v>17.844833672623377</v>
      </c>
      <c r="AW73" s="23">
        <f>EXP(-LN(2)/2)*AW72+(1-EXP(-LN(2)/2))/(LN(2)/2)*AQ73*AT73*VLOOKUP('Données projet'!$B$10,Paramètres!$A$1:$I$88,3,0)*0.475*44/12</f>
        <v>7.1768626908416531</v>
      </c>
      <c r="AX73" s="23">
        <f t="shared" si="60"/>
        <v>39.678878552658411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172</v>
      </c>
      <c r="BB73" s="13">
        <f>VLOOKUP(A73,'Données projet'!$A$87:$I$107,9,0)</f>
        <v>5</v>
      </c>
      <c r="BC73" s="13">
        <f t="array" ref="BC73">INDEX(BB:BB,MIN(IF(ISNUMBER(BB73:BB269),ROW(BB73:BB269),"")))</f>
        <v>5</v>
      </c>
      <c r="BD73" s="13">
        <f>IF('Données projet'!$A$88&gt;35,BD72+BC73-BL72,IF(A73&lt;'Données projet'!$A$88,$BA$205^A73,IF(A73='Données projet'!$A$88,'Données projet'!$B$88,BD72+BC73-BL72)))</f>
        <v>171.99999999999994</v>
      </c>
      <c r="BE73" s="14">
        <f>BD73*VLOOKUP('Données projet'!$B$11,Paramètres!$A$1:$I$88,3,0)*VLOOKUP('Données projet'!$B$11,Paramètres!$A$1:$I$88,5,0)</f>
        <v>174.40799999999996</v>
      </c>
      <c r="BF73" s="14">
        <f t="shared" si="91"/>
        <v>44.075793288194788</v>
      </c>
      <c r="BG73" s="22">
        <f t="shared" si="61"/>
        <v>380.52593997693924</v>
      </c>
      <c r="BH73" s="60">
        <f t="shared" si="62"/>
        <v>673.85927331027256</v>
      </c>
      <c r="BI73" s="60">
        <f ca="1">AVERAGE(OFFSET($BH$3,0,0,'Données projet'!$E$11+1,1))-AVERAGE(OFFSET($H$3,0,0,'Données projet'!$E$11+1,1))</f>
        <v>166.48525819448878</v>
      </c>
      <c r="BJ73" s="60">
        <f t="shared" si="92"/>
        <v>61.876502626609977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projet'!$B$11,Paramètres!$A$1:$I$88,7,0))</f>
        <v>0.215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12.467238217144551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12.467238217144551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0" t="e">
        <f t="shared" si="65"/>
        <v>#N/A</v>
      </c>
      <c r="CD73" s="60" t="e">
        <f ca="1">AVERAGE(OFFSET($CC$3,0,0,'Données projet'!$E$12+1,1))-AVERAGE(OFFSET($H$3,0,0,'Données projet'!$E$12+1,1))</f>
        <v>#N/A</v>
      </c>
      <c r="CE73" s="60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0" t="e">
        <f t="shared" si="68"/>
        <v>#N/A</v>
      </c>
      <c r="CY73" s="60" t="e">
        <f ca="1">AVERAGE(OFFSET($CX$3,0,0,'Données projet'!$E$13+1,1))-AVERAGE(OFFSET($H$3,0,0,'Données projet'!$E$13+1,1))</f>
        <v>#N/A</v>
      </c>
      <c r="CZ73" s="60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-5.6843418860808015E-13</v>
      </c>
      <c r="O74" s="14">
        <f>N74*VLOOKUP('Données projet'!$B$9,Paramètres!$A$1:$I$88,3,0)*VLOOKUP('Données projet'!$B$9,Paramètres!$A$1:$I$88,5,0)</f>
        <v>-3.39923644787632E-13</v>
      </c>
      <c r="P74" s="14" t="e">
        <f t="shared" si="8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222.57099967987045</v>
      </c>
      <c r="T74" s="60">
        <f t="shared" si="88"/>
        <v>221.49027090502796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157.42248107267588</v>
      </c>
      <c r="AA74" s="23">
        <f>EXP(-LN(2)/25)*AA73+(1-EXP(-LN(2)/25))/(LN(2)/25)*Calculateur!V74*Calculateur!X74*VLOOKUP('Données projet'!$B$9,Paramètres!$A$1:$I$88,3,0)*0.475*44/12</f>
        <v>38.890431233243774</v>
      </c>
      <c r="AB74" s="23">
        <f>EXP(-LN(2)/2)*AB73+(1-EXP(-LN(2)/2))/(LN(2)/2)*V74*Y74*VLOOKUP('Données projet'!$B$9,Paramètres!$A$1:$I$88,3,0)*0.475*44/12</f>
        <v>19.843486493127987</v>
      </c>
      <c r="AC74" s="24">
        <f t="shared" si="57"/>
        <v>216.15639879904765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10</v>
      </c>
      <c r="AI74" s="14">
        <f>IF('Données projet'!$A$62&gt;35,AI73+AH74-AQ73,IF(A74&lt;'Données projet'!$A$62,$AF$205^A74,IF(A74='Données projet'!$A$62,'Données projet'!$B$62,AI73+AH74-AQ73)))</f>
        <v>380</v>
      </c>
      <c r="AJ74" s="14">
        <f>AI74*VLOOKUP('Données projet'!$B$10,Paramètres!$A$1:$I$88,3,0)*VLOOKUP('Données projet'!$B$10,Paramètres!$A$1:$I$88,5,0)</f>
        <v>177.83999999999997</v>
      </c>
      <c r="AK74" s="14">
        <f t="shared" si="89"/>
        <v>44.841288830609102</v>
      </c>
      <c r="AL74" s="22">
        <f t="shared" si="58"/>
        <v>387.83657804664409</v>
      </c>
      <c r="AM74" s="60">
        <f t="shared" si="59"/>
        <v>681.16991137997741</v>
      </c>
      <c r="AN74" s="60">
        <f ca="1">AVERAGE(OFFSET($AM$3,0,0,'Données projet'!$E$10+1,1))-AVERAGE(OFFSET($H$3,0,0,'Données projet'!$E$10+1,1))</f>
        <v>147.1675182177155</v>
      </c>
      <c r="AO74" s="60">
        <f t="shared" si="90"/>
        <v>115.86489547584461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14.369763786461686</v>
      </c>
      <c r="AV74" s="23">
        <f>EXP(-LN(2)/25)*AV73+(1-EXP(-LN(2)/25))/(LN(2)/25)*Calculateur!AQ74*Calculateur!AS74*VLOOKUP('Données projet'!$B$10,Paramètres!$A$1:$I$88,3,0)*0.475*44/12</f>
        <v>17.356865757426473</v>
      </c>
      <c r="AW74" s="23">
        <f>EXP(-LN(2)/2)*AW73+(1-EXP(-LN(2)/2))/(LN(2)/2)*AQ74*AT74*VLOOKUP('Données projet'!$B$10,Paramètres!$A$1:$I$88,3,0)*0.475*44/12</f>
        <v>5.0748082763388656</v>
      </c>
      <c r="AX74" s="23">
        <f t="shared" si="60"/>
        <v>36.801437820227022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</v>
      </c>
      <c r="BD74" s="13">
        <f>IF('Données projet'!$A$88&gt;35,BD73+BC74-BL73,IF(A74&lt;'Données projet'!$A$88,$BA$205^A74,IF(A74='Données projet'!$A$88,'Données projet'!$B$88,BD73+BC74-BL73)))</f>
        <v>162.99999999999994</v>
      </c>
      <c r="BE74" s="14">
        <f>BD74*VLOOKUP('Données projet'!$B$11,Paramètres!$A$1:$I$88,3,0)*VLOOKUP('Données projet'!$B$11,Paramètres!$A$1:$I$88,5,0)</f>
        <v>165.28199999999995</v>
      </c>
      <c r="BF74" s="14">
        <f t="shared" si="91"/>
        <v>42.031623878204442</v>
      </c>
      <c r="BG74" s="22">
        <f t="shared" si="61"/>
        <v>361.07122825453934</v>
      </c>
      <c r="BH74" s="60">
        <f t="shared" si="62"/>
        <v>654.40456158787265</v>
      </c>
      <c r="BI74" s="60">
        <f ca="1">AVERAGE(OFFSET($BH$3,0,0,'Données projet'!$E$11+1,1))-AVERAGE(OFFSET($H$3,0,0,'Données projet'!$E$11+1,1))</f>
        <v>166.48525819448878</v>
      </c>
      <c r="BJ74" s="60">
        <f t="shared" si="92"/>
        <v>61.876502626609977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12.222763279970801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12.222763279970801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0" t="e">
        <f t="shared" si="65"/>
        <v>#N/A</v>
      </c>
      <c r="CD74" s="60" t="e">
        <f ca="1">AVERAGE(OFFSET($CC$3,0,0,'Données projet'!$E$12+1,1))-AVERAGE(OFFSET($H$3,0,0,'Données projet'!$E$12+1,1))</f>
        <v>#N/A</v>
      </c>
      <c r="CE74" s="60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0" t="e">
        <f t="shared" si="68"/>
        <v>#N/A</v>
      </c>
      <c r="CY74" s="60" t="e">
        <f ca="1">AVERAGE(OFFSET($CX$3,0,0,'Données projet'!$E$13+1,1))-AVERAGE(OFFSET($H$3,0,0,'Données projet'!$E$13+1,1))</f>
        <v>#N/A</v>
      </c>
      <c r="CZ74" s="60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-5.6843418860808015E-13</v>
      </c>
      <c r="O75" s="14">
        <f>N75*VLOOKUP('Données projet'!$B$9,Paramètres!$A$1:$I$88,3,0)*VLOOKUP('Données projet'!$B$9,Paramètres!$A$1:$I$88,5,0)</f>
        <v>-3.39923644787632E-13</v>
      </c>
      <c r="P75" s="14" t="e">
        <f t="shared" si="8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222.57099967987045</v>
      </c>
      <c r="T75" s="60">
        <f t="shared" si="88"/>
        <v>221.49027090502796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154.33552223707315</v>
      </c>
      <c r="AA75" s="23">
        <f>EXP(-LN(2)/25)*AA74+(1-EXP(-LN(2)/25))/(LN(2)/25)*Calculateur!V75*Calculateur!X75*VLOOKUP('Données projet'!$B$9,Paramètres!$A$1:$I$88,3,0)*0.475*44/12</f>
        <v>37.826970346011827</v>
      </c>
      <c r="AB75" s="23">
        <f>EXP(-LN(2)/2)*AB74+(1-EXP(-LN(2)/2))/(LN(2)/2)*V75*Y75*VLOOKUP('Données projet'!$B$9,Paramètres!$A$1:$I$88,3,0)*0.475*44/12</f>
        <v>14.031463861674464</v>
      </c>
      <c r="AC75" s="24">
        <f t="shared" si="57"/>
        <v>206.19395644475944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10</v>
      </c>
      <c r="AI75" s="14">
        <f>IF('Données projet'!$A$62&gt;35,AI74+AH75-AQ74,IF(A75&lt;'Données projet'!$A$62,$AF$205^A75,IF(A75='Données projet'!$A$62,'Données projet'!$B$62,AI74+AH75-AQ74)))</f>
        <v>390</v>
      </c>
      <c r="AJ75" s="14">
        <f>AI75*VLOOKUP('Données projet'!$B$10,Paramètres!$A$1:$I$88,3,0)*VLOOKUP('Données projet'!$B$10,Paramètres!$A$1:$I$88,5,0)</f>
        <v>182.52</v>
      </c>
      <c r="AK75" s="14">
        <f t="shared" si="89"/>
        <v>45.882385280285632</v>
      </c>
      <c r="AL75" s="22">
        <f t="shared" si="58"/>
        <v>397.80082102983079</v>
      </c>
      <c r="AM75" s="60">
        <f t="shared" si="59"/>
        <v>691.13415436316404</v>
      </c>
      <c r="AN75" s="60">
        <f ca="1">AVERAGE(OFFSET($AM$3,0,0,'Données projet'!$E$10+1,1))-AVERAGE(OFFSET($H$3,0,0,'Données projet'!$E$10+1,1))</f>
        <v>147.1675182177155</v>
      </c>
      <c r="AO75" s="60">
        <f t="shared" si="90"/>
        <v>115.86489547584461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14.087981483299641</v>
      </c>
      <c r="AV75" s="23">
        <f>EXP(-LN(2)/25)*AV74+(1-EXP(-LN(2)/25))/(LN(2)/25)*Calculateur!AQ75*Calculateur!AS75*VLOOKUP('Données projet'!$B$10,Paramètres!$A$1:$I$88,3,0)*0.475*44/12</f>
        <v>16.882241350531746</v>
      </c>
      <c r="AW75" s="23">
        <f>EXP(-LN(2)/2)*AW74+(1-EXP(-LN(2)/2))/(LN(2)/2)*AQ75*AT75*VLOOKUP('Données projet'!$B$10,Paramètres!$A$1:$I$88,3,0)*0.475*44/12</f>
        <v>3.588431345420827</v>
      </c>
      <c r="AX75" s="23">
        <f t="shared" si="60"/>
        <v>34.558654179252215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</v>
      </c>
      <c r="BD75" s="13">
        <f>IF('Données projet'!$A$88&gt;35,BD74+BC75-BL74,IF(A75&lt;'Données projet'!$A$88,$BA$205^A75,IF(A75='Données projet'!$A$88,'Données projet'!$B$88,BD74+BC75-BL74)))</f>
        <v>167.99999999999994</v>
      </c>
      <c r="BE75" s="14">
        <f>BD75*VLOOKUP('Données projet'!$B$11,Paramètres!$A$1:$I$88,3,0)*VLOOKUP('Données projet'!$B$11,Paramètres!$A$1:$I$88,5,0)</f>
        <v>170.35199999999995</v>
      </c>
      <c r="BF75" s="14">
        <f t="shared" si="91"/>
        <v>43.168850382694451</v>
      </c>
      <c r="BG75" s="22">
        <f t="shared" si="61"/>
        <v>371.88214774985937</v>
      </c>
      <c r="BH75" s="60">
        <f t="shared" si="62"/>
        <v>665.21548108319269</v>
      </c>
      <c r="BI75" s="60">
        <f ca="1">AVERAGE(OFFSET($BH$3,0,0,'Données projet'!$E$11+1,1))-AVERAGE(OFFSET($H$3,0,0,'Données projet'!$E$11+1,1))</f>
        <v>166.48525819448878</v>
      </c>
      <c r="BJ75" s="60">
        <f t="shared" si="92"/>
        <v>61.876502626609977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11.983082347200039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11.983082347200039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0" t="e">
        <f t="shared" si="65"/>
        <v>#N/A</v>
      </c>
      <c r="CD75" s="60" t="e">
        <f ca="1">AVERAGE(OFFSET($CC$3,0,0,'Données projet'!$E$12+1,1))-AVERAGE(OFFSET($H$3,0,0,'Données projet'!$E$12+1,1))</f>
        <v>#N/A</v>
      </c>
      <c r="CE75" s="60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0" t="e">
        <f t="shared" si="68"/>
        <v>#N/A</v>
      </c>
      <c r="CY75" s="60" t="e">
        <f ca="1">AVERAGE(OFFSET($CX$3,0,0,'Données projet'!$E$13+1,1))-AVERAGE(OFFSET($H$3,0,0,'Données projet'!$E$13+1,1))</f>
        <v>#N/A</v>
      </c>
      <c r="CZ75" s="60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-5.6843418860808015E-13</v>
      </c>
      <c r="O76" s="14">
        <f>N76*VLOOKUP('Données projet'!$B$9,Paramètres!$A$1:$I$88,3,0)*VLOOKUP('Données projet'!$B$9,Paramètres!$A$1:$I$88,5,0)</f>
        <v>-3.39923644787632E-13</v>
      </c>
      <c r="P76" s="14" t="e">
        <f t="shared" si="8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222.57099967987045</v>
      </c>
      <c r="T76" s="60">
        <f t="shared" si="88"/>
        <v>221.49027090502796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151.3090967813776</v>
      </c>
      <c r="AA76" s="23">
        <f>EXP(-LN(2)/25)*AA75+(1-EXP(-LN(2)/25))/(LN(2)/25)*Calculateur!V76*Calculateur!X76*VLOOKUP('Données projet'!$B$9,Paramètres!$A$1:$I$88,3,0)*0.475*44/12</f>
        <v>36.792589852666218</v>
      </c>
      <c r="AB76" s="23">
        <f>EXP(-LN(2)/2)*AB75+(1-EXP(-LN(2)/2))/(LN(2)/2)*V76*Y76*VLOOKUP('Données projet'!$B$9,Paramètres!$A$1:$I$88,3,0)*0.475*44/12</f>
        <v>9.9217432465639952</v>
      </c>
      <c r="AC76" s="24">
        <f t="shared" si="57"/>
        <v>198.02342988060784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10</v>
      </c>
      <c r="AI76" s="14">
        <f>IF('Données projet'!$A$62&gt;35,AI75+AH76-AQ75,IF(A76&lt;'Données projet'!$A$62,$AF$205^A76,IF(A76='Données projet'!$A$62,'Données projet'!$B$62,AI75+AH76-AQ75)))</f>
        <v>400</v>
      </c>
      <c r="AJ76" s="14">
        <f>AI76*VLOOKUP('Données projet'!$B$10,Paramètres!$A$1:$I$88,3,0)*VLOOKUP('Données projet'!$B$10,Paramètres!$A$1:$I$88,5,0)</f>
        <v>187.20000000000002</v>
      </c>
      <c r="AK76" s="14">
        <f t="shared" si="89"/>
        <v>46.920378730551299</v>
      </c>
      <c r="AL76" s="22">
        <f t="shared" si="58"/>
        <v>407.75965962237683</v>
      </c>
      <c r="AM76" s="60">
        <f t="shared" si="59"/>
        <v>701.09299295571009</v>
      </c>
      <c r="AN76" s="60">
        <f ca="1">AVERAGE(OFFSET($AM$3,0,0,'Données projet'!$E$10+1,1))-AVERAGE(OFFSET($H$3,0,0,'Données projet'!$E$10+1,1))</f>
        <v>147.1675182177155</v>
      </c>
      <c r="AO76" s="60">
        <f t="shared" si="90"/>
        <v>115.86489547584461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13.811724759232369</v>
      </c>
      <c r="AV76" s="23">
        <f>EXP(-LN(2)/25)*AV75+(1-EXP(-LN(2)/25))/(LN(2)/25)*Calculateur!AQ76*Calculateur!AS76*VLOOKUP('Données projet'!$B$10,Paramètres!$A$1:$I$88,3,0)*0.475*44/12</f>
        <v>16.420595573002966</v>
      </c>
      <c r="AW76" s="23">
        <f>EXP(-LN(2)/2)*AW75+(1-EXP(-LN(2)/2))/(LN(2)/2)*AQ76*AT76*VLOOKUP('Données projet'!$B$10,Paramètres!$A$1:$I$88,3,0)*0.475*44/12</f>
        <v>2.5374041381694332</v>
      </c>
      <c r="AX76" s="23">
        <f t="shared" si="60"/>
        <v>32.769724470404768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172.99999999999994</v>
      </c>
      <c r="BE76" s="14">
        <f>BD76*VLOOKUP('Données projet'!$B$11,Paramètres!$A$1:$I$88,3,0)*VLOOKUP('Données projet'!$B$11,Paramètres!$A$1:$I$88,5,0)</f>
        <v>175.42199999999994</v>
      </c>
      <c r="BF76" s="14">
        <f t="shared" si="91"/>
        <v>44.302143412304737</v>
      </c>
      <c r="BG76" s="22">
        <f t="shared" si="61"/>
        <v>382.68621644309729</v>
      </c>
      <c r="BH76" s="60">
        <f t="shared" si="62"/>
        <v>676.01954977643061</v>
      </c>
      <c r="BI76" s="60">
        <f ca="1">AVERAGE(OFFSET($BH$3,0,0,'Données projet'!$E$11+1,1))-AVERAGE(OFFSET($H$3,0,0,'Données projet'!$E$11+1,1))</f>
        <v>166.48525819448878</v>
      </c>
      <c r="BJ76" s="60">
        <f t="shared" si="92"/>
        <v>61.876502626609977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11.748101411329978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11.748101411329978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0" t="e">
        <f t="shared" si="65"/>
        <v>#N/A</v>
      </c>
      <c r="CD76" s="60" t="e">
        <f ca="1">AVERAGE(OFFSET($CC$3,0,0,'Données projet'!$E$12+1,1))-AVERAGE(OFFSET($H$3,0,0,'Données projet'!$E$12+1,1))</f>
        <v>#N/A</v>
      </c>
      <c r="CE76" s="60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0" t="e">
        <f t="shared" si="68"/>
        <v>#N/A</v>
      </c>
      <c r="CY76" s="60" t="e">
        <f ca="1">AVERAGE(OFFSET($CX$3,0,0,'Données projet'!$E$13+1,1))-AVERAGE(OFFSET($H$3,0,0,'Données projet'!$E$13+1,1))</f>
        <v>#N/A</v>
      </c>
      <c r="CZ76" s="60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-5.6843418860808015E-13</v>
      </c>
      <c r="O77" s="14">
        <f>N77*VLOOKUP('Données projet'!$B$9,Paramètres!$A$1:$I$88,3,0)*VLOOKUP('Données projet'!$B$9,Paramètres!$A$1:$I$88,5,0)</f>
        <v>-3.39923644787632E-13</v>
      </c>
      <c r="P77" s="14" t="e">
        <f t="shared" si="8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222.57099967987045</v>
      </c>
      <c r="T77" s="60">
        <f t="shared" si="88"/>
        <v>221.49027090502796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148.34201768293102</v>
      </c>
      <c r="AA77" s="23">
        <f>EXP(-LN(2)/25)*AA76+(1-EXP(-LN(2)/25))/(LN(2)/25)*Calculateur!V77*Calculateur!X77*VLOOKUP('Données projet'!$B$9,Paramètres!$A$1:$I$88,3,0)*0.475*44/12</f>
        <v>35.786494548306848</v>
      </c>
      <c r="AB77" s="23">
        <f>EXP(-LN(2)/2)*AB76+(1-EXP(-LN(2)/2))/(LN(2)/2)*V77*Y77*VLOOKUP('Données projet'!$B$9,Paramètres!$A$1:$I$88,3,0)*0.475*44/12</f>
        <v>7.0157319308372328</v>
      </c>
      <c r="AC77" s="24">
        <f t="shared" si="57"/>
        <v>191.1442441620751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10</v>
      </c>
      <c r="AI77" s="14">
        <f>IF('Données projet'!$A$62&gt;35,AI76+AH77-AQ76,IF(A77&lt;'Données projet'!$A$62,$AF$205^A77,IF(A77='Données projet'!$A$62,'Données projet'!$B$62,AI76+AH77-AQ76)))</f>
        <v>410</v>
      </c>
      <c r="AJ77" s="14">
        <f>AI77*VLOOKUP('Données projet'!$B$10,Paramètres!$A$1:$I$88,3,0)*VLOOKUP('Données projet'!$B$10,Paramètres!$A$1:$I$88,5,0)</f>
        <v>191.88</v>
      </c>
      <c r="AK77" s="14">
        <f t="shared" si="89"/>
        <v>47.955355678459618</v>
      </c>
      <c r="AL77" s="22">
        <f t="shared" si="58"/>
        <v>417.71324447331716</v>
      </c>
      <c r="AM77" s="60">
        <f t="shared" si="59"/>
        <v>711.04657780665048</v>
      </c>
      <c r="AN77" s="60">
        <f ca="1">AVERAGE(OFFSET($AM$3,0,0,'Données projet'!$E$10+1,1))-AVERAGE(OFFSET($H$3,0,0,'Données projet'!$E$10+1,1))</f>
        <v>147.1675182177155</v>
      </c>
      <c r="AO77" s="60">
        <f t="shared" si="90"/>
        <v>115.86489547584461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13.540885261024092</v>
      </c>
      <c r="AV77" s="23">
        <f>EXP(-LN(2)/25)*AV76+(1-EXP(-LN(2)/25))/(LN(2)/25)*Calculateur!AQ77*Calculateur!AS77*VLOOKUP('Données projet'!$B$10,Paramètres!$A$1:$I$88,3,0)*0.475*44/12</f>
        <v>15.971573523537609</v>
      </c>
      <c r="AW77" s="23">
        <f>EXP(-LN(2)/2)*AW76+(1-EXP(-LN(2)/2))/(LN(2)/2)*AQ77*AT77*VLOOKUP('Données projet'!$B$10,Paramètres!$A$1:$I$88,3,0)*0.475*44/12</f>
        <v>1.7942156727104137</v>
      </c>
      <c r="AX77" s="23">
        <f t="shared" si="60"/>
        <v>31.306674457272116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177.99999999999994</v>
      </c>
      <c r="BE77" s="14">
        <f>BD77*VLOOKUP('Données projet'!$B$11,Paramètres!$A$1:$I$88,3,0)*VLOOKUP('Données projet'!$B$11,Paramètres!$A$1:$I$88,5,0)</f>
        <v>180.49199999999993</v>
      </c>
      <c r="BF77" s="14">
        <f t="shared" si="91"/>
        <v>45.431629706642617</v>
      </c>
      <c r="BG77" s="22">
        <f t="shared" si="61"/>
        <v>393.48365507240237</v>
      </c>
      <c r="BH77" s="60">
        <f t="shared" si="62"/>
        <v>686.81698840573563</v>
      </c>
      <c r="BI77" s="60">
        <f ca="1">AVERAGE(OFFSET($BH$3,0,0,'Données projet'!$E$11+1,1))-AVERAGE(OFFSET($H$3,0,0,'Données projet'!$E$11+1,1))</f>
        <v>166.48525819448878</v>
      </c>
      <c r="BJ77" s="60">
        <f t="shared" si="92"/>
        <v>61.876502626609977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11.517728308288111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11.517728308288111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0" t="e">
        <f t="shared" si="65"/>
        <v>#N/A</v>
      </c>
      <c r="CD77" s="60" t="e">
        <f ca="1">AVERAGE(OFFSET($CC$3,0,0,'Données projet'!$E$12+1,1))-AVERAGE(OFFSET($H$3,0,0,'Données projet'!$E$12+1,1))</f>
        <v>#N/A</v>
      </c>
      <c r="CE77" s="60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0" t="e">
        <f t="shared" si="68"/>
        <v>#N/A</v>
      </c>
      <c r="CY77" s="60" t="e">
        <f ca="1">AVERAGE(OFFSET($CX$3,0,0,'Données projet'!$E$13+1,1))-AVERAGE(OFFSET($H$3,0,0,'Données projet'!$E$13+1,1))</f>
        <v>#N/A</v>
      </c>
      <c r="CZ77" s="60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-5.6843418860808015E-13</v>
      </c>
      <c r="O78" s="14">
        <f>N78*VLOOKUP('Données projet'!$B$9,Paramètres!$A$1:$I$88,3,0)*VLOOKUP('Données projet'!$B$9,Paramètres!$A$1:$I$88,5,0)</f>
        <v>-3.39923644787632E-13</v>
      </c>
      <c r="P78" s="14" t="e">
        <f t="shared" si="8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222.57099967987045</v>
      </c>
      <c r="T78" s="60">
        <f t="shared" si="88"/>
        <v>221.49027090502796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145.4331211958654</v>
      </c>
      <c r="AA78" s="23">
        <f>EXP(-LN(2)/25)*AA77+(1-EXP(-LN(2)/25))/(LN(2)/25)*Calculateur!V78*Calculateur!X78*VLOOKUP('Données projet'!$B$9,Paramètres!$A$1:$I$88,3,0)*0.475*44/12</f>
        <v>34.807910972953444</v>
      </c>
      <c r="AB78" s="23">
        <f>EXP(-LN(2)/2)*AB77+(1-EXP(-LN(2)/2))/(LN(2)/2)*V78*Y78*VLOOKUP('Données projet'!$B$9,Paramètres!$A$1:$I$88,3,0)*0.475*44/12</f>
        <v>4.9608716232819985</v>
      </c>
      <c r="AC78" s="24">
        <f t="shared" si="57"/>
        <v>185.20190379210084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10</v>
      </c>
      <c r="AI78" s="14">
        <f>IF('Données projet'!$A$62&gt;35,AI77+AH78-AQ77,IF(A78&lt;'Données projet'!$A$62,$AF$205^A78,IF(A78='Données projet'!$A$62,'Données projet'!$B$62,AI77+AH78-AQ77)))</f>
        <v>420</v>
      </c>
      <c r="AJ78" s="14">
        <f>AI78*VLOOKUP('Données projet'!$B$10,Paramètres!$A$1:$I$88,3,0)*VLOOKUP('Données projet'!$B$10,Paramètres!$A$1:$I$88,5,0)</f>
        <v>196.56</v>
      </c>
      <c r="AK78" s="14">
        <f t="shared" si="89"/>
        <v>48.987398161128091</v>
      </c>
      <c r="AL78" s="22">
        <f t="shared" si="58"/>
        <v>427.66171846396475</v>
      </c>
      <c r="AM78" s="60">
        <f t="shared" si="59"/>
        <v>720.99505179729806</v>
      </c>
      <c r="AN78" s="60">
        <f ca="1">AVERAGE(OFFSET($AM$3,0,0,'Données projet'!$E$10+1,1))-AVERAGE(OFFSET($H$3,0,0,'Données projet'!$E$10+1,1))</f>
        <v>147.1675182177155</v>
      </c>
      <c r="AO78" s="60">
        <f t="shared" si="90"/>
        <v>115.86489547584461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13.275356760179898</v>
      </c>
      <c r="AV78" s="23">
        <f>EXP(-LN(2)/25)*AV77+(1-EXP(-LN(2)/25))/(LN(2)/25)*Calculateur!AQ78*Calculateur!AS78*VLOOKUP('Données projet'!$B$10,Paramètres!$A$1:$I$88,3,0)*0.475*44/12</f>
        <v>15.534830005627924</v>
      </c>
      <c r="AW78" s="23">
        <f>EXP(-LN(2)/2)*AW77+(1-EXP(-LN(2)/2))/(LN(2)/2)*AQ78*AT78*VLOOKUP('Données projet'!$B$10,Paramètres!$A$1:$I$88,3,0)*0.475*44/12</f>
        <v>1.2687020690847168</v>
      </c>
      <c r="AX78" s="23">
        <f t="shared" si="60"/>
        <v>30.078888834892538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5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182.99999999999994</v>
      </c>
      <c r="BE78" s="14">
        <f>BD78*VLOOKUP('Données projet'!$B$11,Paramètres!$A$1:$I$88,3,0)*VLOOKUP('Données projet'!$B$11,Paramètres!$A$1:$I$88,5,0)</f>
        <v>185.56199999999995</v>
      </c>
      <c r="BF78" s="14">
        <f t="shared" si="91"/>
        <v>46.557428480028591</v>
      </c>
      <c r="BG78" s="22">
        <f t="shared" si="61"/>
        <v>404.27467126938308</v>
      </c>
      <c r="BH78" s="60">
        <f t="shared" si="62"/>
        <v>697.60800460271639</v>
      </c>
      <c r="BI78" s="60">
        <f ca="1">AVERAGE(OFFSET($BH$3,0,0,'Données projet'!$E$11+1,1))-AVERAGE(OFFSET($H$3,0,0,'Données projet'!$E$11+1,1))</f>
        <v>166.48525819448878</v>
      </c>
      <c r="BJ78" s="60">
        <f t="shared" si="92"/>
        <v>61.876502626609977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projet'!$B$11,Paramètres!$A$1:$I$88,7,0))</f>
        <v>0.215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14.665923045470876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14.665923045470876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0" t="e">
        <f t="shared" si="65"/>
        <v>#N/A</v>
      </c>
      <c r="CD78" s="60" t="e">
        <f ca="1">AVERAGE(OFFSET($CC$3,0,0,'Données projet'!$E$12+1,1))-AVERAGE(OFFSET($H$3,0,0,'Données projet'!$E$12+1,1))</f>
        <v>#N/A</v>
      </c>
      <c r="CE78" s="60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0" t="e">
        <f t="shared" si="68"/>
        <v>#N/A</v>
      </c>
      <c r="CY78" s="60" t="e">
        <f ca="1">AVERAGE(OFFSET($CX$3,0,0,'Données projet'!$E$13+1,1))-AVERAGE(OFFSET($H$3,0,0,'Données projet'!$E$13+1,1))</f>
        <v>#N/A</v>
      </c>
      <c r="CZ78" s="60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-5.6843418860808015E-13</v>
      </c>
      <c r="O79" s="14">
        <f>N79*VLOOKUP('Données projet'!$B$9,Paramètres!$A$1:$I$88,3,0)*VLOOKUP('Données projet'!$B$9,Paramètres!$A$1:$I$88,5,0)</f>
        <v>-3.39923644787632E-13</v>
      </c>
      <c r="P79" s="14" t="e">
        <f t="shared" si="8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222.57099967987045</v>
      </c>
      <c r="T79" s="60">
        <f t="shared" si="88"/>
        <v>221.49027090502796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142.58126639465948</v>
      </c>
      <c r="AA79" s="23">
        <f>EXP(-LN(2)/25)*AA78+(1-EXP(-LN(2)/25))/(LN(2)/25)*Calculateur!V79*Calculateur!X79*VLOOKUP('Données projet'!$B$9,Paramètres!$A$1:$I$88,3,0)*0.475*44/12</f>
        <v>33.856086816929547</v>
      </c>
      <c r="AB79" s="23">
        <f>EXP(-LN(2)/2)*AB78+(1-EXP(-LN(2)/2))/(LN(2)/2)*V79*Y79*VLOOKUP('Données projet'!$B$9,Paramètres!$A$1:$I$88,3,0)*0.475*44/12</f>
        <v>3.5078659654186173</v>
      </c>
      <c r="AC79" s="24">
        <f t="shared" si="57"/>
        <v>179.94521917700766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</v>
      </c>
      <c r="AI79" s="14">
        <f>IF('Données projet'!$A$62&gt;35,AI78+AH79-AQ78,IF(A79&lt;'Données projet'!$A$62,$AF$205^A79,IF(A79='Données projet'!$A$62,'Données projet'!$B$62,AI78+AH79-AQ78)))</f>
        <v>430</v>
      </c>
      <c r="AJ79" s="14">
        <f>AI79*VLOOKUP('Données projet'!$B$10,Paramètres!$A$1:$I$88,3,0)*VLOOKUP('Données projet'!$B$10,Paramètres!$A$1:$I$88,5,0)</f>
        <v>201.23999999999998</v>
      </c>
      <c r="AK79" s="14">
        <f t="shared" si="89"/>
        <v>50.016584086333268</v>
      </c>
      <c r="AL79" s="22">
        <f t="shared" si="58"/>
        <v>437.60521728369707</v>
      </c>
      <c r="AM79" s="60">
        <f t="shared" si="59"/>
        <v>730.93855061703039</v>
      </c>
      <c r="AN79" s="60">
        <f ca="1">AVERAGE(OFFSET($AM$3,0,0,'Données projet'!$E$10+1,1))-AVERAGE(OFFSET($H$3,0,0,'Données projet'!$E$10+1,1))</f>
        <v>147.1675182177155</v>
      </c>
      <c r="AO79" s="60">
        <f t="shared" si="90"/>
        <v>115.86489547584461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13.015035111280865</v>
      </c>
      <c r="AV79" s="23">
        <f>EXP(-LN(2)/25)*AV78+(1-EXP(-LN(2)/25))/(LN(2)/25)*Calculateur!AQ79*Calculateur!AS79*VLOOKUP('Données projet'!$B$10,Paramètres!$A$1:$I$88,3,0)*0.475*44/12</f>
        <v>15.110029262182824</v>
      </c>
      <c r="AW79" s="23">
        <f>EXP(-LN(2)/2)*AW78+(1-EXP(-LN(2)/2))/(LN(2)/2)*AQ79*AT79*VLOOKUP('Données projet'!$B$10,Paramètres!$A$1:$I$88,3,0)*0.475*44/12</f>
        <v>0.89710783635520708</v>
      </c>
      <c r="AX79" s="23">
        <f t="shared" si="60"/>
        <v>29.022172209818894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173.59999999999994</v>
      </c>
      <c r="BE79" s="14">
        <f>BD79*VLOOKUP('Données projet'!$B$11,Paramètres!$A$1:$I$88,3,0)*VLOOKUP('Données projet'!$B$11,Paramètres!$A$1:$I$88,5,0)</f>
        <v>176.03039999999996</v>
      </c>
      <c r="BF79" s="14">
        <f t="shared" si="91"/>
        <v>44.437880346232944</v>
      </c>
      <c r="BG79" s="22">
        <f t="shared" si="61"/>
        <v>383.98225493635567</v>
      </c>
      <c r="BH79" s="60">
        <f t="shared" si="62"/>
        <v>677.31558826968899</v>
      </c>
      <c r="BI79" s="60">
        <f ca="1">AVERAGE(OFFSET($BH$3,0,0,'Données projet'!$E$11+1,1))-AVERAGE(OFFSET($H$3,0,0,'Données projet'!$E$11+1,1))</f>
        <v>166.48525819448878</v>
      </c>
      <c r="BJ79" s="60">
        <f t="shared" si="92"/>
        <v>61.876502626609977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14.378333239878971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14.378333239878971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0" t="e">
        <f t="shared" si="65"/>
        <v>#N/A</v>
      </c>
      <c r="CD79" s="60" t="e">
        <f ca="1">AVERAGE(OFFSET($CC$3,0,0,'Données projet'!$E$12+1,1))-AVERAGE(OFFSET($H$3,0,0,'Données projet'!$E$12+1,1))</f>
        <v>#N/A</v>
      </c>
      <c r="CE79" s="60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0" t="e">
        <f t="shared" si="68"/>
        <v>#N/A</v>
      </c>
      <c r="CY79" s="60" t="e">
        <f ca="1">AVERAGE(OFFSET($CX$3,0,0,'Données projet'!$E$13+1,1))-AVERAGE(OFFSET($H$3,0,0,'Données projet'!$E$13+1,1))</f>
        <v>#N/A</v>
      </c>
      <c r="CZ79" s="60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-5.6843418860808015E-13</v>
      </c>
      <c r="O80" s="14">
        <f>N80*VLOOKUP('Données projet'!$B$9,Paramètres!$A$1:$I$88,3,0)*VLOOKUP('Données projet'!$B$9,Paramètres!$A$1:$I$88,5,0)</f>
        <v>-3.39923644787632E-13</v>
      </c>
      <c r="P80" s="14" t="e">
        <f t="shared" si="8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222.57099967987045</v>
      </c>
      <c r="T80" s="60">
        <f t="shared" si="88"/>
        <v>221.49027090502796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139.78533472664552</v>
      </c>
      <c r="AA80" s="23">
        <f>EXP(-LN(2)/25)*AA79+(1-EXP(-LN(2)/25))/(LN(2)/25)*Calculateur!V80*Calculateur!X80*VLOOKUP('Données projet'!$B$9,Paramètres!$A$1:$I$88,3,0)*0.475*44/12</f>
        <v>32.930290342506382</v>
      </c>
      <c r="AB80" s="23">
        <f>EXP(-LN(2)/2)*AB79+(1-EXP(-LN(2)/2))/(LN(2)/2)*V80*Y80*VLOOKUP('Données projet'!$B$9,Paramètres!$A$1:$I$88,3,0)*0.475*44/12</f>
        <v>2.4804358116409997</v>
      </c>
      <c r="AC80" s="24">
        <f t="shared" si="57"/>
        <v>175.19606088079288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</v>
      </c>
      <c r="AI80" s="14">
        <f>IF('Données projet'!$A$62&gt;35,AI79+AH80-AQ79,IF(A80&lt;'Données projet'!$A$62,$AF$205^A80,IF(A80='Données projet'!$A$62,'Données projet'!$B$62,AI79+AH80-AQ79)))</f>
        <v>440</v>
      </c>
      <c r="AJ80" s="14">
        <f>AI80*VLOOKUP('Données projet'!$B$10,Paramètres!$A$1:$I$88,3,0)*VLOOKUP('Données projet'!$B$10,Paramètres!$A$1:$I$88,5,0)</f>
        <v>205.92000000000002</v>
      </c>
      <c r="AK80" s="14">
        <f t="shared" si="89"/>
        <v>51.042987531485686</v>
      </c>
      <c r="AL80" s="22">
        <f t="shared" si="58"/>
        <v>447.54386995067085</v>
      </c>
      <c r="AM80" s="60">
        <f t="shared" si="59"/>
        <v>740.87720328400417</v>
      </c>
      <c r="AN80" s="60">
        <f ca="1">AVERAGE(OFFSET($AM$3,0,0,'Données projet'!$E$10+1,1))-AVERAGE(OFFSET($H$3,0,0,'Données projet'!$E$10+1,1))</f>
        <v>147.1675182177155</v>
      </c>
      <c r="AO80" s="60">
        <f t="shared" si="90"/>
        <v>115.86489547584461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12.759818211136214</v>
      </c>
      <c r="AV80" s="23">
        <f>EXP(-LN(2)/25)*AV79+(1-EXP(-LN(2)/25))/(LN(2)/25)*Calculateur!AQ80*Calculateur!AS80*VLOOKUP('Données projet'!$B$10,Paramètres!$A$1:$I$88,3,0)*0.475*44/12</f>
        <v>14.696844717406529</v>
      </c>
      <c r="AW80" s="23">
        <f>EXP(-LN(2)/2)*AW79+(1-EXP(-LN(2)/2))/(LN(2)/2)*AQ80*AT80*VLOOKUP('Données projet'!$B$10,Paramètres!$A$1:$I$88,3,0)*0.475*44/12</f>
        <v>0.63435103454235853</v>
      </c>
      <c r="AX80" s="23">
        <f t="shared" si="60"/>
        <v>28.0910139630851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178.19999999999993</v>
      </c>
      <c r="BE80" s="14">
        <f>BD80*VLOOKUP('Données projet'!$B$11,Paramètres!$A$1:$I$88,3,0)*VLOOKUP('Données projet'!$B$11,Paramètres!$A$1:$I$88,5,0)</f>
        <v>180.69479999999993</v>
      </c>
      <c r="BF80" s="14">
        <f t="shared" si="91"/>
        <v>45.476731688663754</v>
      </c>
      <c r="BG80" s="22">
        <f t="shared" si="61"/>
        <v>393.91541769108926</v>
      </c>
      <c r="BH80" s="60">
        <f t="shared" si="62"/>
        <v>687.24875102442252</v>
      </c>
      <c r="BI80" s="60">
        <f ca="1">AVERAGE(OFFSET($BH$3,0,0,'Données projet'!$E$11+1,1))-AVERAGE(OFFSET($H$3,0,0,'Données projet'!$E$11+1,1))</f>
        <v>166.48525819448878</v>
      </c>
      <c r="BJ80" s="60">
        <f t="shared" si="92"/>
        <v>61.876502626609977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14.096382894962264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14.096382894962264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0" t="e">
        <f t="shared" si="65"/>
        <v>#N/A</v>
      </c>
      <c r="CD80" s="60" t="e">
        <f ca="1">AVERAGE(OFFSET($CC$3,0,0,'Données projet'!$E$12+1,1))-AVERAGE(OFFSET($H$3,0,0,'Données projet'!$E$12+1,1))</f>
        <v>#N/A</v>
      </c>
      <c r="CE80" s="60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0" t="e">
        <f t="shared" si="68"/>
        <v>#N/A</v>
      </c>
      <c r="CY80" s="60" t="e">
        <f ca="1">AVERAGE(OFFSET($CX$3,0,0,'Données projet'!$E$13+1,1))-AVERAGE(OFFSET($H$3,0,0,'Données projet'!$E$13+1,1))</f>
        <v>#N/A</v>
      </c>
      <c r="CZ80" s="60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-5.6843418860808015E-13</v>
      </c>
      <c r="O81" s="14">
        <f>N81*VLOOKUP('Données projet'!$B$9,Paramètres!$A$1:$I$88,3,0)*VLOOKUP('Données projet'!$B$9,Paramètres!$A$1:$I$88,5,0)</f>
        <v>-3.39923644787632E-13</v>
      </c>
      <c r="P81" s="14" t="e">
        <f t="shared" si="8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222.57099967987045</v>
      </c>
      <c r="T81" s="60">
        <f t="shared" si="88"/>
        <v>221.49027090502796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137.0442295732914</v>
      </c>
      <c r="AA81" s="23">
        <f>EXP(-LN(2)/25)*AA80+(1-EXP(-LN(2)/25))/(LN(2)/25)*Calculateur!V81*Calculateur!X81*VLOOKUP('Données projet'!$B$9,Paramètres!$A$1:$I$88,3,0)*0.475*44/12</f>
        <v>32.029809821361837</v>
      </c>
      <c r="AB81" s="23">
        <f>EXP(-LN(2)/2)*AB80+(1-EXP(-LN(2)/2))/(LN(2)/2)*V81*Y81*VLOOKUP('Données projet'!$B$9,Paramètres!$A$1:$I$88,3,0)*0.475*44/12</f>
        <v>1.7539329827093089</v>
      </c>
      <c r="AC81" s="24">
        <f t="shared" si="57"/>
        <v>170.82797237736256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</v>
      </c>
      <c r="AI81" s="14">
        <f>IF('Données projet'!$A$62&gt;35,AI80+AH81-AQ80,IF(A81&lt;'Données projet'!$A$62,$AF$205^A81,IF(A81='Données projet'!$A$62,'Données projet'!$B$62,AI80+AH81-AQ80)))</f>
        <v>450</v>
      </c>
      <c r="AJ81" s="14">
        <f>AI81*VLOOKUP('Données projet'!$B$10,Paramètres!$A$1:$I$88,3,0)*VLOOKUP('Données projet'!$B$10,Paramètres!$A$1:$I$88,5,0)</f>
        <v>210.6</v>
      </c>
      <c r="AK81" s="14">
        <f t="shared" si="89"/>
        <v>52.066679014659961</v>
      </c>
      <c r="AL81" s="22">
        <f t="shared" si="58"/>
        <v>457.47779928386609</v>
      </c>
      <c r="AM81" s="60">
        <f t="shared" si="59"/>
        <v>750.81113261719941</v>
      </c>
      <c r="AN81" s="60">
        <f ca="1">AVERAGE(OFFSET($AM$3,0,0,'Données projet'!$E$10+1,1))-AVERAGE(OFFSET($H$3,0,0,'Données projet'!$E$10+1,1))</f>
        <v>147.1675182177155</v>
      </c>
      <c r="AO81" s="60">
        <f t="shared" si="90"/>
        <v>115.86489547584461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12.509605958736461</v>
      </c>
      <c r="AV81" s="23">
        <f>EXP(-LN(2)/25)*AV80+(1-EXP(-LN(2)/25))/(LN(2)/25)*Calculateur!AQ81*Calculateur!AS81*VLOOKUP('Données projet'!$B$10,Paramètres!$A$1:$I$88,3,0)*0.475*44/12</f>
        <v>14.294958725735574</v>
      </c>
      <c r="AW81" s="23">
        <f>EXP(-LN(2)/2)*AW80+(1-EXP(-LN(2)/2))/(LN(2)/2)*AQ81*AT81*VLOOKUP('Données projet'!$B$10,Paramètres!$A$1:$I$88,3,0)*0.475*44/12</f>
        <v>0.44855391817760359</v>
      </c>
      <c r="AX81" s="23">
        <f t="shared" si="60"/>
        <v>27.253118602649636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182.79999999999993</v>
      </c>
      <c r="BE81" s="14">
        <f>BD81*VLOOKUP('Données projet'!$B$11,Paramètres!$A$1:$I$88,3,0)*VLOOKUP('Données projet'!$B$11,Paramètres!$A$1:$I$88,5,0)</f>
        <v>185.35919999999993</v>
      </c>
      <c r="BF81" s="14">
        <f t="shared" si="91"/>
        <v>46.51246589912639</v>
      </c>
      <c r="BG81" s="22">
        <f t="shared" si="61"/>
        <v>403.84315144097832</v>
      </c>
      <c r="BH81" s="60">
        <f t="shared" si="62"/>
        <v>697.17648477431158</v>
      </c>
      <c r="BI81" s="60">
        <f ca="1">AVERAGE(OFFSET($BH$3,0,0,'Données projet'!$E$11+1,1))-AVERAGE(OFFSET($H$3,0,0,'Données projet'!$E$11+1,1))</f>
        <v>166.48525819448878</v>
      </c>
      <c r="BJ81" s="60">
        <f t="shared" si="92"/>
        <v>61.876502626609977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13.819961424336643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13.819961424336643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0" t="e">
        <f t="shared" si="65"/>
        <v>#N/A</v>
      </c>
      <c r="CD81" s="60" t="e">
        <f ca="1">AVERAGE(OFFSET($CC$3,0,0,'Données projet'!$E$12+1,1))-AVERAGE(OFFSET($H$3,0,0,'Données projet'!$E$12+1,1))</f>
        <v>#N/A</v>
      </c>
      <c r="CE81" s="60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0" t="e">
        <f t="shared" si="68"/>
        <v>#N/A</v>
      </c>
      <c r="CY81" s="60" t="e">
        <f ca="1">AVERAGE(OFFSET($CX$3,0,0,'Données projet'!$E$13+1,1))-AVERAGE(OFFSET($H$3,0,0,'Données projet'!$E$13+1,1))</f>
        <v>#N/A</v>
      </c>
      <c r="CZ81" s="60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-5.6843418860808015E-13</v>
      </c>
      <c r="O82" s="14">
        <f>N82*VLOOKUP('Données projet'!$B$9,Paramètres!$A$1:$I$88,3,0)*VLOOKUP('Données projet'!$B$9,Paramètres!$A$1:$I$88,5,0)</f>
        <v>-3.39923644787632E-13</v>
      </c>
      <c r="P82" s="14" t="e">
        <f t="shared" si="8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222.57099967987045</v>
      </c>
      <c r="T82" s="60">
        <f t="shared" si="88"/>
        <v>221.49027090502796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134.35687582008549</v>
      </c>
      <c r="AA82" s="23">
        <f>EXP(-LN(2)/25)*AA81+(1-EXP(-LN(2)/25))/(LN(2)/25)*Calculateur!V82*Calculateur!X82*VLOOKUP('Données projet'!$B$9,Paramètres!$A$1:$I$88,3,0)*0.475*44/12</f>
        <v>31.153952987422205</v>
      </c>
      <c r="AB82" s="23">
        <f>EXP(-LN(2)/2)*AB81+(1-EXP(-LN(2)/2))/(LN(2)/2)*V82*Y82*VLOOKUP('Données projet'!$B$9,Paramètres!$A$1:$I$88,3,0)*0.475*44/12</f>
        <v>1.2402179058205001</v>
      </c>
      <c r="AC82" s="24">
        <f t="shared" si="57"/>
        <v>166.75104671332818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</v>
      </c>
      <c r="AI82" s="14">
        <f>IF('Données projet'!$A$62&gt;35,AI81+AH82-AQ81,IF(A82&lt;'Données projet'!$A$62,$AF$205^A82,IF(A82='Données projet'!$A$62,'Données projet'!$B$62,AI81+AH82-AQ81)))</f>
        <v>460</v>
      </c>
      <c r="AJ82" s="14">
        <f>AI82*VLOOKUP('Données projet'!$B$10,Paramètres!$A$1:$I$88,3,0)*VLOOKUP('Données projet'!$B$10,Paramètres!$A$1:$I$88,5,0)</f>
        <v>215.28</v>
      </c>
      <c r="AK82" s="14">
        <f t="shared" si="89"/>
        <v>53.087725740853138</v>
      </c>
      <c r="AL82" s="22">
        <f t="shared" si="58"/>
        <v>467.40712233198587</v>
      </c>
      <c r="AM82" s="60">
        <f t="shared" si="59"/>
        <v>760.74045566531913</v>
      </c>
      <c r="AN82" s="60">
        <f ca="1">AVERAGE(OFFSET($AM$3,0,0,'Données projet'!$E$10+1,1))-AVERAGE(OFFSET($H$3,0,0,'Données projet'!$E$10+1,1))</f>
        <v>147.1675182177155</v>
      </c>
      <c r="AO82" s="60">
        <f t="shared" si="90"/>
        <v>115.86489547584461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12.264300215991863</v>
      </c>
      <c r="AV82" s="23">
        <f>EXP(-LN(2)/25)*AV81+(1-EXP(-LN(2)/25))/(LN(2)/25)*Calculateur!AQ82*Calculateur!AS82*VLOOKUP('Données projet'!$B$10,Paramètres!$A$1:$I$88,3,0)*0.475*44/12</f>
        <v>13.904062327641126</v>
      </c>
      <c r="AW82" s="23">
        <f>EXP(-LN(2)/2)*AW81+(1-EXP(-LN(2)/2))/(LN(2)/2)*AQ82*AT82*VLOOKUP('Données projet'!$B$10,Paramètres!$A$1:$I$88,3,0)*0.475*44/12</f>
        <v>0.31717551727117932</v>
      </c>
      <c r="AX82" s="23">
        <f t="shared" si="60"/>
        <v>26.485538060904165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187.39999999999992</v>
      </c>
      <c r="BE82" s="14">
        <f>BD82*VLOOKUP('Données projet'!$B$11,Paramètres!$A$1:$I$88,3,0)*VLOOKUP('Données projet'!$B$11,Paramètres!$A$1:$I$88,5,0)</f>
        <v>190.02359999999993</v>
      </c>
      <c r="BF82" s="14">
        <f t="shared" si="91"/>
        <v>47.545170438433438</v>
      </c>
      <c r="BG82" s="22">
        <f t="shared" si="61"/>
        <v>413.76560851360477</v>
      </c>
      <c r="BH82" s="60">
        <f t="shared" si="62"/>
        <v>707.09894184693803</v>
      </c>
      <c r="BI82" s="60">
        <f ca="1">AVERAGE(OFFSET($BH$3,0,0,'Données projet'!$E$11+1,1))-AVERAGE(OFFSET($H$3,0,0,'Données projet'!$E$11+1,1))</f>
        <v>166.48525819448878</v>
      </c>
      <c r="BJ82" s="60">
        <f t="shared" si="92"/>
        <v>61.876502626609977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13.548960410149542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13.548960410149542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0" t="e">
        <f t="shared" si="65"/>
        <v>#N/A</v>
      </c>
      <c r="CD82" s="60" t="e">
        <f ca="1">AVERAGE(OFFSET($CC$3,0,0,'Données projet'!$E$12+1,1))-AVERAGE(OFFSET($H$3,0,0,'Données projet'!$E$12+1,1))</f>
        <v>#N/A</v>
      </c>
      <c r="CE82" s="60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0" t="e">
        <f t="shared" si="68"/>
        <v>#N/A</v>
      </c>
      <c r="CY82" s="60" t="e">
        <f ca="1">AVERAGE(OFFSET($CX$3,0,0,'Données projet'!$E$13+1,1))-AVERAGE(OFFSET($H$3,0,0,'Données projet'!$E$13+1,1))</f>
        <v>#N/A</v>
      </c>
      <c r="CZ82" s="60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-5.6843418860808015E-13</v>
      </c>
      <c r="O83" s="14">
        <f>N83*VLOOKUP('Données projet'!$B$9,Paramètres!$A$1:$I$88,3,0)*VLOOKUP('Données projet'!$B$9,Paramètres!$A$1:$I$88,5,0)</f>
        <v>-3.39923644787632E-13</v>
      </c>
      <c r="P83" s="14" t="e">
        <f t="shared" si="8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222.57099967987045</v>
      </c>
      <c r="T83" s="60">
        <f t="shared" si="88"/>
        <v>221.49027090502796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131.72221943485602</v>
      </c>
      <c r="AA83" s="23">
        <f>EXP(-LN(2)/25)*AA82+(1-EXP(-LN(2)/25))/(LN(2)/25)*Calculateur!V83*Calculateur!X83*VLOOKUP('Données projet'!$B$9,Paramètres!$A$1:$I$88,3,0)*0.475*44/12</f>
        <v>30.30204650466596</v>
      </c>
      <c r="AB83" s="23">
        <f>EXP(-LN(2)/2)*AB82+(1-EXP(-LN(2)/2))/(LN(2)/2)*V83*Y83*VLOOKUP('Données projet'!$B$9,Paramètres!$A$1:$I$88,3,0)*0.475*44/12</f>
        <v>0.87696649135465465</v>
      </c>
      <c r="AC83" s="24">
        <f t="shared" si="57"/>
        <v>162.90123243087663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470</v>
      </c>
      <c r="AG83" s="13">
        <f>VLOOKUP(A83,'Données projet'!$A$61:$I$81,9,0)</f>
        <v>10</v>
      </c>
      <c r="AH83" s="13">
        <f t="array" ref="AH83">INDEX(AG:AG,MIN(IF(ISNUMBER(AG83:AG279),ROW(AG83:AG279),"")))</f>
        <v>10</v>
      </c>
      <c r="AI83" s="14">
        <f>IF('Données projet'!$A$62&gt;35,AI82+AH83-AQ82,IF(A83&lt;'Données projet'!$A$62,$AF$205^A83,IF(A83='Données projet'!$A$62,'Données projet'!$B$62,AI82+AH83-AQ82)))</f>
        <v>470</v>
      </c>
      <c r="AJ83" s="14">
        <f>AI83*VLOOKUP('Données projet'!$B$10,Paramètres!$A$1:$I$88,3,0)*VLOOKUP('Données projet'!$B$10,Paramètres!$A$1:$I$88,5,0)</f>
        <v>219.95999999999998</v>
      </c>
      <c r="AK83" s="14">
        <f t="shared" si="89"/>
        <v>54.106191826225746</v>
      </c>
      <c r="AL83" s="22">
        <f t="shared" si="58"/>
        <v>477.33195076400972</v>
      </c>
      <c r="AM83" s="60">
        <f t="shared" si="59"/>
        <v>770.66528409734303</v>
      </c>
      <c r="AN83" s="60">
        <f ca="1">AVERAGE(OFFSET($AM$3,0,0,'Données projet'!$E$10+1,1))-AVERAGE(OFFSET($H$3,0,0,'Données projet'!$E$10+1,1))</f>
        <v>147.1675182177155</v>
      </c>
      <c r="AO83" s="60">
        <f t="shared" si="90"/>
        <v>115.86489547584461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60</v>
      </c>
      <c r="AR83" s="17">
        <f>IF(ISNA(VLOOKUP(A83,'Données projet'!$A$61:$I$81,5,0)),0%,VLOOKUP(A83,'Données projet'!$A$61:$I$81,5,0)*VLOOKUP('Données projet'!$B$10,Paramètres!$A$1:$I$88,7,0))</f>
        <v>0.33</v>
      </c>
      <c r="AS83" s="17">
        <f>IF(ISNA(VLOOKUP(A83,'Données projet'!$A$61:$I$81,6,0)),0%,VLOOKUP(A83,'Données projet'!$A$61:$I$81,6,0)*VLOOKUP('Données projet'!$B$10,Paramètres!$A$1:$I$88,7,0))</f>
        <v>0.12320000000000003</v>
      </c>
      <c r="AT83" s="17">
        <f>IF(ISNA(VLOOKUP(A83,'Données projet'!$A$61:$I$81,7,0)),0%,VLOOKUP(A83,'Données projet'!$A$61:$I$81,7,0))</f>
        <v>0.17600000000000002</v>
      </c>
      <c r="AU83" s="23">
        <f>EXP(-LN(2)/35)*AU82+(1-EXP(-LN(2)/35))/(LN(2)/35)*AQ83*AR83*VLOOKUP('Données projet'!$B$10,Paramètres!$A$1:$I$88,3,0)*0.475*44/12</f>
        <v>24.316281639125712</v>
      </c>
      <c r="AV83" s="23">
        <f>EXP(-LN(2)/25)*AV82+(1-EXP(-LN(2)/25))/(LN(2)/25)*Calculateur!AQ83*Calculateur!AS83*VLOOKUP('Données projet'!$B$10,Paramètres!$A$1:$I$88,3,0)*0.475*44/12</f>
        <v>18.094976981843921</v>
      </c>
      <c r="AW83" s="23">
        <f>EXP(-LN(2)/2)*AW82+(1-EXP(-LN(2)/2))/(LN(2)/2)*AQ83*AT83*VLOOKUP('Données projet'!$B$10,Paramètres!$A$1:$I$88,3,0)*0.475*44/12</f>
        <v>5.8198595520483991</v>
      </c>
      <c r="AX83" s="23">
        <f t="shared" si="60"/>
        <v>48.231118173018032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191.99999999999991</v>
      </c>
      <c r="BE83" s="14">
        <f>BD83*VLOOKUP('Données projet'!$B$11,Paramètres!$A$1:$I$88,3,0)*VLOOKUP('Données projet'!$B$11,Paramètres!$A$1:$I$88,5,0)</f>
        <v>194.68799999999993</v>
      </c>
      <c r="BF83" s="14">
        <f t="shared" si="91"/>
        <v>48.574928228914978</v>
      </c>
      <c r="BG83" s="22">
        <f t="shared" si="61"/>
        <v>423.68293333202678</v>
      </c>
      <c r="BH83" s="60">
        <f t="shared" si="62"/>
        <v>717.01626666536004</v>
      </c>
      <c r="BI83" s="60">
        <f ca="1">AVERAGE(OFFSET($BH$3,0,0,'Données projet'!$E$11+1,1))-AVERAGE(OFFSET($H$3,0,0,'Données projet'!$E$11+1,1))</f>
        <v>166.48525819448878</v>
      </c>
      <c r="BJ83" s="60">
        <f t="shared" si="92"/>
        <v>61.876502626609977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projet'!$B$11,Paramètres!$A$1:$I$88,7,0))</f>
        <v>0.25800000000000001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17.332133997581593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17.332133997581593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0" t="e">
        <f t="shared" si="65"/>
        <v>#N/A</v>
      </c>
      <c r="CD83" s="60" t="e">
        <f ca="1">AVERAGE(OFFSET($CC$3,0,0,'Données projet'!$E$12+1,1))-AVERAGE(OFFSET($H$3,0,0,'Données projet'!$E$12+1,1))</f>
        <v>#N/A</v>
      </c>
      <c r="CE83" s="60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0" t="e">
        <f t="shared" si="68"/>
        <v>#N/A</v>
      </c>
      <c r="CY83" s="60" t="e">
        <f ca="1">AVERAGE(OFFSET($CX$3,0,0,'Données projet'!$E$13+1,1))-AVERAGE(OFFSET($H$3,0,0,'Données projet'!$E$13+1,1))</f>
        <v>#N/A</v>
      </c>
      <c r="CZ83" s="60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-5.6843418860808015E-13</v>
      </c>
      <c r="O84" s="14">
        <f>N84*VLOOKUP('Données projet'!$B$9,Paramètres!$A$1:$I$88,3,0)*VLOOKUP('Données projet'!$B$9,Paramètres!$A$1:$I$88,5,0)</f>
        <v>-3.39923644787632E-13</v>
      </c>
      <c r="P84" s="14" t="e">
        <f t="shared" si="8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222.57099967987045</v>
      </c>
      <c r="T84" s="60">
        <f t="shared" si="88"/>
        <v>221.49027090502796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129.13922705435917</v>
      </c>
      <c r="AA84" s="23">
        <f>EXP(-LN(2)/25)*AA83+(1-EXP(-LN(2)/25))/(LN(2)/25)*Calculateur!V84*Calculateur!X84*VLOOKUP('Données projet'!$B$9,Paramètres!$A$1:$I$88,3,0)*0.475*44/12</f>
        <v>29.473435449480501</v>
      </c>
      <c r="AB84" s="23">
        <f>EXP(-LN(2)/2)*AB83+(1-EXP(-LN(2)/2))/(LN(2)/2)*V84*Y84*VLOOKUP('Données projet'!$B$9,Paramètres!$A$1:$I$88,3,0)*0.475*44/12</f>
        <v>0.62010895291025014</v>
      </c>
      <c r="AC84" s="24">
        <f t="shared" si="57"/>
        <v>159.2327714567499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</v>
      </c>
      <c r="AI84" s="14">
        <f>IF('Données projet'!$A$62&gt;35,AI83+AH84-AQ83,IF(A84&lt;'Données projet'!$A$62,$AF$205^A84,IF(A84='Données projet'!$A$62,'Données projet'!$B$62,AI83+AH84-AQ83)))</f>
        <v>418</v>
      </c>
      <c r="AJ84" s="14">
        <f>AI84*VLOOKUP('Données projet'!$B$10,Paramètres!$A$1:$I$88,3,0)*VLOOKUP('Données projet'!$B$10,Paramètres!$A$1:$I$88,5,0)</f>
        <v>195.624</v>
      </c>
      <c r="AK84" s="14">
        <f t="shared" si="89"/>
        <v>48.781220625276006</v>
      </c>
      <c r="AL84" s="22">
        <f t="shared" si="58"/>
        <v>425.67242592235567</v>
      </c>
      <c r="AM84" s="60">
        <f t="shared" si="59"/>
        <v>719.00575925568899</v>
      </c>
      <c r="AN84" s="60">
        <f ca="1">AVERAGE(OFFSET($AM$3,0,0,'Données projet'!$E$10+1,1))-AVERAGE(OFFSET($H$3,0,0,'Données projet'!$E$10+1,1))</f>
        <v>147.1675182177155</v>
      </c>
      <c r="AO84" s="60">
        <f t="shared" si="90"/>
        <v>115.86489547584461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23.839454187649771</v>
      </c>
      <c r="AV84" s="23">
        <f>EXP(-LN(2)/25)*AV83+(1-EXP(-LN(2)/25))/(LN(2)/25)*Calculateur!AQ84*Calculateur!AS84*VLOOKUP('Données projet'!$B$10,Paramètres!$A$1:$I$88,3,0)*0.475*44/12</f>
        <v>17.600168884701915</v>
      </c>
      <c r="AW84" s="23">
        <f>EXP(-LN(2)/2)*AW83+(1-EXP(-LN(2)/2))/(LN(2)/2)*AQ84*AT84*VLOOKUP('Données projet'!$B$10,Paramètres!$A$1:$I$88,3,0)*0.475*44/12</f>
        <v>4.1152621548067261</v>
      </c>
      <c r="AX84" s="23">
        <f t="shared" si="60"/>
        <v>45.554885227158415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182.39999999999992</v>
      </c>
      <c r="BE84" s="14">
        <f>BD84*VLOOKUP('Données projet'!$B$11,Paramètres!$A$1:$I$88,3,0)*VLOOKUP('Données projet'!$B$11,Paramètres!$A$1:$I$88,5,0)</f>
        <v>184.95359999999991</v>
      </c>
      <c r="BF84" s="14">
        <f t="shared" si="91"/>
        <v>46.422523550957948</v>
      </c>
      <c r="BG84" s="22">
        <f t="shared" si="61"/>
        <v>402.98008185125155</v>
      </c>
      <c r="BH84" s="60">
        <f t="shared" si="62"/>
        <v>696.31341518458487</v>
      </c>
      <c r="BI84" s="60">
        <f ca="1">AVERAGE(OFFSET($BH$3,0,0,'Données projet'!$E$11+1,1))-AVERAGE(OFFSET($H$3,0,0,'Données projet'!$E$11+1,1))</f>
        <v>166.48525819448878</v>
      </c>
      <c r="BJ84" s="60">
        <f t="shared" si="92"/>
        <v>61.876502626609977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16.992261421446901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16.992261421446901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0" t="e">
        <f t="shared" si="65"/>
        <v>#N/A</v>
      </c>
      <c r="CD84" s="60" t="e">
        <f ca="1">AVERAGE(OFFSET($CC$3,0,0,'Données projet'!$E$12+1,1))-AVERAGE(OFFSET($H$3,0,0,'Données projet'!$E$12+1,1))</f>
        <v>#N/A</v>
      </c>
      <c r="CE84" s="60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0" t="e">
        <f t="shared" si="68"/>
        <v>#N/A</v>
      </c>
      <c r="CY84" s="60" t="e">
        <f ca="1">AVERAGE(OFFSET($CX$3,0,0,'Données projet'!$E$13+1,1))-AVERAGE(OFFSET($H$3,0,0,'Données projet'!$E$13+1,1))</f>
        <v>#N/A</v>
      </c>
      <c r="CZ84" s="60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-5.6843418860808015E-13</v>
      </c>
      <c r="O85" s="14">
        <f>N85*VLOOKUP('Données projet'!$B$9,Paramètres!$A$1:$I$88,3,0)*VLOOKUP('Données projet'!$B$9,Paramètres!$A$1:$I$88,5,0)</f>
        <v>-3.39923644787632E-13</v>
      </c>
      <c r="P85" s="14" t="e">
        <f t="shared" si="8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222.57099967987045</v>
      </c>
      <c r="T85" s="60">
        <f t="shared" si="88"/>
        <v>221.49027090502796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126.60688557897407</v>
      </c>
      <c r="AA85" s="23">
        <f>EXP(-LN(2)/25)*AA84+(1-EXP(-LN(2)/25))/(LN(2)/25)*Calculateur!V85*Calculateur!X85*VLOOKUP('Données projet'!$B$9,Paramètres!$A$1:$I$88,3,0)*0.475*44/12</f>
        <v>28.667482807173847</v>
      </c>
      <c r="AB85" s="23">
        <f>EXP(-LN(2)/2)*AB84+(1-EXP(-LN(2)/2))/(LN(2)/2)*V85*Y85*VLOOKUP('Données projet'!$B$9,Paramètres!$A$1:$I$88,3,0)*0.475*44/12</f>
        <v>0.43848324567732738</v>
      </c>
      <c r="AC85" s="24">
        <f t="shared" si="57"/>
        <v>155.71285163182526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</v>
      </c>
      <c r="AI85" s="14">
        <f>IF('Données projet'!$A$62&gt;35,AI84+AH85-AQ84,IF(A85&lt;'Données projet'!$A$62,$AF$205^A85,IF(A85='Données projet'!$A$62,'Données projet'!$B$62,AI84+AH85-AQ84)))</f>
        <v>426</v>
      </c>
      <c r="AJ85" s="14">
        <f>AI85*VLOOKUP('Données projet'!$B$10,Paramètres!$A$1:$I$88,3,0)*VLOOKUP('Données projet'!$B$10,Paramètres!$A$1:$I$88,5,0)</f>
        <v>199.36799999999999</v>
      </c>
      <c r="AK85" s="14">
        <f t="shared" si="89"/>
        <v>49.605247679671407</v>
      </c>
      <c r="AL85" s="22">
        <f t="shared" si="58"/>
        <v>433.62840637542763</v>
      </c>
      <c r="AM85" s="60">
        <f t="shared" si="59"/>
        <v>726.96173970876089</v>
      </c>
      <c r="AN85" s="60">
        <f ca="1">AVERAGE(OFFSET($AM$3,0,0,'Données projet'!$E$10+1,1))-AVERAGE(OFFSET($H$3,0,0,'Données projet'!$E$10+1,1))</f>
        <v>147.1675182177155</v>
      </c>
      <c r="AO85" s="60">
        <f t="shared" si="90"/>
        <v>115.86489547584461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23.371977031661245</v>
      </c>
      <c r="AV85" s="23">
        <f>EXP(-LN(2)/25)*AV84+(1-EXP(-LN(2)/25))/(LN(2)/25)*Calculateur!AQ85*Calculateur!AS85*VLOOKUP('Données projet'!$B$10,Paramètres!$A$1:$I$88,3,0)*0.475*44/12</f>
        <v>17.118891340997084</v>
      </c>
      <c r="AW85" s="23">
        <f>EXP(-LN(2)/2)*AW84+(1-EXP(-LN(2)/2))/(LN(2)/2)*AQ85*AT85*VLOOKUP('Données projet'!$B$10,Paramètres!$A$1:$I$88,3,0)*0.475*44/12</f>
        <v>2.9099297760242</v>
      </c>
      <c r="AX85" s="23">
        <f t="shared" si="60"/>
        <v>43.400798148682526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186.79999999999993</v>
      </c>
      <c r="BE85" s="14">
        <f>BD85*VLOOKUP('Données projet'!$B$11,Paramètres!$A$1:$I$88,3,0)*VLOOKUP('Données projet'!$B$11,Paramètres!$A$1:$I$88,5,0)</f>
        <v>189.41519999999994</v>
      </c>
      <c r="BF85" s="14">
        <f t="shared" si="91"/>
        <v>47.410638687430918</v>
      </c>
      <c r="BG85" s="22">
        <f t="shared" si="61"/>
        <v>412.47166904727538</v>
      </c>
      <c r="BH85" s="60">
        <f t="shared" si="62"/>
        <v>705.8050023806087</v>
      </c>
      <c r="BI85" s="60">
        <f ca="1">AVERAGE(OFFSET($BH$3,0,0,'Données projet'!$E$11+1,1))-AVERAGE(OFFSET($H$3,0,0,'Données projet'!$E$11+1,1))</f>
        <v>166.48525819448878</v>
      </c>
      <c r="BJ85" s="60">
        <f t="shared" si="92"/>
        <v>61.876502626609977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16.65905353922841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16.65905353922841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0" t="e">
        <f t="shared" si="65"/>
        <v>#N/A</v>
      </c>
      <c r="CD85" s="60" t="e">
        <f ca="1">AVERAGE(OFFSET($CC$3,0,0,'Données projet'!$E$12+1,1))-AVERAGE(OFFSET($H$3,0,0,'Données projet'!$E$12+1,1))</f>
        <v>#N/A</v>
      </c>
      <c r="CE85" s="60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0" t="e">
        <f t="shared" si="68"/>
        <v>#N/A</v>
      </c>
      <c r="CY85" s="60" t="e">
        <f ca="1">AVERAGE(OFFSET($CX$3,0,0,'Données projet'!$E$13+1,1))-AVERAGE(OFFSET($H$3,0,0,'Données projet'!$E$13+1,1))</f>
        <v>#N/A</v>
      </c>
      <c r="CZ85" s="60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-5.6843418860808015E-13</v>
      </c>
      <c r="O86" s="14">
        <f>N86*VLOOKUP('Données projet'!$B$9,Paramètres!$A$1:$I$88,3,0)*VLOOKUP('Données projet'!$B$9,Paramètres!$A$1:$I$88,5,0)</f>
        <v>-3.39923644787632E-13</v>
      </c>
      <c r="P86" s="14" t="e">
        <f t="shared" si="8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222.57099967987045</v>
      </c>
      <c r="T86" s="60">
        <f t="shared" si="88"/>
        <v>221.49027090502796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124.1242017753455</v>
      </c>
      <c r="AA86" s="23">
        <f>EXP(-LN(2)/25)*AA85+(1-EXP(-LN(2)/25))/(LN(2)/25)*Calculateur!V86*Calculateur!X86*VLOOKUP('Données projet'!$B$9,Paramètres!$A$1:$I$88,3,0)*0.475*44/12</f>
        <v>27.883568982254278</v>
      </c>
      <c r="AB86" s="23">
        <f>EXP(-LN(2)/2)*AB85+(1-EXP(-LN(2)/2))/(LN(2)/2)*V86*Y86*VLOOKUP('Données projet'!$B$9,Paramètres!$A$1:$I$88,3,0)*0.475*44/12</f>
        <v>0.31005447645512513</v>
      </c>
      <c r="AC86" s="24">
        <f t="shared" si="57"/>
        <v>152.31782523405491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</v>
      </c>
      <c r="AI86" s="14">
        <f>IF('Données projet'!$A$62&gt;35,AI85+AH86-AQ85,IF(A86&lt;'Données projet'!$A$62,$AF$205^A86,IF(A86='Données projet'!$A$62,'Données projet'!$B$62,AI85+AH86-AQ85)))</f>
        <v>434</v>
      </c>
      <c r="AJ86" s="14">
        <f>AI86*VLOOKUP('Données projet'!$B$10,Paramètres!$A$1:$I$88,3,0)*VLOOKUP('Données projet'!$B$10,Paramètres!$A$1:$I$88,5,0)</f>
        <v>203.11199999999999</v>
      </c>
      <c r="AK86" s="14">
        <f t="shared" si="89"/>
        <v>50.427475336015782</v>
      </c>
      <c r="AL86" s="22">
        <f t="shared" si="58"/>
        <v>441.5812528768941</v>
      </c>
      <c r="AM86" s="60">
        <f t="shared" si="59"/>
        <v>734.91458621022741</v>
      </c>
      <c r="AN86" s="60">
        <f ca="1">AVERAGE(OFFSET($AM$3,0,0,'Données projet'!$E$10+1,1))-AVERAGE(OFFSET($H$3,0,0,'Données projet'!$E$10+1,1))</f>
        <v>147.1675182177155</v>
      </c>
      <c r="AO86" s="60">
        <f t="shared" si="90"/>
        <v>115.86489547584461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22.913666817568743</v>
      </c>
      <c r="AV86" s="23">
        <f>EXP(-LN(2)/25)*AV85+(1-EXP(-LN(2)/25))/(LN(2)/25)*Calculateur!AQ86*Calculateur!AS86*VLOOKUP('Données projet'!$B$10,Paramètres!$A$1:$I$88,3,0)*0.475*44/12</f>
        <v>16.650774357034148</v>
      </c>
      <c r="AW86" s="23">
        <f>EXP(-LN(2)/2)*AW85+(1-EXP(-LN(2)/2))/(LN(2)/2)*AQ86*AT86*VLOOKUP('Données projet'!$B$10,Paramètres!$A$1:$I$88,3,0)*0.475*44/12</f>
        <v>2.0576310774033635</v>
      </c>
      <c r="AX86" s="23">
        <f t="shared" si="60"/>
        <v>41.622072252006255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191.19999999999993</v>
      </c>
      <c r="BE86" s="14">
        <f>BD86*VLOOKUP('Données projet'!$B$11,Paramètres!$A$1:$I$88,3,0)*VLOOKUP('Données projet'!$B$11,Paramètres!$A$1:$I$88,5,0)</f>
        <v>193.87679999999995</v>
      </c>
      <c r="BF86" s="14">
        <f t="shared" si="91"/>
        <v>48.396048099527611</v>
      </c>
      <c r="BG86" s="22">
        <f t="shared" si="61"/>
        <v>421.95854377334376</v>
      </c>
      <c r="BH86" s="60">
        <f t="shared" si="62"/>
        <v>715.29187710667702</v>
      </c>
      <c r="BI86" s="60">
        <f ca="1">AVERAGE(OFFSET($BH$3,0,0,'Données projet'!$E$11+1,1))-AVERAGE(OFFSET($H$3,0,0,'Données projet'!$E$11+1,1))</f>
        <v>166.48525819448878</v>
      </c>
      <c r="BJ86" s="60">
        <f t="shared" si="92"/>
        <v>61.876502626609977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16.332379660343481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16.332379660343481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0" t="e">
        <f t="shared" si="65"/>
        <v>#N/A</v>
      </c>
      <c r="CD86" s="60" t="e">
        <f ca="1">AVERAGE(OFFSET($CC$3,0,0,'Données projet'!$E$12+1,1))-AVERAGE(OFFSET($H$3,0,0,'Données projet'!$E$12+1,1))</f>
        <v>#N/A</v>
      </c>
      <c r="CE86" s="60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0" t="e">
        <f t="shared" si="68"/>
        <v>#N/A</v>
      </c>
      <c r="CY86" s="60" t="e">
        <f ca="1">AVERAGE(OFFSET($CX$3,0,0,'Données projet'!$E$13+1,1))-AVERAGE(OFFSET($H$3,0,0,'Données projet'!$E$13+1,1))</f>
        <v>#N/A</v>
      </c>
      <c r="CZ86" s="60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-5.6843418860808015E-13</v>
      </c>
      <c r="O87" s="14">
        <f>N87*VLOOKUP('Données projet'!$B$9,Paramètres!$A$1:$I$88,3,0)*VLOOKUP('Données projet'!$B$9,Paramètres!$A$1:$I$88,5,0)</f>
        <v>-3.39923644787632E-13</v>
      </c>
      <c r="P87" s="14" t="e">
        <f t="shared" si="8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222.57099967987045</v>
      </c>
      <c r="T87" s="60">
        <f t="shared" si="88"/>
        <v>221.49027090502796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121.69020188681849</v>
      </c>
      <c r="AA87" s="23">
        <f>EXP(-LN(2)/25)*AA86+(1-EXP(-LN(2)/25))/(LN(2)/25)*Calculateur!V87*Calculateur!X87*VLOOKUP('Données projet'!$B$9,Paramètres!$A$1:$I$88,3,0)*0.475*44/12</f>
        <v>27.121091322101371</v>
      </c>
      <c r="AB87" s="23">
        <f>EXP(-LN(2)/2)*AB86+(1-EXP(-LN(2)/2))/(LN(2)/2)*V87*Y87*VLOOKUP('Données projet'!$B$9,Paramètres!$A$1:$I$88,3,0)*0.475*44/12</f>
        <v>0.21924162283866372</v>
      </c>
      <c r="AC87" s="24">
        <f t="shared" si="57"/>
        <v>149.03053483175853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</v>
      </c>
      <c r="AI87" s="14">
        <f>IF('Données projet'!$A$62&gt;35,AI86+AH87-AQ86,IF(A87&lt;'Données projet'!$A$62,$AF$205^A87,IF(A87='Données projet'!$A$62,'Données projet'!$B$62,AI86+AH87-AQ86)))</f>
        <v>442</v>
      </c>
      <c r="AJ87" s="14">
        <f>AI87*VLOOKUP('Données projet'!$B$10,Paramètres!$A$1:$I$88,3,0)*VLOOKUP('Données projet'!$B$10,Paramètres!$A$1:$I$88,5,0)</f>
        <v>206.85600000000002</v>
      </c>
      <c r="AK87" s="14">
        <f t="shared" si="89"/>
        <v>51.247940588293027</v>
      </c>
      <c r="AL87" s="22">
        <f t="shared" si="58"/>
        <v>449.53102985794368</v>
      </c>
      <c r="AM87" s="60">
        <f t="shared" si="59"/>
        <v>742.86436319127699</v>
      </c>
      <c r="AN87" s="60">
        <f ca="1">AVERAGE(OFFSET($AM$3,0,0,'Données projet'!$E$10+1,1))-AVERAGE(OFFSET($H$3,0,0,'Données projet'!$E$10+1,1))</f>
        <v>147.1675182177155</v>
      </c>
      <c r="AO87" s="60">
        <f t="shared" si="90"/>
        <v>115.86489547584461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22.464343787232966</v>
      </c>
      <c r="AV87" s="23">
        <f>EXP(-LN(2)/25)*AV86+(1-EXP(-LN(2)/25))/(LN(2)/25)*Calculateur!AQ87*Calculateur!AS87*VLOOKUP('Données projet'!$B$10,Paramètres!$A$1:$I$88,3,0)*0.475*44/12</f>
        <v>16.195458056614882</v>
      </c>
      <c r="AW87" s="23">
        <f>EXP(-LN(2)/2)*AW86+(1-EXP(-LN(2)/2))/(LN(2)/2)*AQ87*AT87*VLOOKUP('Données projet'!$B$10,Paramètres!$A$1:$I$88,3,0)*0.475*44/12</f>
        <v>1.4549648880121002</v>
      </c>
      <c r="AX87" s="23">
        <f t="shared" si="60"/>
        <v>40.114766731859945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195.59999999999994</v>
      </c>
      <c r="BE87" s="14">
        <f>BD87*VLOOKUP('Données projet'!$B$11,Paramètres!$A$1:$I$88,3,0)*VLOOKUP('Données projet'!$B$11,Paramètres!$A$1:$I$88,5,0)</f>
        <v>198.33839999999995</v>
      </c>
      <c r="BF87" s="14">
        <f t="shared" si="91"/>
        <v>49.378821219958084</v>
      </c>
      <c r="BG87" s="22">
        <f t="shared" si="61"/>
        <v>431.44082695809357</v>
      </c>
      <c r="BH87" s="60">
        <f t="shared" si="62"/>
        <v>724.77416029142682</v>
      </c>
      <c r="BI87" s="60">
        <f ca="1">AVERAGE(OFFSET($BH$3,0,0,'Données projet'!$E$11+1,1))-AVERAGE(OFFSET($H$3,0,0,'Données projet'!$E$11+1,1))</f>
        <v>166.48525819448878</v>
      </c>
      <c r="BJ87" s="60">
        <f t="shared" si="92"/>
        <v>61.876502626609977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16.012111656972095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16.012111656972095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0" t="e">
        <f t="shared" si="65"/>
        <v>#N/A</v>
      </c>
      <c r="CD87" s="60" t="e">
        <f ca="1">AVERAGE(OFFSET($CC$3,0,0,'Données projet'!$E$12+1,1))-AVERAGE(OFFSET($H$3,0,0,'Données projet'!$E$12+1,1))</f>
        <v>#N/A</v>
      </c>
      <c r="CE87" s="60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0" t="e">
        <f t="shared" si="68"/>
        <v>#N/A</v>
      </c>
      <c r="CY87" s="60" t="e">
        <f ca="1">AVERAGE(OFFSET($CX$3,0,0,'Données projet'!$E$13+1,1))-AVERAGE(OFFSET($H$3,0,0,'Données projet'!$E$13+1,1))</f>
        <v>#N/A</v>
      </c>
      <c r="CZ87" s="60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-5.6843418860808015E-13</v>
      </c>
      <c r="O88" s="14">
        <f>N88*VLOOKUP('Données projet'!$B$9,Paramètres!$A$1:$I$88,3,0)*VLOOKUP('Données projet'!$B$9,Paramètres!$A$1:$I$88,5,0)</f>
        <v>-3.39923644787632E-13</v>
      </c>
      <c r="P88" s="14" t="e">
        <f t="shared" si="8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222.57099967987045</v>
      </c>
      <c r="T88" s="60">
        <f t="shared" si="88"/>
        <v>221.49027090502796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119.30393125151214</v>
      </c>
      <c r="AA88" s="23">
        <f>EXP(-LN(2)/25)*AA87+(1-EXP(-LN(2)/25))/(LN(2)/25)*Calculateur!V88*Calculateur!X88*VLOOKUP('Données projet'!$B$9,Paramètres!$A$1:$I$88,3,0)*0.475*44/12</f>
        <v>26.379463653662302</v>
      </c>
      <c r="AB88" s="23">
        <f>EXP(-LN(2)/2)*AB87+(1-EXP(-LN(2)/2))/(LN(2)/2)*V88*Y88*VLOOKUP('Données projet'!$B$9,Paramètres!$A$1:$I$88,3,0)*0.475*44/12</f>
        <v>0.15502723822756256</v>
      </c>
      <c r="AC88" s="24">
        <f t="shared" si="57"/>
        <v>145.83842214340203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</v>
      </c>
      <c r="AI88" s="14">
        <f>IF('Données projet'!$A$62&gt;35,AI87+AH88-AQ87,IF(A88&lt;'Données projet'!$A$62,$AF$205^A88,IF(A88='Données projet'!$A$62,'Données projet'!$B$62,AI87+AH88-AQ87)))</f>
        <v>450</v>
      </c>
      <c r="AJ88" s="14">
        <f>AI88*VLOOKUP('Données projet'!$B$10,Paramètres!$A$1:$I$88,3,0)*VLOOKUP('Données projet'!$B$10,Paramètres!$A$1:$I$88,5,0)</f>
        <v>210.6</v>
      </c>
      <c r="AK88" s="14">
        <f t="shared" si="89"/>
        <v>52.066679014659961</v>
      </c>
      <c r="AL88" s="22">
        <f t="shared" si="58"/>
        <v>457.47779928386609</v>
      </c>
      <c r="AM88" s="60">
        <f t="shared" si="59"/>
        <v>750.81113261719941</v>
      </c>
      <c r="AN88" s="60">
        <f ca="1">AVERAGE(OFFSET($AM$3,0,0,'Données projet'!$E$10+1,1))-AVERAGE(OFFSET($H$3,0,0,'Données projet'!$E$10+1,1))</f>
        <v>147.1675182177155</v>
      </c>
      <c r="AO88" s="60">
        <f t="shared" si="90"/>
        <v>115.86489547584461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22.023831707462087</v>
      </c>
      <c r="AV88" s="23">
        <f>EXP(-LN(2)/25)*AV87+(1-EXP(-LN(2)/25))/(LN(2)/25)*Calculateur!AQ88*Calculateur!AS88*VLOOKUP('Données projet'!$B$10,Paramètres!$A$1:$I$88,3,0)*0.475*44/12</f>
        <v>15.752592404374624</v>
      </c>
      <c r="AW88" s="23">
        <f>EXP(-LN(2)/2)*AW87+(1-EXP(-LN(2)/2))/(LN(2)/2)*AQ88*AT88*VLOOKUP('Données projet'!$B$10,Paramètres!$A$1:$I$88,3,0)*0.475*44/12</f>
        <v>1.0288155387016817</v>
      </c>
      <c r="AX88" s="23">
        <f t="shared" si="60"/>
        <v>38.80523965053839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199.99999999999994</v>
      </c>
      <c r="BE88" s="14">
        <f>BD88*VLOOKUP('Données projet'!$B$11,Paramètres!$A$1:$I$88,3,0)*VLOOKUP('Données projet'!$B$11,Paramètres!$A$1:$I$88,5,0)</f>
        <v>202.79999999999995</v>
      </c>
      <c r="BF88" s="14">
        <f t="shared" si="91"/>
        <v>50.359024179353973</v>
      </c>
      <c r="BG88" s="22">
        <f t="shared" si="61"/>
        <v>440.91863377904139</v>
      </c>
      <c r="BH88" s="60">
        <f t="shared" si="62"/>
        <v>734.2519671123747</v>
      </c>
      <c r="BI88" s="60">
        <f ca="1">AVERAGE(OFFSET($BH$3,0,0,'Données projet'!$E$11+1,1))-AVERAGE(OFFSET($H$3,0,0,'Données projet'!$E$11+1,1))</f>
        <v>166.48525819448878</v>
      </c>
      <c r="BJ88" s="60">
        <f t="shared" si="92"/>
        <v>61.876502626609977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projet'!$B$11,Paramètres!$A$1:$I$88,7,0))</f>
        <v>0.25800000000000001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19.746984350827866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19.746984350827866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0" t="e">
        <f t="shared" si="65"/>
        <v>#N/A</v>
      </c>
      <c r="CD88" s="60" t="e">
        <f ca="1">AVERAGE(OFFSET($CC$3,0,0,'Données projet'!$E$12+1,1))-AVERAGE(OFFSET($H$3,0,0,'Données projet'!$E$12+1,1))</f>
        <v>#N/A</v>
      </c>
      <c r="CE88" s="60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0" t="e">
        <f t="shared" si="68"/>
        <v>#N/A</v>
      </c>
      <c r="CY88" s="60" t="e">
        <f ca="1">AVERAGE(OFFSET($CX$3,0,0,'Données projet'!$E$13+1,1))-AVERAGE(OFFSET($H$3,0,0,'Données projet'!$E$13+1,1))</f>
        <v>#N/A</v>
      </c>
      <c r="CZ88" s="60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-5.6843418860808015E-13</v>
      </c>
      <c r="O89" s="14">
        <f>N89*VLOOKUP('Données projet'!$B$9,Paramètres!$A$1:$I$88,3,0)*VLOOKUP('Données projet'!$B$9,Paramètres!$A$1:$I$88,5,0)</f>
        <v>-3.39923644787632E-13</v>
      </c>
      <c r="P89" s="14" t="e">
        <f t="shared" si="8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222.57099967987045</v>
      </c>
      <c r="T89" s="60">
        <f t="shared" si="88"/>
        <v>221.49027090502796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116.96445392788279</v>
      </c>
      <c r="AA89" s="23">
        <f>EXP(-LN(2)/25)*AA88+(1-EXP(-LN(2)/25))/(LN(2)/25)*Calculateur!V89*Calculateur!X89*VLOOKUP('Données projet'!$B$9,Paramètres!$A$1:$I$88,3,0)*0.475*44/12</f>
        <v>25.658115832817206</v>
      </c>
      <c r="AB89" s="23">
        <f>EXP(-LN(2)/2)*AB88+(1-EXP(-LN(2)/2))/(LN(2)/2)*V89*Y89*VLOOKUP('Données projet'!$B$9,Paramètres!$A$1:$I$88,3,0)*0.475*44/12</f>
        <v>0.10962081141933186</v>
      </c>
      <c r="AC89" s="24">
        <f t="shared" si="57"/>
        <v>142.73219057211932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</v>
      </c>
      <c r="AI89" s="14">
        <f>IF('Données projet'!$A$62&gt;35,AI88+AH89-AQ88,IF(A89&lt;'Données projet'!$A$62,$AF$205^A89,IF(A89='Données projet'!$A$62,'Données projet'!$B$62,AI88+AH89-AQ88)))</f>
        <v>458</v>
      </c>
      <c r="AJ89" s="14">
        <f>AI89*VLOOKUP('Données projet'!$B$10,Paramètres!$A$1:$I$88,3,0)*VLOOKUP('Données projet'!$B$10,Paramètres!$A$1:$I$88,5,0)</f>
        <v>214.34399999999999</v>
      </c>
      <c r="AK89" s="14">
        <f t="shared" si="89"/>
        <v>52.883724855822585</v>
      </c>
      <c r="AL89" s="22">
        <f t="shared" si="58"/>
        <v>465.42162079055765</v>
      </c>
      <c r="AM89" s="60">
        <f t="shared" si="59"/>
        <v>758.75495412389091</v>
      </c>
      <c r="AN89" s="60">
        <f ca="1">AVERAGE(OFFSET($AM$3,0,0,'Données projet'!$E$10+1,1))-AVERAGE(OFFSET($H$3,0,0,'Données projet'!$E$10+1,1))</f>
        <v>147.1675182177155</v>
      </c>
      <c r="AO89" s="60">
        <f t="shared" si="90"/>
        <v>115.86489547584461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21.591957800889677</v>
      </c>
      <c r="AV89" s="23">
        <f>EXP(-LN(2)/25)*AV88+(1-EXP(-LN(2)/25))/(LN(2)/25)*Calculateur!AQ89*Calculateur!AS89*VLOOKUP('Données projet'!$B$10,Paramètres!$A$1:$I$88,3,0)*0.475*44/12</f>
        <v>15.32183693668417</v>
      </c>
      <c r="AW89" s="23">
        <f>EXP(-LN(2)/2)*AW88+(1-EXP(-LN(2)/2))/(LN(2)/2)*AQ89*AT89*VLOOKUP('Données projet'!$B$10,Paramètres!$A$1:$I$88,3,0)*0.475*44/12</f>
        <v>0.72748244400605011</v>
      </c>
      <c r="AX89" s="23">
        <f t="shared" si="60"/>
        <v>37.641277181579895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190.19999999999993</v>
      </c>
      <c r="BE89" s="14">
        <f>BD89*VLOOKUP('Données projet'!$B$11,Paramètres!$A$1:$I$88,3,0)*VLOOKUP('Données projet'!$B$11,Paramètres!$A$1:$I$88,5,0)</f>
        <v>192.86279999999994</v>
      </c>
      <c r="BF89" s="14">
        <f t="shared" si="91"/>
        <v>48.172325347436733</v>
      </c>
      <c r="BG89" s="22">
        <f t="shared" si="61"/>
        <v>419.80284331345212</v>
      </c>
      <c r="BH89" s="60">
        <f t="shared" si="62"/>
        <v>713.13617664678543</v>
      </c>
      <c r="BI89" s="60">
        <f ca="1">AVERAGE(OFFSET($BH$3,0,0,'Données projet'!$E$11+1,1))-AVERAGE(OFFSET($H$3,0,0,'Données projet'!$E$11+1,1))</f>
        <v>166.48525819448878</v>
      </c>
      <c r="BJ89" s="60">
        <f t="shared" si="92"/>
        <v>61.876502626609977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19.359758032179293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19.359758032179293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0" t="e">
        <f t="shared" si="65"/>
        <v>#N/A</v>
      </c>
      <c r="CD89" s="60" t="e">
        <f ca="1">AVERAGE(OFFSET($CC$3,0,0,'Données projet'!$E$12+1,1))-AVERAGE(OFFSET($H$3,0,0,'Données projet'!$E$12+1,1))</f>
        <v>#N/A</v>
      </c>
      <c r="CE89" s="60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0" t="e">
        <f t="shared" si="68"/>
        <v>#N/A</v>
      </c>
      <c r="CY89" s="60" t="e">
        <f ca="1">AVERAGE(OFFSET($CX$3,0,0,'Données projet'!$E$13+1,1))-AVERAGE(OFFSET($H$3,0,0,'Données projet'!$E$13+1,1))</f>
        <v>#N/A</v>
      </c>
      <c r="CZ89" s="60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-5.6843418860808015E-13</v>
      </c>
      <c r="O90" s="14">
        <f>N90*VLOOKUP('Données projet'!$B$9,Paramètres!$A$1:$I$88,3,0)*VLOOKUP('Données projet'!$B$9,Paramètres!$A$1:$I$88,5,0)</f>
        <v>-3.39923644787632E-13</v>
      </c>
      <c r="P90" s="14" t="e">
        <f t="shared" si="8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222.57099967987045</v>
      </c>
      <c r="T90" s="60">
        <f t="shared" si="88"/>
        <v>221.49027090502796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114.67085232762953</v>
      </c>
      <c r="AA90" s="23">
        <f>EXP(-LN(2)/25)*AA89+(1-EXP(-LN(2)/25))/(LN(2)/25)*Calculateur!V90*Calculateur!X90*VLOOKUP('Données projet'!$B$9,Paramètres!$A$1:$I$88,3,0)*0.475*44/12</f>
        <v>24.956493306067149</v>
      </c>
      <c r="AB90" s="23">
        <f>EXP(-LN(2)/2)*AB89+(1-EXP(-LN(2)/2))/(LN(2)/2)*V90*Y90*VLOOKUP('Données projet'!$B$9,Paramètres!$A$1:$I$88,3,0)*0.475*44/12</f>
        <v>7.7513619113781282E-2</v>
      </c>
      <c r="AC90" s="24">
        <f t="shared" si="57"/>
        <v>139.70485925281045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</v>
      </c>
      <c r="AI90" s="14">
        <f>IF('Données projet'!$A$62&gt;35,AI89+AH90-AQ89,IF(A90&lt;'Données projet'!$A$62,$AF$205^A90,IF(A90='Données projet'!$A$62,'Données projet'!$B$62,AI89+AH90-AQ89)))</f>
        <v>466</v>
      </c>
      <c r="AJ90" s="14">
        <f>AI90*VLOOKUP('Données projet'!$B$10,Paramètres!$A$1:$I$88,3,0)*VLOOKUP('Données projet'!$B$10,Paramètres!$A$1:$I$88,5,0)</f>
        <v>218.08799999999999</v>
      </c>
      <c r="AK90" s="14">
        <f t="shared" si="89"/>
        <v>53.699111087780629</v>
      </c>
      <c r="AL90" s="22">
        <f t="shared" si="58"/>
        <v>473.36255181121783</v>
      </c>
      <c r="AM90" s="60">
        <f t="shared" si="59"/>
        <v>766.69588514455108</v>
      </c>
      <c r="AN90" s="60">
        <f ca="1">AVERAGE(OFFSET($AM$3,0,0,'Données projet'!$E$10+1,1))-AVERAGE(OFFSET($H$3,0,0,'Données projet'!$E$10+1,1))</f>
        <v>147.1675182177155</v>
      </c>
      <c r="AO90" s="60">
        <f t="shared" si="90"/>
        <v>115.86489547584461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21.16855267820808</v>
      </c>
      <c r="AV90" s="23">
        <f>EXP(-LN(2)/25)*AV89+(1-EXP(-LN(2)/25))/(LN(2)/25)*Calculateur!AQ90*Calculateur!AS90*VLOOKUP('Données projet'!$B$10,Paramètres!$A$1:$I$88,3,0)*0.475*44/12</f>
        <v>14.902860499910155</v>
      </c>
      <c r="AW90" s="23">
        <f>EXP(-LN(2)/2)*AW89+(1-EXP(-LN(2)/2))/(LN(2)/2)*AQ90*AT90*VLOOKUP('Données projet'!$B$10,Paramètres!$A$1:$I$88,3,0)*0.475*44/12</f>
        <v>0.51440776935084087</v>
      </c>
      <c r="AX90" s="23">
        <f t="shared" si="60"/>
        <v>36.585820947469074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194.39999999999992</v>
      </c>
      <c r="BE90" s="14">
        <f>BD90*VLOOKUP('Données projet'!$B$11,Paramètres!$A$1:$I$88,3,0)*VLOOKUP('Données projet'!$B$11,Paramètres!$A$1:$I$88,5,0)</f>
        <v>197.12159999999994</v>
      </c>
      <c r="BF90" s="14">
        <f t="shared" si="91"/>
        <v>49.111049803800405</v>
      </c>
      <c r="BG90" s="22">
        <f t="shared" si="61"/>
        <v>428.85519840828556</v>
      </c>
      <c r="BH90" s="60">
        <f t="shared" si="62"/>
        <v>722.18853174161882</v>
      </c>
      <c r="BI90" s="60">
        <f ca="1">AVERAGE(OFFSET($BH$3,0,0,'Données projet'!$E$11+1,1))-AVERAGE(OFFSET($H$3,0,0,'Données projet'!$E$11+1,1))</f>
        <v>166.48525819448878</v>
      </c>
      <c r="BJ90" s="60">
        <f t="shared" si="92"/>
        <v>61.876502626609977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18.980124985454687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18.980124985454687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0" t="e">
        <f t="shared" si="65"/>
        <v>#N/A</v>
      </c>
      <c r="CD90" s="60" t="e">
        <f ca="1">AVERAGE(OFFSET($CC$3,0,0,'Données projet'!$E$12+1,1))-AVERAGE(OFFSET($H$3,0,0,'Données projet'!$E$12+1,1))</f>
        <v>#N/A</v>
      </c>
      <c r="CE90" s="60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0" t="e">
        <f t="shared" si="68"/>
        <v>#N/A</v>
      </c>
      <c r="CY90" s="60" t="e">
        <f ca="1">AVERAGE(OFFSET($CX$3,0,0,'Données projet'!$E$13+1,1))-AVERAGE(OFFSET($H$3,0,0,'Données projet'!$E$13+1,1))</f>
        <v>#N/A</v>
      </c>
      <c r="CZ90" s="60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-5.6843418860808015E-13</v>
      </c>
      <c r="O91" s="14">
        <f>N91*VLOOKUP('Données projet'!$B$9,Paramètres!$A$1:$I$88,3,0)*VLOOKUP('Données projet'!$B$9,Paramètres!$A$1:$I$88,5,0)</f>
        <v>-3.39923644787632E-13</v>
      </c>
      <c r="P91" s="14" t="e">
        <f t="shared" si="8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222.57099967987045</v>
      </c>
      <c r="T91" s="60">
        <f t="shared" si="88"/>
        <v>221.49027090502796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112.42222685579841</v>
      </c>
      <c r="AA91" s="23">
        <f>EXP(-LN(2)/25)*AA90+(1-EXP(-LN(2)/25))/(LN(2)/25)*Calculateur!V91*Calculateur!X91*VLOOKUP('Données projet'!$B$9,Paramètres!$A$1:$I$88,3,0)*0.475*44/12</f>
        <v>24.2740566842078</v>
      </c>
      <c r="AB91" s="23">
        <f>EXP(-LN(2)/2)*AB90+(1-EXP(-LN(2)/2))/(LN(2)/2)*V91*Y91*VLOOKUP('Données projet'!$B$9,Paramètres!$A$1:$I$88,3,0)*0.475*44/12</f>
        <v>5.481040570966593E-2</v>
      </c>
      <c r="AC91" s="24">
        <f t="shared" si="57"/>
        <v>136.75109394571589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</v>
      </c>
      <c r="AI91" s="14">
        <f>IF('Données projet'!$A$62&gt;35,AI90+AH91-AQ90,IF(A91&lt;'Données projet'!$A$62,$AF$205^A91,IF(A91='Données projet'!$A$62,'Données projet'!$B$62,AI90+AH91-AQ90)))</f>
        <v>474</v>
      </c>
      <c r="AJ91" s="14">
        <f>AI91*VLOOKUP('Données projet'!$B$10,Paramètres!$A$1:$I$88,3,0)*VLOOKUP('Données projet'!$B$10,Paramètres!$A$1:$I$88,5,0)</f>
        <v>221.83199999999999</v>
      </c>
      <c r="AK91" s="14">
        <f t="shared" si="89"/>
        <v>54.512869489435815</v>
      </c>
      <c r="AL91" s="22">
        <f t="shared" si="58"/>
        <v>481.30064769410069</v>
      </c>
      <c r="AM91" s="60">
        <f t="shared" si="59"/>
        <v>774.63398102743395</v>
      </c>
      <c r="AN91" s="60">
        <f ca="1">AVERAGE(OFFSET($AM$3,0,0,'Données projet'!$E$10+1,1))-AVERAGE(OFFSET($H$3,0,0,'Données projet'!$E$10+1,1))</f>
        <v>147.1675182177155</v>
      </c>
      <c r="AO91" s="60">
        <f t="shared" si="90"/>
        <v>115.86489547584461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20.753450271730646</v>
      </c>
      <c r="AV91" s="23">
        <f>EXP(-LN(2)/25)*AV90+(1-EXP(-LN(2)/25))/(LN(2)/25)*Calculateur!AQ91*Calculateur!AS91*VLOOKUP('Données projet'!$B$10,Paramètres!$A$1:$I$88,3,0)*0.475*44/12</f>
        <v>14.495340995832739</v>
      </c>
      <c r="AW91" s="23">
        <f>EXP(-LN(2)/2)*AW90+(1-EXP(-LN(2)/2))/(LN(2)/2)*AQ91*AT91*VLOOKUP('Données projet'!$B$10,Paramètres!$A$1:$I$88,3,0)*0.475*44/12</f>
        <v>0.36374122200302506</v>
      </c>
      <c r="AX91" s="23">
        <f t="shared" si="60"/>
        <v>35.612532489566412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198.59999999999991</v>
      </c>
      <c r="BE91" s="14">
        <f>BD91*VLOOKUP('Données projet'!$B$11,Paramètres!$A$1:$I$88,3,0)*VLOOKUP('Données projet'!$B$11,Paramètres!$A$1:$I$88,5,0)</f>
        <v>201.38039999999992</v>
      </c>
      <c r="BF91" s="14">
        <f t="shared" si="91"/>
        <v>50.047416314000145</v>
      </c>
      <c r="BG91" s="22">
        <f t="shared" si="61"/>
        <v>437.90344674688339</v>
      </c>
      <c r="BH91" s="60">
        <f t="shared" si="62"/>
        <v>731.2367800802167</v>
      </c>
      <c r="BI91" s="60">
        <f ca="1">AVERAGE(OFFSET($BH$3,0,0,'Données projet'!$E$11+1,1))-AVERAGE(OFFSET($H$3,0,0,'Données projet'!$E$11+1,1))</f>
        <v>166.48525819448878</v>
      </c>
      <c r="BJ91" s="60">
        <f t="shared" si="92"/>
        <v>61.876502626609977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18.607936311223053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18.607936311223053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0" t="e">
        <f t="shared" si="65"/>
        <v>#N/A</v>
      </c>
      <c r="CD91" s="60" t="e">
        <f ca="1">AVERAGE(OFFSET($CC$3,0,0,'Données projet'!$E$12+1,1))-AVERAGE(OFFSET($H$3,0,0,'Données projet'!$E$12+1,1))</f>
        <v>#N/A</v>
      </c>
      <c r="CE91" s="60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0" t="e">
        <f t="shared" si="68"/>
        <v>#N/A</v>
      </c>
      <c r="CY91" s="60" t="e">
        <f ca="1">AVERAGE(OFFSET($CX$3,0,0,'Données projet'!$E$13+1,1))-AVERAGE(OFFSET($H$3,0,0,'Données projet'!$E$13+1,1))</f>
        <v>#N/A</v>
      </c>
      <c r="CZ91" s="60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-5.6843418860808015E-13</v>
      </c>
      <c r="O92" s="14">
        <f>N92*VLOOKUP('Données projet'!$B$9,Paramètres!$A$1:$I$88,3,0)*VLOOKUP('Données projet'!$B$9,Paramètres!$A$1:$I$88,5,0)</f>
        <v>-3.39923644787632E-13</v>
      </c>
      <c r="P92" s="14" t="e">
        <f t="shared" si="8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222.57099967987045</v>
      </c>
      <c r="T92" s="60">
        <f t="shared" si="88"/>
        <v>221.49027090502796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110.21769555794378</v>
      </c>
      <c r="AA92" s="23">
        <f>EXP(-LN(2)/25)*AA91+(1-EXP(-LN(2)/25))/(LN(2)/25)*Calculateur!V92*Calculateur!X92*VLOOKUP('Données projet'!$B$9,Paramètres!$A$1:$I$88,3,0)*0.475*44/12</f>
        <v>23.610281327660974</v>
      </c>
      <c r="AB92" s="23">
        <f>EXP(-LN(2)/2)*AB91+(1-EXP(-LN(2)/2))/(LN(2)/2)*V92*Y92*VLOOKUP('Données projet'!$B$9,Paramètres!$A$1:$I$88,3,0)*0.475*44/12</f>
        <v>3.8756809556890641E-2</v>
      </c>
      <c r="AC92" s="24">
        <f t="shared" si="57"/>
        <v>133.86673369516166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</v>
      </c>
      <c r="AI92" s="14">
        <f>IF('Données projet'!$A$62&gt;35,AI91+AH92-AQ91,IF(A92&lt;'Données projet'!$A$62,$AF$205^A92,IF(A92='Données projet'!$A$62,'Données projet'!$B$62,AI91+AH92-AQ91)))</f>
        <v>482</v>
      </c>
      <c r="AJ92" s="14">
        <f>AI92*VLOOKUP('Données projet'!$B$10,Paramètres!$A$1:$I$88,3,0)*VLOOKUP('Données projet'!$B$10,Paramètres!$A$1:$I$88,5,0)</f>
        <v>225.57599999999999</v>
      </c>
      <c r="AK92" s="14">
        <f t="shared" si="89"/>
        <v>55.325030705505945</v>
      </c>
      <c r="AL92" s="22">
        <f t="shared" si="58"/>
        <v>489.2359618120895</v>
      </c>
      <c r="AM92" s="60">
        <f t="shared" si="59"/>
        <v>782.56929514542276</v>
      </c>
      <c r="AN92" s="60">
        <f ca="1">AVERAGE(OFFSET($AM$3,0,0,'Données projet'!$E$10+1,1))-AVERAGE(OFFSET($H$3,0,0,'Données projet'!$E$10+1,1))</f>
        <v>147.1675182177155</v>
      </c>
      <c r="AO92" s="60">
        <f t="shared" si="90"/>
        <v>115.86489547584461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20.346487770256765</v>
      </c>
      <c r="AV92" s="23">
        <f>EXP(-LN(2)/25)*AV91+(1-EXP(-LN(2)/25))/(LN(2)/25)*Calculateur!AQ92*Calculateur!AS92*VLOOKUP('Données projet'!$B$10,Paramètres!$A$1:$I$88,3,0)*0.475*44/12</f>
        <v>14.098965134024839</v>
      </c>
      <c r="AW92" s="23">
        <f>EXP(-LN(2)/2)*AW91+(1-EXP(-LN(2)/2))/(LN(2)/2)*AQ92*AT92*VLOOKUP('Données projet'!$B$10,Paramètres!$A$1:$I$88,3,0)*0.475*44/12</f>
        <v>0.25720388467542044</v>
      </c>
      <c r="AX92" s="23">
        <f t="shared" si="60"/>
        <v>34.702656788957022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202.7999999999999</v>
      </c>
      <c r="BE92" s="14">
        <f>BD92*VLOOKUP('Données projet'!$B$11,Paramètres!$A$1:$I$88,3,0)*VLOOKUP('Données projet'!$B$11,Paramètres!$A$1:$I$88,5,0)</f>
        <v>205.6391999999999</v>
      </c>
      <c r="BF92" s="14">
        <f t="shared" si="91"/>
        <v>50.981480488268076</v>
      </c>
      <c r="BG92" s="22">
        <f t="shared" si="61"/>
        <v>446.94768518373331</v>
      </c>
      <c r="BH92" s="60">
        <f t="shared" si="62"/>
        <v>740.28101851706663</v>
      </c>
      <c r="BI92" s="60">
        <f ca="1">AVERAGE(OFFSET($BH$3,0,0,'Données projet'!$E$11+1,1))-AVERAGE(OFFSET($H$3,0,0,'Données projet'!$E$11+1,1))</f>
        <v>166.48525819448878</v>
      </c>
      <c r="BJ92" s="60">
        <f t="shared" si="92"/>
        <v>61.876502626609977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18.243046029880428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18.243046029880428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0" t="e">
        <f t="shared" si="65"/>
        <v>#N/A</v>
      </c>
      <c r="CD92" s="60" t="e">
        <f ca="1">AVERAGE(OFFSET($CC$3,0,0,'Données projet'!$E$12+1,1))-AVERAGE(OFFSET($H$3,0,0,'Données projet'!$E$12+1,1))</f>
        <v>#N/A</v>
      </c>
      <c r="CE92" s="60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0" t="e">
        <f t="shared" si="68"/>
        <v>#N/A</v>
      </c>
      <c r="CY92" s="60" t="e">
        <f ca="1">AVERAGE(OFFSET($CX$3,0,0,'Données projet'!$E$13+1,1))-AVERAGE(OFFSET($H$3,0,0,'Données projet'!$E$13+1,1))</f>
        <v>#N/A</v>
      </c>
      <c r="CZ92" s="60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-5.6843418860808015E-13</v>
      </c>
      <c r="O93" s="14">
        <f>N93*VLOOKUP('Données projet'!$B$9,Paramètres!$A$1:$I$88,3,0)*VLOOKUP('Données projet'!$B$9,Paramètres!$A$1:$I$88,5,0)</f>
        <v>-3.39923644787632E-13</v>
      </c>
      <c r="P93" s="14" t="e">
        <f t="shared" si="8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222.57099967987045</v>
      </c>
      <c r="T93" s="60">
        <f t="shared" si="88"/>
        <v>221.49027090502796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108.05639377420877</v>
      </c>
      <c r="AA93" s="23">
        <f>EXP(-LN(2)/25)*AA92+(1-EXP(-LN(2)/25))/(LN(2)/25)*Calculateur!V93*Calculateur!X93*VLOOKUP('Données projet'!$B$9,Paramètres!$A$1:$I$88,3,0)*0.475*44/12</f>
        <v>22.964656943145354</v>
      </c>
      <c r="AB93" s="23">
        <f>EXP(-LN(2)/2)*AB92+(1-EXP(-LN(2)/2))/(LN(2)/2)*V93*Y93*VLOOKUP('Données projet'!$B$9,Paramètres!$A$1:$I$88,3,0)*0.475*44/12</f>
        <v>2.7405202854832965E-2</v>
      </c>
      <c r="AC93" s="24">
        <f t="shared" si="57"/>
        <v>131.04845592020894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490</v>
      </c>
      <c r="AG93" s="13">
        <f>VLOOKUP(A93,'Données projet'!$A$61:$I$81,9,0)</f>
        <v>8</v>
      </c>
      <c r="AH93" s="13">
        <f t="array" ref="AH93">INDEX(AG:AG,MIN(IF(ISNUMBER(AG93:AG289),ROW(AG93:AG289),"")))</f>
        <v>8</v>
      </c>
      <c r="AI93" s="14">
        <f>IF('Données projet'!$A$62&gt;35,AI92+AH93-AQ92,IF(A93&lt;'Données projet'!$A$62,$AF$205^A93,IF(A93='Données projet'!$A$62,'Données projet'!$B$62,AI92+AH93-AQ92)))</f>
        <v>490</v>
      </c>
      <c r="AJ93" s="14">
        <f>AI93*VLOOKUP('Données projet'!$B$10,Paramètres!$A$1:$I$88,3,0)*VLOOKUP('Données projet'!$B$10,Paramètres!$A$1:$I$88,5,0)</f>
        <v>229.32000000000002</v>
      </c>
      <c r="AK93" s="14">
        <f t="shared" si="89"/>
        <v>56.135624305144624</v>
      </c>
      <c r="AL93" s="22">
        <f t="shared" si="58"/>
        <v>497.16854566479356</v>
      </c>
      <c r="AM93" s="60">
        <f t="shared" si="59"/>
        <v>790.50187899812681</v>
      </c>
      <c r="AN93" s="60">
        <f ca="1">AVERAGE(OFFSET($AM$3,0,0,'Données projet'!$E$10+1,1))-AVERAGE(OFFSET($H$3,0,0,'Données projet'!$E$10+1,1))</f>
        <v>147.1675182177155</v>
      </c>
      <c r="AO93" s="60">
        <f t="shared" si="90"/>
        <v>115.86489547584461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490</v>
      </c>
      <c r="AR93" s="17">
        <f>IF(ISNA(VLOOKUP(A93,'Données projet'!$A$61:$I$81,5,0)),0%,VLOOKUP(A93,'Données projet'!$A$61:$I$81,5,0)*VLOOKUP('Données projet'!$B$10,Paramètres!$A$1:$I$88,7,0))</f>
        <v>0.44000000000000006</v>
      </c>
      <c r="AS93" s="17">
        <f>IF(ISNA(VLOOKUP(A93,'Données projet'!$A$61:$I$81,6,0)),0%,VLOOKUP(A93,'Données projet'!$A$61:$I$81,6,0)*VLOOKUP('Données projet'!$B$10,Paramètres!$A$1:$I$88,7,0))</f>
        <v>6.1600000000000016E-2</v>
      </c>
      <c r="AT93" s="17">
        <f>IF(ISNA(VLOOKUP(A93,'Données projet'!$A$61:$I$81,7,0)),0%,VLOOKUP(A93,'Données projet'!$A$61:$I$81,7,0))</f>
        <v>8.8000000000000009E-2</v>
      </c>
      <c r="AU93" s="23">
        <f>EXP(-LN(2)/35)*AU92+(1-EXP(-LN(2)/35))/(LN(2)/35)*AQ93*AR93*VLOOKUP('Données projet'!$B$10,Paramètres!$A$1:$I$88,3,0)*0.475*44/12</f>
        <v>153.79892036062816</v>
      </c>
      <c r="AV93" s="23">
        <f>EXP(-LN(2)/25)*AV92+(1-EXP(-LN(2)/25))/(LN(2)/25)*Calculateur!AQ93*Calculateur!AS93*VLOOKUP('Données projet'!$B$10,Paramètres!$A$1:$I$88,3,0)*0.475*44/12</f>
        <v>32.378842900753838</v>
      </c>
      <c r="AW93" s="23">
        <f>EXP(-LN(2)/2)*AW92+(1-EXP(-LN(2)/2))/(LN(2)/2)*AQ93*AT93*VLOOKUP('Données projet'!$B$10,Paramètres!$A$1:$I$88,3,0)*0.475*44/12</f>
        <v>23.030499532253202</v>
      </c>
      <c r="AX93" s="23">
        <f t="shared" si="60"/>
        <v>209.20826279363519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206.99999999999989</v>
      </c>
      <c r="BE93" s="14">
        <f>BD93*VLOOKUP('Données projet'!$B$11,Paramètres!$A$1:$I$88,3,0)*VLOOKUP('Données projet'!$B$11,Paramètres!$A$1:$I$88,5,0)</f>
        <v>209.89799999999988</v>
      </c>
      <c r="BF93" s="14">
        <f t="shared" si="91"/>
        <v>51.913295501810218</v>
      </c>
      <c r="BG93" s="22">
        <f t="shared" si="61"/>
        <v>455.98800633231923</v>
      </c>
      <c r="BH93" s="60">
        <f t="shared" si="62"/>
        <v>749.32133966565254</v>
      </c>
      <c r="BI93" s="60">
        <f ca="1">AVERAGE(OFFSET($BH$3,0,0,'Données projet'!$E$11+1,1))-AVERAGE(OFFSET($H$3,0,0,'Données projet'!$E$11+1,1))</f>
        <v>166.48525819448878</v>
      </c>
      <c r="BJ93" s="60">
        <f t="shared" si="92"/>
        <v>61.876502626609977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projet'!$B$11,Paramètres!$A$1:$I$88,7,0))</f>
        <v>0.30099999999999999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22.608981534256614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22.608981534256614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0" t="e">
        <f t="shared" si="65"/>
        <v>#N/A</v>
      </c>
      <c r="CD93" s="60" t="e">
        <f ca="1">AVERAGE(OFFSET($CC$3,0,0,'Données projet'!$E$12+1,1))-AVERAGE(OFFSET($H$3,0,0,'Données projet'!$E$12+1,1))</f>
        <v>#N/A</v>
      </c>
      <c r="CE93" s="60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0" t="e">
        <f t="shared" si="68"/>
        <v>#N/A</v>
      </c>
      <c r="CY93" s="60" t="e">
        <f ca="1">AVERAGE(OFFSET($CX$3,0,0,'Données projet'!$E$13+1,1))-AVERAGE(OFFSET($H$3,0,0,'Données projet'!$E$13+1,1))</f>
        <v>#N/A</v>
      </c>
      <c r="CZ93" s="60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-5.6843418860808015E-13</v>
      </c>
      <c r="O94" s="14">
        <f>N94*VLOOKUP('Données projet'!$B$9,Paramètres!$A$1:$I$88,3,0)*VLOOKUP('Données projet'!$B$9,Paramètres!$A$1:$I$88,5,0)</f>
        <v>-3.39923644787632E-13</v>
      </c>
      <c r="P94" s="14" t="e">
        <f t="shared" si="8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222.57099967987045</v>
      </c>
      <c r="T94" s="60">
        <f t="shared" si="88"/>
        <v>221.49027090502796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105.93747380018888</v>
      </c>
      <c r="AA94" s="23">
        <f>EXP(-LN(2)/25)*AA93+(1-EXP(-LN(2)/25))/(LN(2)/25)*Calculateur!V94*Calculateur!X94*VLOOKUP('Données projet'!$B$9,Paramètres!$A$1:$I$88,3,0)*0.475*44/12</f>
        <v>22.336687191376221</v>
      </c>
      <c r="AB94" s="23">
        <f>EXP(-LN(2)/2)*AB93+(1-EXP(-LN(2)/2))/(LN(2)/2)*V94*Y94*VLOOKUP('Données projet'!$B$9,Paramètres!$A$1:$I$88,3,0)*0.475*44/12</f>
        <v>1.937840477844532E-2</v>
      </c>
      <c r="AC94" s="24">
        <f t="shared" si="57"/>
        <v>128.29353939634356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147.1675182177155</v>
      </c>
      <c r="AO94" s="60">
        <f t="shared" si="90"/>
        <v>115.86489547584461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150.7830173404349</v>
      </c>
      <c r="AV94" s="23">
        <f>EXP(-LN(2)/25)*AV93+(1-EXP(-LN(2)/25))/(LN(2)/25)*Calculateur!AQ94*Calculateur!AS94*VLOOKUP('Données projet'!$B$10,Paramètres!$A$1:$I$88,3,0)*0.475*44/12</f>
        <v>31.493441738903378</v>
      </c>
      <c r="AW94" s="23">
        <f>EXP(-LN(2)/2)*AW93+(1-EXP(-LN(2)/2))/(LN(2)/2)*AQ94*AT94*VLOOKUP('Données projet'!$B$10,Paramètres!$A$1:$I$88,3,0)*0.475*44/12</f>
        <v>16.28502239336985</v>
      </c>
      <c r="AX94" s="23">
        <f t="shared" si="60"/>
        <v>198.56148147270812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196.7999999999999</v>
      </c>
      <c r="BE94" s="14">
        <f>BD94*VLOOKUP('Données projet'!$B$11,Paramètres!$A$1:$I$88,3,0)*VLOOKUP('Données projet'!$B$11,Paramètres!$A$1:$I$88,5,0)</f>
        <v>199.55519999999993</v>
      </c>
      <c r="BF94" s="14">
        <f t="shared" si="91"/>
        <v>49.646401484745567</v>
      </c>
      <c r="BG94" s="22">
        <f t="shared" si="61"/>
        <v>434.02612258593172</v>
      </c>
      <c r="BH94" s="60">
        <f t="shared" si="62"/>
        <v>727.35945591926497</v>
      </c>
      <c r="BI94" s="60">
        <f ca="1">AVERAGE(OFFSET($BH$3,0,0,'Données projet'!$E$11+1,1))-AVERAGE(OFFSET($H$3,0,0,'Données projet'!$E$11+1,1))</f>
        <v>166.48525819448878</v>
      </c>
      <c r="BJ94" s="60">
        <f t="shared" si="92"/>
        <v>61.876502626609977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22.165633196486915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22.165633196486915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0" t="e">
        <f t="shared" si="65"/>
        <v>#N/A</v>
      </c>
      <c r="CD94" s="60" t="e">
        <f ca="1">AVERAGE(OFFSET($CC$3,0,0,'Données projet'!$E$12+1,1))-AVERAGE(OFFSET($H$3,0,0,'Données projet'!$E$12+1,1))</f>
        <v>#N/A</v>
      </c>
      <c r="CE94" s="60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0" t="e">
        <f t="shared" si="68"/>
        <v>#N/A</v>
      </c>
      <c r="CY94" s="60" t="e">
        <f ca="1">AVERAGE(OFFSET($CX$3,0,0,'Données projet'!$E$13+1,1))-AVERAGE(OFFSET($H$3,0,0,'Données projet'!$E$13+1,1))</f>
        <v>#N/A</v>
      </c>
      <c r="CZ94" s="60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-5.6843418860808015E-13</v>
      </c>
      <c r="O95" s="14">
        <f>N95*VLOOKUP('Données projet'!$B$9,Paramètres!$A$1:$I$88,3,0)*VLOOKUP('Données projet'!$B$9,Paramètres!$A$1:$I$88,5,0)</f>
        <v>-3.39923644787632E-13</v>
      </c>
      <c r="P95" s="14" t="e">
        <f t="shared" si="8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222.57099967987045</v>
      </c>
      <c r="T95" s="60">
        <f t="shared" si="88"/>
        <v>221.49027090502796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103.86010455444595</v>
      </c>
      <c r="AA95" s="23">
        <f>EXP(-LN(2)/25)*AA94+(1-EXP(-LN(2)/25))/(LN(2)/25)*Calculateur!V95*Calculateur!X95*VLOOKUP('Données projet'!$B$9,Paramètres!$A$1:$I$88,3,0)*0.475*44/12</f>
        <v>21.725889305492711</v>
      </c>
      <c r="AB95" s="23">
        <f>EXP(-LN(2)/2)*AB94+(1-EXP(-LN(2)/2))/(LN(2)/2)*V95*Y95*VLOOKUP('Données projet'!$B$9,Paramètres!$A$1:$I$88,3,0)*0.475*44/12</f>
        <v>1.3702601427416482E-2</v>
      </c>
      <c r="AC95" s="24">
        <f t="shared" si="57"/>
        <v>125.59969646136608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147.1675182177155</v>
      </c>
      <c r="AO95" s="60">
        <f t="shared" si="90"/>
        <v>115.86489547584461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147.82625433894842</v>
      </c>
      <c r="AV95" s="23">
        <f>EXP(-LN(2)/25)*AV94+(1-EXP(-LN(2)/25))/(LN(2)/25)*Calculateur!AQ95*Calculateur!AS95*VLOOKUP('Données projet'!$B$10,Paramètres!$A$1:$I$88,3,0)*0.475*44/12</f>
        <v>30.632251918384945</v>
      </c>
      <c r="AW95" s="23">
        <f>EXP(-LN(2)/2)*AW94+(1-EXP(-LN(2)/2))/(LN(2)/2)*AQ95*AT95*VLOOKUP('Données projet'!$B$10,Paramètres!$A$1:$I$88,3,0)*0.475*44/12</f>
        <v>11.515249766126601</v>
      </c>
      <c r="AX95" s="23">
        <f t="shared" si="60"/>
        <v>189.97375602345997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200.59999999999991</v>
      </c>
      <c r="BE95" s="14">
        <f>BD95*VLOOKUP('Données projet'!$B$11,Paramètres!$A$1:$I$88,3,0)*VLOOKUP('Données projet'!$B$11,Paramètres!$A$1:$I$88,5,0)</f>
        <v>203.40839999999994</v>
      </c>
      <c r="BF95" s="14">
        <f t="shared" si="91"/>
        <v>50.492492598977002</v>
      </c>
      <c r="BG95" s="22">
        <f t="shared" si="61"/>
        <v>442.21072127655151</v>
      </c>
      <c r="BH95" s="60">
        <f t="shared" si="62"/>
        <v>735.54405460988482</v>
      </c>
      <c r="BI95" s="60">
        <f ca="1">AVERAGE(OFFSET($BH$3,0,0,'Données projet'!$E$11+1,1))-AVERAGE(OFFSET($H$3,0,0,'Données projet'!$E$11+1,1))</f>
        <v>166.48525819448878</v>
      </c>
      <c r="BJ95" s="60">
        <f t="shared" si="92"/>
        <v>61.876502626609977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21.730978649205099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21.730978649205099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0" t="e">
        <f t="shared" si="65"/>
        <v>#N/A</v>
      </c>
      <c r="CD95" s="60" t="e">
        <f ca="1">AVERAGE(OFFSET($CC$3,0,0,'Données projet'!$E$12+1,1))-AVERAGE(OFFSET($H$3,0,0,'Données projet'!$E$12+1,1))</f>
        <v>#N/A</v>
      </c>
      <c r="CE95" s="60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0" t="e">
        <f t="shared" si="68"/>
        <v>#N/A</v>
      </c>
      <c r="CY95" s="60" t="e">
        <f ca="1">AVERAGE(OFFSET($CX$3,0,0,'Données projet'!$E$13+1,1))-AVERAGE(OFFSET($H$3,0,0,'Données projet'!$E$13+1,1))</f>
        <v>#N/A</v>
      </c>
      <c r="CZ95" s="60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-5.6843418860808015E-13</v>
      </c>
      <c r="O96" s="14">
        <f>N96*VLOOKUP('Données projet'!$B$9,Paramètres!$A$1:$I$88,3,0)*VLOOKUP('Données projet'!$B$9,Paramètres!$A$1:$I$88,5,0)</f>
        <v>-3.39923644787632E-13</v>
      </c>
      <c r="P96" s="14" t="e">
        <f t="shared" si="8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222.57099967987045</v>
      </c>
      <c r="T96" s="60">
        <f t="shared" si="88"/>
        <v>221.49027090502796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101.82347125254191</v>
      </c>
      <c r="AA96" s="23">
        <f>EXP(-LN(2)/25)*AA95+(1-EXP(-LN(2)/25))/(LN(2)/25)*Calculateur!V96*Calculateur!X96*VLOOKUP('Données projet'!$B$9,Paramètres!$A$1:$I$88,3,0)*0.475*44/12</f>
        <v>21.131793719919148</v>
      </c>
      <c r="AB96" s="23">
        <f>EXP(-LN(2)/2)*AB95+(1-EXP(-LN(2)/2))/(LN(2)/2)*V96*Y96*VLOOKUP('Données projet'!$B$9,Paramètres!$A$1:$I$88,3,0)*0.475*44/12</f>
        <v>9.6892023892226602E-3</v>
      </c>
      <c r="AC96" s="24">
        <f t="shared" si="57"/>
        <v>122.96495417485028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147.1675182177155</v>
      </c>
      <c r="AO96" s="60">
        <f t="shared" si="90"/>
        <v>115.86489547584461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144.92747165647373</v>
      </c>
      <c r="AV96" s="23">
        <f>EXP(-LN(2)/25)*AV95+(1-EXP(-LN(2)/25))/(LN(2)/25)*Calculateur!AQ96*Calculateur!AS96*VLOOKUP('Données projet'!$B$10,Paramètres!$A$1:$I$88,3,0)*0.475*44/12</f>
        <v>29.794611378796592</v>
      </c>
      <c r="AW96" s="23">
        <f>EXP(-LN(2)/2)*AW95+(1-EXP(-LN(2)/2))/(LN(2)/2)*AQ96*AT96*VLOOKUP('Données projet'!$B$10,Paramètres!$A$1:$I$88,3,0)*0.475*44/12</f>
        <v>8.1425111966849251</v>
      </c>
      <c r="AX96" s="23">
        <f t="shared" si="60"/>
        <v>182.86459423195524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204.39999999999992</v>
      </c>
      <c r="BE96" s="14">
        <f>BD96*VLOOKUP('Données projet'!$B$11,Paramètres!$A$1:$I$88,3,0)*VLOOKUP('Données projet'!$B$11,Paramètres!$A$1:$I$88,5,0)</f>
        <v>207.26159999999993</v>
      </c>
      <c r="BF96" s="14">
        <f t="shared" si="91"/>
        <v>51.3367200324452</v>
      </c>
      <c r="BG96" s="22">
        <f t="shared" si="61"/>
        <v>450.39207405650859</v>
      </c>
      <c r="BH96" s="60">
        <f t="shared" si="62"/>
        <v>743.72540738984185</v>
      </c>
      <c r="BI96" s="60">
        <f ca="1">AVERAGE(OFFSET($BH$3,0,0,'Données projet'!$E$11+1,1))-AVERAGE(OFFSET($H$3,0,0,'Données projet'!$E$11+1,1))</f>
        <v>166.48525819448878</v>
      </c>
      <c r="BJ96" s="60">
        <f t="shared" si="92"/>
        <v>61.876502626609977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21.304847412482381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21.304847412482381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0" t="e">
        <f t="shared" si="65"/>
        <v>#N/A</v>
      </c>
      <c r="CD96" s="60" t="e">
        <f ca="1">AVERAGE(OFFSET($CC$3,0,0,'Données projet'!$E$12+1,1))-AVERAGE(OFFSET($H$3,0,0,'Données projet'!$E$12+1,1))</f>
        <v>#N/A</v>
      </c>
      <c r="CE96" s="60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0" t="e">
        <f t="shared" si="68"/>
        <v>#N/A</v>
      </c>
      <c r="CY96" s="60" t="e">
        <f ca="1">AVERAGE(OFFSET($CX$3,0,0,'Données projet'!$E$13+1,1))-AVERAGE(OFFSET($H$3,0,0,'Données projet'!$E$13+1,1))</f>
        <v>#N/A</v>
      </c>
      <c r="CZ96" s="60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-5.6843418860808015E-13</v>
      </c>
      <c r="O97" s="14">
        <f>N97*VLOOKUP('Données projet'!$B$9,Paramètres!$A$1:$I$88,3,0)*VLOOKUP('Données projet'!$B$9,Paramètres!$A$1:$I$88,5,0)</f>
        <v>-3.39923644787632E-13</v>
      </c>
      <c r="P97" s="14" t="e">
        <f t="shared" si="8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222.57099967987045</v>
      </c>
      <c r="T97" s="60">
        <f t="shared" si="88"/>
        <v>221.49027090502796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99.826775087464554</v>
      </c>
      <c r="AA97" s="23">
        <f>EXP(-LN(2)/25)*AA96+(1-EXP(-LN(2)/25))/(LN(2)/25)*Calculateur!V97*Calculateur!X97*VLOOKUP('Données projet'!$B$9,Paramètres!$A$1:$I$88,3,0)*0.475*44/12</f>
        <v>20.553943709375226</v>
      </c>
      <c r="AB97" s="23">
        <f>EXP(-LN(2)/2)*AB96+(1-EXP(-LN(2)/2))/(LN(2)/2)*V97*Y97*VLOOKUP('Données projet'!$B$9,Paramètres!$A$1:$I$88,3,0)*0.475*44/12</f>
        <v>6.8513007137082412E-3</v>
      </c>
      <c r="AC97" s="24">
        <f t="shared" si="57"/>
        <v>120.38757009755348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147.1675182177155</v>
      </c>
      <c r="AO97" s="60">
        <f t="shared" si="90"/>
        <v>115.86489547584461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142.08553233431951</v>
      </c>
      <c r="AV97" s="23">
        <f>EXP(-LN(2)/25)*AV96+(1-EXP(-LN(2)/25))/(LN(2)/25)*Calculateur!AQ97*Calculateur!AS97*VLOOKUP('Données projet'!$B$10,Paramètres!$A$1:$I$88,3,0)*0.475*44/12</f>
        <v>28.979876163812882</v>
      </c>
      <c r="AW97" s="23">
        <f>EXP(-LN(2)/2)*AW96+(1-EXP(-LN(2)/2))/(LN(2)/2)*AQ97*AT97*VLOOKUP('Données projet'!$B$10,Paramètres!$A$1:$I$88,3,0)*0.475*44/12</f>
        <v>5.7576248830633006</v>
      </c>
      <c r="AX97" s="23">
        <f t="shared" si="60"/>
        <v>176.8230333811957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208.19999999999993</v>
      </c>
      <c r="BE97" s="14">
        <f>BD97*VLOOKUP('Données projet'!$B$11,Paramètres!$A$1:$I$88,3,0)*VLOOKUP('Données projet'!$B$11,Paramètres!$A$1:$I$88,5,0)</f>
        <v>211.11479999999995</v>
      </c>
      <c r="BF97" s="14">
        <f t="shared" si="91"/>
        <v>52.179122428493677</v>
      </c>
      <c r="BG97" s="22">
        <f t="shared" si="61"/>
        <v>458.57024822962632</v>
      </c>
      <c r="BH97" s="60">
        <f t="shared" si="62"/>
        <v>751.90358156295963</v>
      </c>
      <c r="BI97" s="60">
        <f ca="1">AVERAGE(OFFSET($BH$3,0,0,'Données projet'!$E$11+1,1))-AVERAGE(OFFSET($H$3,0,0,'Données projet'!$E$11+1,1))</f>
        <v>166.48525819448878</v>
      </c>
      <c r="BJ97" s="60">
        <f t="shared" si="92"/>
        <v>61.876502626609977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20.887072349397407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20.887072349397407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0" t="e">
        <f t="shared" si="65"/>
        <v>#N/A</v>
      </c>
      <c r="CD97" s="60" t="e">
        <f ca="1">AVERAGE(OFFSET($CC$3,0,0,'Données projet'!$E$12+1,1))-AVERAGE(OFFSET($H$3,0,0,'Données projet'!$E$12+1,1))</f>
        <v>#N/A</v>
      </c>
      <c r="CE97" s="60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0" t="e">
        <f t="shared" si="68"/>
        <v>#N/A</v>
      </c>
      <c r="CY97" s="60" t="e">
        <f ca="1">AVERAGE(OFFSET($CX$3,0,0,'Données projet'!$E$13+1,1))-AVERAGE(OFFSET($H$3,0,0,'Données projet'!$E$13+1,1))</f>
        <v>#N/A</v>
      </c>
      <c r="CZ97" s="60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-5.6843418860808015E-13</v>
      </c>
      <c r="O98" s="14">
        <f>N98*VLOOKUP('Données projet'!$B$9,Paramètres!$A$1:$I$88,3,0)*VLOOKUP('Données projet'!$B$9,Paramètres!$A$1:$I$88,5,0)</f>
        <v>-3.39923644787632E-13</v>
      </c>
      <c r="P98" s="14" t="e">
        <f t="shared" si="8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222.57099967987045</v>
      </c>
      <c r="T98" s="60">
        <f t="shared" si="88"/>
        <v>221.49027090502796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97.869232916319959</v>
      </c>
      <c r="AA98" s="23">
        <f>EXP(-LN(2)/25)*AA97+(1-EXP(-LN(2)/25))/(LN(2)/25)*Calculateur!V98*Calculateur!X98*VLOOKUP('Données projet'!$B$9,Paramètres!$A$1:$I$88,3,0)*0.475*44/12</f>
        <v>19.991895037757438</v>
      </c>
      <c r="AB98" s="23">
        <f>EXP(-LN(2)/2)*AB97+(1-EXP(-LN(2)/2))/(LN(2)/2)*V98*Y98*VLOOKUP('Données projet'!$B$9,Paramètres!$A$1:$I$88,3,0)*0.475*44/12</f>
        <v>4.8446011946113301E-3</v>
      </c>
      <c r="AC98" s="24">
        <f t="shared" si="57"/>
        <v>117.86597255527201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147.1675182177155</v>
      </c>
      <c r="AO98" s="60">
        <f t="shared" si="90"/>
        <v>115.86489547584461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139.2993217088609</v>
      </c>
      <c r="AV98" s="23">
        <f>EXP(-LN(2)/25)*AV97+(1-EXP(-LN(2)/25))/(LN(2)/25)*Calculateur!AQ98*Calculateur!AS98*VLOOKUP('Données projet'!$B$10,Paramètres!$A$1:$I$88,3,0)*0.475*44/12</f>
        <v>28.187419926127966</v>
      </c>
      <c r="AW98" s="23">
        <f>EXP(-LN(2)/2)*AW97+(1-EXP(-LN(2)/2))/(LN(2)/2)*AQ98*AT98*VLOOKUP('Données projet'!$B$10,Paramètres!$A$1:$I$88,3,0)*0.475*44/12</f>
        <v>4.0712555983424625</v>
      </c>
      <c r="AX98" s="23">
        <f t="shared" si="60"/>
        <v>171.55799723333135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211.99999999999994</v>
      </c>
      <c r="BE98" s="14">
        <f>BD98*VLOOKUP('Données projet'!$B$11,Paramètres!$A$1:$I$88,3,0)*VLOOKUP('Données projet'!$B$11,Paramètres!$A$1:$I$88,5,0)</f>
        <v>214.96799999999993</v>
      </c>
      <c r="BF98" s="14">
        <f t="shared" si="91"/>
        <v>53.019736939092994</v>
      </c>
      <c r="BG98" s="22">
        <f t="shared" si="61"/>
        <v>466.74530850225352</v>
      </c>
      <c r="BH98" s="60">
        <f t="shared" si="62"/>
        <v>760.07864183558684</v>
      </c>
      <c r="BI98" s="60">
        <f ca="1">AVERAGE(OFFSET($BH$3,0,0,'Données projet'!$E$11+1,1))-AVERAGE(OFFSET($H$3,0,0,'Données projet'!$E$11+1,1))</f>
        <v>166.48525819448878</v>
      </c>
      <c r="BJ98" s="60">
        <f t="shared" si="92"/>
        <v>61.876502626609977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projet'!$B$11,Paramètres!$A$1:$I$88,7,0))</f>
        <v>0.30099999999999999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25.201160110344677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25.201160110344677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0" t="e">
        <f t="shared" si="65"/>
        <v>#N/A</v>
      </c>
      <c r="CD98" s="60" t="e">
        <f ca="1">AVERAGE(OFFSET($CC$3,0,0,'Données projet'!$E$12+1,1))-AVERAGE(OFFSET($H$3,0,0,'Données projet'!$E$12+1,1))</f>
        <v>#N/A</v>
      </c>
      <c r="CE98" s="60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0" t="e">
        <f t="shared" si="68"/>
        <v>#N/A</v>
      </c>
      <c r="CY98" s="60" t="e">
        <f ca="1">AVERAGE(OFFSET($CX$3,0,0,'Données projet'!$E$13+1,1))-AVERAGE(OFFSET($H$3,0,0,'Données projet'!$E$13+1,1))</f>
        <v>#N/A</v>
      </c>
      <c r="CZ98" s="60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-5.6843418860808015E-13</v>
      </c>
      <c r="O99" s="14">
        <f>N99*VLOOKUP('Données projet'!$B$9,Paramètres!$A$1:$I$88,3,0)*VLOOKUP('Données projet'!$B$9,Paramètres!$A$1:$I$88,5,0)</f>
        <v>-3.39923644787632E-13</v>
      </c>
      <c r="P99" s="14" t="e">
        <f t="shared" si="8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222.57099967987045</v>
      </c>
      <c r="T99" s="60">
        <f t="shared" si="88"/>
        <v>221.49027090502796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95.950076953168676</v>
      </c>
      <c r="AA99" s="23">
        <f>EXP(-LN(2)/25)*AA98+(1-EXP(-LN(2)/25))/(LN(2)/25)*Calculateur!V99*Calculateur!X99*VLOOKUP('Données projet'!$B$9,Paramètres!$A$1:$I$88,3,0)*0.475*44/12</f>
        <v>19.445215616621894</v>
      </c>
      <c r="AB99" s="23">
        <f>EXP(-LN(2)/2)*AB98+(1-EXP(-LN(2)/2))/(LN(2)/2)*V99*Y99*VLOOKUP('Données projet'!$B$9,Paramètres!$A$1:$I$88,3,0)*0.475*44/12</f>
        <v>3.4256503568541206E-3</v>
      </c>
      <c r="AC99" s="24">
        <f t="shared" si="57"/>
        <v>115.39871822014743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147.1675182177155</v>
      </c>
      <c r="AO99" s="60">
        <f t="shared" si="90"/>
        <v>115.86489547584461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136.56774697434687</v>
      </c>
      <c r="AV99" s="23">
        <f>EXP(-LN(2)/25)*AV98+(1-EXP(-LN(2)/25))/(LN(2)/25)*Calculateur!AQ99*Calculateur!AS99*VLOOKUP('Données projet'!$B$10,Paramètres!$A$1:$I$88,3,0)*0.475*44/12</f>
        <v>27.416633445936007</v>
      </c>
      <c r="AW99" s="23">
        <f>EXP(-LN(2)/2)*AW98+(1-EXP(-LN(2)/2))/(LN(2)/2)*AQ99*AT99*VLOOKUP('Données projet'!$B$10,Paramètres!$A$1:$I$88,3,0)*0.475*44/12</f>
        <v>2.8788124415316503</v>
      </c>
      <c r="AX99" s="23">
        <f t="shared" si="60"/>
        <v>166.86319286181453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201.59999999999994</v>
      </c>
      <c r="BE99" s="14">
        <f>BD99*VLOOKUP('Données projet'!$B$11,Paramètres!$A$1:$I$88,3,0)*VLOOKUP('Données projet'!$B$11,Paramètres!$A$1:$I$88,5,0)</f>
        <v>204.42239999999995</v>
      </c>
      <c r="BF99" s="14">
        <f t="shared" si="91"/>
        <v>50.714836797527262</v>
      </c>
      <c r="BG99" s="22">
        <f t="shared" si="61"/>
        <v>444.36402075569322</v>
      </c>
      <c r="BH99" s="60">
        <f t="shared" si="62"/>
        <v>737.69735408902648</v>
      </c>
      <c r="BI99" s="60">
        <f ca="1">AVERAGE(OFFSET($BH$3,0,0,'Données projet'!$E$11+1,1))-AVERAGE(OFFSET($H$3,0,0,'Données projet'!$E$11+1,1))</f>
        <v>166.48525819448878</v>
      </c>
      <c r="BJ99" s="60">
        <f t="shared" si="92"/>
        <v>61.876502626609977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24.706980731770706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24.706980731770706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0" t="e">
        <f t="shared" si="65"/>
        <v>#N/A</v>
      </c>
      <c r="CD99" s="60" t="e">
        <f ca="1">AVERAGE(OFFSET($CC$3,0,0,'Données projet'!$E$12+1,1))-AVERAGE(OFFSET($H$3,0,0,'Données projet'!$E$12+1,1))</f>
        <v>#N/A</v>
      </c>
      <c r="CE99" s="60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0" t="e">
        <f t="shared" si="68"/>
        <v>#N/A</v>
      </c>
      <c r="CY99" s="60" t="e">
        <f ca="1">AVERAGE(OFFSET($CX$3,0,0,'Données projet'!$E$13+1,1))-AVERAGE(OFFSET($H$3,0,0,'Données projet'!$E$13+1,1))</f>
        <v>#N/A</v>
      </c>
      <c r="CZ99" s="60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-5.6843418860808015E-13</v>
      </c>
      <c r="O100" s="14">
        <f>N100*VLOOKUP('Données projet'!$B$9,Paramètres!$A$1:$I$88,3,0)*VLOOKUP('Données projet'!$B$9,Paramètres!$A$1:$I$88,5,0)</f>
        <v>-3.39923644787632E-13</v>
      </c>
      <c r="P100" s="14" t="e">
        <f t="shared" si="8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222.57099967987045</v>
      </c>
      <c r="T100" s="60">
        <f t="shared" si="88"/>
        <v>221.49027090502796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94.068554467885235</v>
      </c>
      <c r="AA100" s="23">
        <f>EXP(-LN(2)/25)*AA99+(1-EXP(-LN(2)/25))/(LN(2)/25)*Calculateur!V100*Calculateur!X100*VLOOKUP('Données projet'!$B$9,Paramètres!$A$1:$I$88,3,0)*0.475*44/12</f>
        <v>18.91348517300592</v>
      </c>
      <c r="AB100" s="23">
        <f>EXP(-LN(2)/2)*AB99+(1-EXP(-LN(2)/2))/(LN(2)/2)*V100*Y100*VLOOKUP('Données projet'!$B$9,Paramètres!$A$1:$I$88,3,0)*0.475*44/12</f>
        <v>2.4223005973056651E-3</v>
      </c>
      <c r="AC100" s="24">
        <f t="shared" si="57"/>
        <v>112.98446194148846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147.1675182177155</v>
      </c>
      <c r="AO100" s="60">
        <f t="shared" si="90"/>
        <v>115.86489547584461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133.88973675428059</v>
      </c>
      <c r="AV100" s="23">
        <f>EXP(-LN(2)/25)*AV99+(1-EXP(-LN(2)/25))/(LN(2)/25)*Calculateur!AQ100*Calculateur!AS100*VLOOKUP('Données projet'!$B$10,Paramètres!$A$1:$I$88,3,0)*0.475*44/12</f>
        <v>26.666924162578795</v>
      </c>
      <c r="AW100" s="23">
        <f>EXP(-LN(2)/2)*AW99+(1-EXP(-LN(2)/2))/(LN(2)/2)*AQ100*AT100*VLOOKUP('Données projet'!$B$10,Paramètres!$A$1:$I$88,3,0)*0.475*44/12</f>
        <v>2.0356277991712313</v>
      </c>
      <c r="AX100" s="23">
        <f t="shared" si="60"/>
        <v>162.59228871603062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205.19999999999993</v>
      </c>
      <c r="BE100" s="14">
        <f>BD100*VLOOKUP('Données projet'!$B$11,Paramètres!$A$1:$I$88,3,0)*VLOOKUP('Données projet'!$B$11,Paramètres!$A$1:$I$88,5,0)</f>
        <v>208.07279999999994</v>
      </c>
      <c r="BF100" s="14">
        <f t="shared" si="91"/>
        <v>51.514218302854317</v>
      </c>
      <c r="BG100" s="22">
        <f t="shared" si="61"/>
        <v>452.11405687747123</v>
      </c>
      <c r="BH100" s="60">
        <f t="shared" si="62"/>
        <v>745.44739021080454</v>
      </c>
      <c r="BI100" s="60">
        <f ca="1">AVERAGE(OFFSET($BH$3,0,0,'Données projet'!$E$11+1,1))-AVERAGE(OFFSET($H$3,0,0,'Données projet'!$E$11+1,1))</f>
        <v>166.48525819448878</v>
      </c>
      <c r="BJ100" s="60">
        <f t="shared" si="92"/>
        <v>61.876502626609977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24.222491909390914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24.222491909390914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0" t="e">
        <f t="shared" si="65"/>
        <v>#N/A</v>
      </c>
      <c r="CD100" s="60" t="e">
        <f ca="1">AVERAGE(OFFSET($CC$3,0,0,'Données projet'!$E$12+1,1))-AVERAGE(OFFSET($H$3,0,0,'Données projet'!$E$12+1,1))</f>
        <v>#N/A</v>
      </c>
      <c r="CE100" s="60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0" t="e">
        <f t="shared" si="68"/>
        <v>#N/A</v>
      </c>
      <c r="CY100" s="60" t="e">
        <f ca="1">AVERAGE(OFFSET($CX$3,0,0,'Données projet'!$E$13+1,1))-AVERAGE(OFFSET($H$3,0,0,'Données projet'!$E$13+1,1))</f>
        <v>#N/A</v>
      </c>
      <c r="CZ100" s="60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-5.6843418860808015E-13</v>
      </c>
      <c r="O101" s="14">
        <f>N101*VLOOKUP('Données projet'!$B$9,Paramètres!$A$1:$I$88,3,0)*VLOOKUP('Données projet'!$B$9,Paramètres!$A$1:$I$88,5,0)</f>
        <v>-3.39923644787632E-13</v>
      </c>
      <c r="P101" s="14" t="e">
        <f t="shared" si="8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222.57099967987045</v>
      </c>
      <c r="T101" s="60">
        <f t="shared" si="88"/>
        <v>221.49027090502796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92.223927490922804</v>
      </c>
      <c r="AA101" s="23">
        <f>EXP(-LN(2)/25)*AA100+(1-EXP(-LN(2)/25))/(LN(2)/25)*Calculateur!V101*Calculateur!X101*VLOOKUP('Données projet'!$B$9,Paramètres!$A$1:$I$88,3,0)*0.475*44/12</f>
        <v>18.396294926333116</v>
      </c>
      <c r="AB101" s="23">
        <f>EXP(-LN(2)/2)*AB100+(1-EXP(-LN(2)/2))/(LN(2)/2)*V101*Y101*VLOOKUP('Données projet'!$B$9,Paramètres!$A$1:$I$88,3,0)*0.475*44/12</f>
        <v>1.7128251784270603E-3</v>
      </c>
      <c r="AC101" s="24">
        <f t="shared" si="57"/>
        <v>110.62193524243435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147.1675182177155</v>
      </c>
      <c r="AO101" s="60">
        <f t="shared" si="90"/>
        <v>115.86489547584461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131.26424068120485</v>
      </c>
      <c r="AV101" s="23">
        <f>EXP(-LN(2)/25)*AV100+(1-EXP(-LN(2)/25))/(LN(2)/25)*Calculateur!AQ101*Calculateur!AS101*VLOOKUP('Données projet'!$B$10,Paramètres!$A$1:$I$88,3,0)*0.475*44/12</f>
        <v>25.937715719000483</v>
      </c>
      <c r="AW101" s="23">
        <f>EXP(-LN(2)/2)*AW100+(1-EXP(-LN(2)/2))/(LN(2)/2)*AQ101*AT101*VLOOKUP('Données projet'!$B$10,Paramètres!$A$1:$I$88,3,0)*0.475*44/12</f>
        <v>1.4394062207658251</v>
      </c>
      <c r="AX101" s="23">
        <f t="shared" si="60"/>
        <v>158.64136262097117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208.79999999999993</v>
      </c>
      <c r="BE101" s="14">
        <f>BD101*VLOOKUP('Données projet'!$B$11,Paramètres!$A$1:$I$88,3,0)*VLOOKUP('Données projet'!$B$11,Paramètres!$A$1:$I$88,5,0)</f>
        <v>211.72319999999996</v>
      </c>
      <c r="BF101" s="14">
        <f t="shared" si="91"/>
        <v>52.31196896421207</v>
      </c>
      <c r="BG101" s="22">
        <f t="shared" si="61"/>
        <v>459.86125261266926</v>
      </c>
      <c r="BH101" s="60">
        <f t="shared" si="62"/>
        <v>753.19458594600258</v>
      </c>
      <c r="BI101" s="60">
        <f ca="1">AVERAGE(OFFSET($BH$3,0,0,'Données projet'!$E$11+1,1))-AVERAGE(OFFSET($H$3,0,0,'Données projet'!$E$11+1,1))</f>
        <v>166.48525819448878</v>
      </c>
      <c r="BJ101" s="60">
        <f t="shared" si="92"/>
        <v>61.876502626609977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23.747503617308986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23.747503617308986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0" t="e">
        <f t="shared" si="65"/>
        <v>#N/A</v>
      </c>
      <c r="CD101" s="60" t="e">
        <f ca="1">AVERAGE(OFFSET($CC$3,0,0,'Données projet'!$E$12+1,1))-AVERAGE(OFFSET($H$3,0,0,'Données projet'!$E$12+1,1))</f>
        <v>#N/A</v>
      </c>
      <c r="CE101" s="60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0" t="e">
        <f t="shared" si="68"/>
        <v>#N/A</v>
      </c>
      <c r="CY101" s="60" t="e">
        <f ca="1">AVERAGE(OFFSET($CX$3,0,0,'Données projet'!$E$13+1,1))-AVERAGE(OFFSET($H$3,0,0,'Données projet'!$E$13+1,1))</f>
        <v>#N/A</v>
      </c>
      <c r="CZ101" s="60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-5.6843418860808015E-13</v>
      </c>
      <c r="O102" s="14">
        <f>N102*VLOOKUP('Données projet'!$B$9,Paramètres!$A$1:$I$88,3,0)*VLOOKUP('Données projet'!$B$9,Paramètres!$A$1:$I$88,5,0)</f>
        <v>-3.39923644787632E-13</v>
      </c>
      <c r="P102" s="14" t="e">
        <f t="shared" si="8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222.57099967987045</v>
      </c>
      <c r="T102" s="60">
        <f t="shared" si="88"/>
        <v>221.49027090502796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90.415472523867251</v>
      </c>
      <c r="AA102" s="23">
        <f>EXP(-LN(2)/25)*AA101+(1-EXP(-LN(2)/25))/(LN(2)/25)*Calculateur!V102*Calculateur!X102*VLOOKUP('Données projet'!$B$9,Paramètres!$A$1:$I$88,3,0)*0.475*44/12</f>
        <v>17.893247274153431</v>
      </c>
      <c r="AB102" s="23">
        <f>EXP(-LN(2)/2)*AB101+(1-EXP(-LN(2)/2))/(LN(2)/2)*V102*Y102*VLOOKUP('Données projet'!$B$9,Paramètres!$A$1:$I$88,3,0)*0.475*44/12</f>
        <v>1.2111502986528325E-3</v>
      </c>
      <c r="AC102" s="24">
        <f t="shared" si="57"/>
        <v>108.30993094831935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147.1675182177155</v>
      </c>
      <c r="AO102" s="60">
        <f t="shared" si="90"/>
        <v>115.86489547584461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128.69022898472764</v>
      </c>
      <c r="AV102" s="23">
        <f>EXP(-LN(2)/25)*AV101+(1-EXP(-LN(2)/25))/(LN(2)/25)*Calculateur!AQ102*Calculateur!AS102*VLOOKUP('Données projet'!$B$10,Paramètres!$A$1:$I$88,3,0)*0.475*44/12</f>
        <v>25.228447518659227</v>
      </c>
      <c r="AW102" s="23">
        <f>EXP(-LN(2)/2)*AW101+(1-EXP(-LN(2)/2))/(LN(2)/2)*AQ102*AT102*VLOOKUP('Données projet'!$B$10,Paramètres!$A$1:$I$88,3,0)*0.475*44/12</f>
        <v>1.0178138995856156</v>
      </c>
      <c r="AX102" s="23">
        <f t="shared" si="60"/>
        <v>154.93649040297248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212.39999999999992</v>
      </c>
      <c r="BE102" s="14">
        <f>BD102*VLOOKUP('Données projet'!$B$11,Paramètres!$A$1:$I$88,3,0)*VLOOKUP('Données projet'!$B$11,Paramètres!$A$1:$I$88,5,0)</f>
        <v>215.37359999999993</v>
      </c>
      <c r="BF102" s="14">
        <f t="shared" si="91"/>
        <v>53.108120144188916</v>
      </c>
      <c r="BG102" s="22">
        <f t="shared" si="61"/>
        <v>467.60566258446215</v>
      </c>
      <c r="BH102" s="60">
        <f t="shared" si="62"/>
        <v>760.93899591779541</v>
      </c>
      <c r="BI102" s="60">
        <f ca="1">AVERAGE(OFFSET($BH$3,0,0,'Données projet'!$E$11+1,1))-AVERAGE(OFFSET($H$3,0,0,'Données projet'!$E$11+1,1))</f>
        <v>166.48525819448878</v>
      </c>
      <c r="BJ102" s="60">
        <f t="shared" si="92"/>
        <v>61.876502626609977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23.281829555920535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23.281829555920535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0" t="e">
        <f t="shared" si="65"/>
        <v>#N/A</v>
      </c>
      <c r="CD102" s="60" t="e">
        <f ca="1">AVERAGE(OFFSET($CC$3,0,0,'Données projet'!$E$12+1,1))-AVERAGE(OFFSET($H$3,0,0,'Données projet'!$E$12+1,1))</f>
        <v>#N/A</v>
      </c>
      <c r="CE102" s="60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0" t="e">
        <f t="shared" si="68"/>
        <v>#N/A</v>
      </c>
      <c r="CY102" s="60" t="e">
        <f ca="1">AVERAGE(OFFSET($CX$3,0,0,'Données projet'!$E$13+1,1))-AVERAGE(OFFSET($H$3,0,0,'Données projet'!$E$13+1,1))</f>
        <v>#N/A</v>
      </c>
      <c r="CZ102" s="60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-5.6843418860808015E-13</v>
      </c>
      <c r="O103" s="14">
        <f>N103*VLOOKUP('Données projet'!$B$9,Paramètres!$A$1:$I$88,3,0)*VLOOKUP('Données projet'!$B$9,Paramètres!$A$1:$I$88,5,0)</f>
        <v>-3.39923644787632E-13</v>
      </c>
      <c r="P103" s="14" t="e">
        <f t="shared" si="8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222.57099967987045</v>
      </c>
      <c r="T103" s="60">
        <f t="shared" si="88"/>
        <v>221.49027090502796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88.642480255667039</v>
      </c>
      <c r="AA103" s="23">
        <f>EXP(-LN(2)/25)*AA102+(1-EXP(-LN(2)/25))/(LN(2)/25)*Calculateur!V103*Calculateur!X103*VLOOKUP('Données projet'!$B$9,Paramètres!$A$1:$I$88,3,0)*0.475*44/12</f>
        <v>17.403955486476725</v>
      </c>
      <c r="AB103" s="23">
        <f>EXP(-LN(2)/2)*AB102+(1-EXP(-LN(2)/2))/(LN(2)/2)*V103*Y103*VLOOKUP('Données projet'!$B$9,Paramètres!$A$1:$I$88,3,0)*0.475*44/12</f>
        <v>8.5641258921353015E-4</v>
      </c>
      <c r="AC103" s="24">
        <f t="shared" si="57"/>
        <v>106.04729215473297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147.1675182177155</v>
      </c>
      <c r="AO103" s="60">
        <f t="shared" si="90"/>
        <v>115.86489547584461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126.16669208762625</v>
      </c>
      <c r="AV103" s="23">
        <f>EXP(-LN(2)/25)*AV102+(1-EXP(-LN(2)/25))/(LN(2)/25)*Calculateur!AQ103*Calculateur!AS103*VLOOKUP('Données projet'!$B$10,Paramètres!$A$1:$I$88,3,0)*0.475*44/12</f>
        <v>24.538574294555097</v>
      </c>
      <c r="AW103" s="23">
        <f>EXP(-LN(2)/2)*AW102+(1-EXP(-LN(2)/2))/(LN(2)/2)*AQ103*AT103*VLOOKUP('Données projet'!$B$10,Paramètres!$A$1:$I$88,3,0)*0.475*44/12</f>
        <v>0.71970311038291257</v>
      </c>
      <c r="AX103" s="23">
        <f t="shared" si="60"/>
        <v>151.42496949256426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215.99999999999991</v>
      </c>
      <c r="BE103" s="14">
        <f>BD103*VLOOKUP('Données projet'!$B$11,Paramètres!$A$1:$I$88,3,0)*VLOOKUP('Données projet'!$B$11,Paramètres!$A$1:$I$88,5,0)</f>
        <v>219.02399999999992</v>
      </c>
      <c r="BF103" s="14">
        <f t="shared" si="91"/>
        <v>53.902702081308306</v>
      </c>
      <c r="BG103" s="22">
        <f t="shared" si="61"/>
        <v>475.34733945827844</v>
      </c>
      <c r="BH103" s="60">
        <f t="shared" si="62"/>
        <v>768.68067279161176</v>
      </c>
      <c r="BI103" s="60">
        <f ca="1">AVERAGE(OFFSET($BH$3,0,0,'Données projet'!$E$11+1,1))-AVERAGE(OFFSET($H$3,0,0,'Données projet'!$E$11+1,1))</f>
        <v>166.48525819448878</v>
      </c>
      <c r="BJ103" s="60">
        <f t="shared" si="92"/>
        <v>61.876502626609977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14</v>
      </c>
      <c r="BM103" s="17">
        <f>IF(ISNA(VLOOKUP(A103,'Données projet'!$A$87:$I$107,5,0)),0%,VLOOKUP(A103,'Données projet'!$A$87:$I$107,5,0)*VLOOKUP('Données projet'!$B$11,Paramètres!$A$1:$I$88,7,0))</f>
        <v>0.34400000000000003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28.223767661543096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28.223767661543096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0" t="e">
        <f t="shared" si="65"/>
        <v>#N/A</v>
      </c>
      <c r="CD103" s="60" t="e">
        <f ca="1">AVERAGE(OFFSET($CC$3,0,0,'Données projet'!$E$12+1,1))-AVERAGE(OFFSET($H$3,0,0,'Données projet'!$E$12+1,1))</f>
        <v>#N/A</v>
      </c>
      <c r="CE103" s="60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0" t="e">
        <f t="shared" si="68"/>
        <v>#N/A</v>
      </c>
      <c r="CY103" s="60" t="e">
        <f ca="1">AVERAGE(OFFSET($CX$3,0,0,'Données projet'!$E$13+1,1))-AVERAGE(OFFSET($H$3,0,0,'Données projet'!$E$13+1,1))</f>
        <v>#N/A</v>
      </c>
      <c r="CZ103" s="60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-5.6843418860808015E-13</v>
      </c>
      <c r="O104" s="14">
        <f>N104*VLOOKUP('Données projet'!$B$9,Paramètres!$A$1:$I$88,3,0)*VLOOKUP('Données projet'!$B$9,Paramètres!$A$1:$I$88,5,0)</f>
        <v>-3.39923644787632E-13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222.57099967987045</v>
      </c>
      <c r="T104" s="60">
        <f t="shared" si="88"/>
        <v>221.49027090502796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86.904255284427734</v>
      </c>
      <c r="AA104" s="23">
        <f>EXP(-LN(2)/25)*AA103+(1-EXP(-LN(2)/25))/(LN(2)/25)*Calculateur!V104*Calculateur!X104*VLOOKUP('Données projet'!$B$9,Paramètres!$A$1:$I$88,3,0)*0.475*44/12</f>
        <v>16.928043408464777</v>
      </c>
      <c r="AB104" s="23">
        <f>EXP(-LN(2)/2)*AB103+(1-EXP(-LN(2)/2))/(LN(2)/2)*V104*Y104*VLOOKUP('Données projet'!$B$9,Paramètres!$A$1:$I$88,3,0)*0.475*44/12</f>
        <v>6.0557514932641626E-4</v>
      </c>
      <c r="AC104" s="24">
        <f t="shared" si="57"/>
        <v>103.83290426804183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147.1675182177155</v>
      </c>
      <c r="AO104" s="60">
        <f t="shared" si="90"/>
        <v>115.86489547584461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123.69264020987148</v>
      </c>
      <c r="AV104" s="23">
        <f>EXP(-LN(2)/25)*AV103+(1-EXP(-LN(2)/25))/(LN(2)/25)*Calculateur!AQ104*Calculateur!AS104*VLOOKUP('Données projet'!$B$10,Paramètres!$A$1:$I$88,3,0)*0.475*44/12</f>
        <v>23.867565690042948</v>
      </c>
      <c r="AW104" s="23">
        <f>EXP(-LN(2)/2)*AW103+(1-EXP(-LN(2)/2))/(LN(2)/2)*AQ104*AT104*VLOOKUP('Données projet'!$B$10,Paramètres!$A$1:$I$88,3,0)*0.475*44/12</f>
        <v>0.50890694979280782</v>
      </c>
      <c r="AX104" s="23">
        <f t="shared" si="60"/>
        <v>148.06911284970724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1.7</v>
      </c>
      <c r="BD104" s="13">
        <f>IF('Données projet'!$A$88&gt;35,BD103+BC104-BL103,IF(A104&lt;'Données projet'!$A$88,$BA$205^A104,IF(A104='Données projet'!$A$88,'Données projet'!$B$88,BD103+BC104-BL103)))</f>
        <v>203.6999999999999</v>
      </c>
      <c r="BE104" s="14">
        <f>BD104*VLOOKUP('Données projet'!$B$11,Paramètres!$A$1:$I$88,3,0)*VLOOKUP('Données projet'!$B$11,Paramètres!$A$1:$I$88,5,0)</f>
        <v>206.55179999999993</v>
      </c>
      <c r="BF104" s="14">
        <f t="shared" si="91"/>
        <v>51.181342708747245</v>
      </c>
      <c r="BG104" s="22">
        <f t="shared" si="61"/>
        <v>448.8852235510679</v>
      </c>
      <c r="BH104" s="60">
        <f t="shared" si="62"/>
        <v>742.21855688440121</v>
      </c>
      <c r="BI104" s="60">
        <f ca="1">AVERAGE(OFFSET($BH$3,0,0,'Données projet'!$E$11+1,1))-AVERAGE(OFFSET($H$3,0,0,'Données projet'!$E$11+1,1))</f>
        <v>166.48525819448878</v>
      </c>
      <c r="BJ104" s="60">
        <f t="shared" si="92"/>
        <v>61.876502626609977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27.670316792498689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27.670316792498689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0" t="e">
        <f t="shared" si="65"/>
        <v>#N/A</v>
      </c>
      <c r="CD104" s="60" t="e">
        <f ca="1">AVERAGE(OFFSET($CC$3,0,0,'Données projet'!$E$12+1,1))-AVERAGE(OFFSET($H$3,0,0,'Données projet'!$E$12+1,1))</f>
        <v>#N/A</v>
      </c>
      <c r="CE104" s="60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0" t="e">
        <f t="shared" si="68"/>
        <v>#N/A</v>
      </c>
      <c r="CY104" s="60" t="e">
        <f ca="1">AVERAGE(OFFSET($CX$3,0,0,'Données projet'!$E$13+1,1))-AVERAGE(OFFSET($H$3,0,0,'Données projet'!$E$13+1,1))</f>
        <v>#N/A</v>
      </c>
      <c r="CZ104" s="60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-5.6843418860808015E-13</v>
      </c>
      <c r="O105" s="14">
        <f>N105*VLOOKUP('Données projet'!$B$9,Paramètres!$A$1:$I$88,3,0)*VLOOKUP('Données projet'!$B$9,Paramètres!$A$1:$I$88,5,0)</f>
        <v>-3.39923644787632E-13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222.57099967987045</v>
      </c>
      <c r="T105" s="60">
        <f t="shared" si="88"/>
        <v>221.49027090502796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85.20011584466188</v>
      </c>
      <c r="AA105" s="23">
        <f>EXP(-LN(2)/25)*AA104+(1-EXP(-LN(2)/25))/(LN(2)/25)*Calculateur!V105*Calculateur!X105*VLOOKUP('Données projet'!$B$9,Paramètres!$A$1:$I$88,3,0)*0.475*44/12</f>
        <v>16.465145171253194</v>
      </c>
      <c r="AB105" s="23">
        <f>EXP(-LN(2)/2)*AB104+(1-EXP(-LN(2)/2))/(LN(2)/2)*V105*Y105*VLOOKUP('Données projet'!$B$9,Paramètres!$A$1:$I$88,3,0)*0.475*44/12</f>
        <v>4.2820629460676508E-4</v>
      </c>
      <c r="AC105" s="24">
        <f t="shared" si="57"/>
        <v>101.66568922220968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147.1675182177155</v>
      </c>
      <c r="AO105" s="60">
        <f t="shared" si="90"/>
        <v>115.86489547584461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121.26710298041685</v>
      </c>
      <c r="AV105" s="23">
        <f>EXP(-LN(2)/25)*AV104+(1-EXP(-LN(2)/25))/(LN(2)/25)*Calculateur!AQ105*Calculateur!AS105*VLOOKUP('Données projet'!$B$10,Paramètres!$A$1:$I$88,3,0)*0.475*44/12</f>
        <v>23.214905851107993</v>
      </c>
      <c r="AW105" s="23">
        <f>EXP(-LN(2)/2)*AW104+(1-EXP(-LN(2)/2))/(LN(2)/2)*AQ105*AT105*VLOOKUP('Données projet'!$B$10,Paramètres!$A$1:$I$88,3,0)*0.475*44/12</f>
        <v>0.35985155519145628</v>
      </c>
      <c r="AX105" s="23">
        <f t="shared" si="60"/>
        <v>144.84186038671629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1.7</v>
      </c>
      <c r="BD105" s="13">
        <f>IF('Données projet'!$A$88&gt;35,BD104+BC105-BL104,IF(A105&lt;'Données projet'!$A$88,$BA$205^A105,IF(A105='Données projet'!$A$88,'Données projet'!$B$88,BD104+BC105-BL104)))</f>
        <v>205.39999999999989</v>
      </c>
      <c r="BE105" s="14">
        <f>BD105*VLOOKUP('Données projet'!$B$11,Paramètres!$A$1:$I$88,3,0)*VLOOKUP('Données projet'!$B$11,Paramètres!$A$1:$I$88,5,0)</f>
        <v>208.27559999999991</v>
      </c>
      <c r="BF105" s="14">
        <f t="shared" si="91"/>
        <v>51.558580273824354</v>
      </c>
      <c r="BG105" s="22">
        <f t="shared" si="61"/>
        <v>452.54453064357722</v>
      </c>
      <c r="BH105" s="60">
        <f t="shared" si="62"/>
        <v>745.87786397691048</v>
      </c>
      <c r="BI105" s="60">
        <f ca="1">AVERAGE(OFFSET($BH$3,0,0,'Données projet'!$E$11+1,1))-AVERAGE(OFFSET($H$3,0,0,'Données projet'!$E$11+1,1))</f>
        <v>166.48525819448878</v>
      </c>
      <c r="BJ105" s="60">
        <f t="shared" si="92"/>
        <v>61.876502626609977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27.127718757424546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27.127718757424546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0" t="e">
        <f t="shared" si="65"/>
        <v>#N/A</v>
      </c>
      <c r="CD105" s="60" t="e">
        <f ca="1">AVERAGE(OFFSET($CC$3,0,0,'Données projet'!$E$12+1,1))-AVERAGE(OFFSET($H$3,0,0,'Données projet'!$E$12+1,1))</f>
        <v>#N/A</v>
      </c>
      <c r="CE105" s="60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0" t="e">
        <f t="shared" si="68"/>
        <v>#N/A</v>
      </c>
      <c r="CY105" s="60" t="e">
        <f ca="1">AVERAGE(OFFSET($CX$3,0,0,'Données projet'!$E$13+1,1))-AVERAGE(OFFSET($H$3,0,0,'Données projet'!$E$13+1,1))</f>
        <v>#N/A</v>
      </c>
      <c r="CZ105" s="60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-5.6843418860808015E-13</v>
      </c>
      <c r="O106" s="14">
        <f>N106*VLOOKUP('Données projet'!$B$9,Paramètres!$A$1:$I$88,3,0)*VLOOKUP('Données projet'!$B$9,Paramètres!$A$1:$I$88,5,0)</f>
        <v>-3.39923644787632E-13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222.57099967987045</v>
      </c>
      <c r="T106" s="60">
        <f t="shared" si="88"/>
        <v>221.49027090502796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83.529393539887423</v>
      </c>
      <c r="AA106" s="23">
        <f>EXP(-LN(2)/25)*AA105+(1-EXP(-LN(2)/25))/(LN(2)/25)*Calculateur!V106*Calculateur!X106*VLOOKUP('Données projet'!$B$9,Paramètres!$A$1:$I$88,3,0)*0.475*44/12</f>
        <v>16.014904910680922</v>
      </c>
      <c r="AB106" s="23">
        <f>EXP(-LN(2)/2)*AB105+(1-EXP(-LN(2)/2))/(LN(2)/2)*V106*Y106*VLOOKUP('Données projet'!$B$9,Paramètres!$A$1:$I$88,3,0)*0.475*44/12</f>
        <v>3.0278757466320813E-4</v>
      </c>
      <c r="AC106" s="24">
        <f t="shared" si="57"/>
        <v>99.544601238143017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147.1675182177155</v>
      </c>
      <c r="AO106" s="60">
        <f t="shared" si="90"/>
        <v>115.86489547584461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118.8891290566002</v>
      </c>
      <c r="AV106" s="23">
        <f>EXP(-LN(2)/25)*AV105+(1-EXP(-LN(2)/25))/(LN(2)/25)*Calculateur!AQ106*Calculateur!AS106*VLOOKUP('Données projet'!$B$10,Paramètres!$A$1:$I$88,3,0)*0.475*44/12</f>
        <v>22.580093029790604</v>
      </c>
      <c r="AW106" s="23">
        <f>EXP(-LN(2)/2)*AW105+(1-EXP(-LN(2)/2))/(LN(2)/2)*AQ106*AT106*VLOOKUP('Données projet'!$B$10,Paramètres!$A$1:$I$88,3,0)*0.475*44/12</f>
        <v>0.25445347489640391</v>
      </c>
      <c r="AX106" s="23">
        <f t="shared" si="60"/>
        <v>141.72367556128719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1.7</v>
      </c>
      <c r="BD106" s="13">
        <f>IF('Données projet'!$A$88&gt;35,BD105+BC106-BL105,IF(A106&lt;'Données projet'!$A$88,$BA$205^A106,IF(A106='Données projet'!$A$88,'Données projet'!$B$88,BD105+BC106-BL105)))</f>
        <v>207.09999999999988</v>
      </c>
      <c r="BE106" s="14">
        <f>BD106*VLOOKUP('Données projet'!$B$11,Paramètres!$A$1:$I$88,3,0)*VLOOKUP('Données projet'!$B$11,Paramètres!$A$1:$I$88,5,0)</f>
        <v>209.99939999999989</v>
      </c>
      <c r="BF106" s="14">
        <f t="shared" si="91"/>
        <v>51.935454583183315</v>
      </c>
      <c r="BG106" s="22">
        <f t="shared" si="61"/>
        <v>456.20320506571079</v>
      </c>
      <c r="BH106" s="60">
        <f t="shared" si="62"/>
        <v>749.53653839904405</v>
      </c>
      <c r="BI106" s="60">
        <f ca="1">AVERAGE(OFFSET($BH$3,0,0,'Données projet'!$E$11+1,1))-AVERAGE(OFFSET($H$3,0,0,'Données projet'!$E$11+1,1))</f>
        <v>166.48525819448878</v>
      </c>
      <c r="BJ106" s="60">
        <f t="shared" si="92"/>
        <v>61.876502626609977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26.595760738866083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26.595760738866083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0" t="e">
        <f t="shared" si="65"/>
        <v>#N/A</v>
      </c>
      <c r="CD106" s="60" t="e">
        <f ca="1">AVERAGE(OFFSET($CC$3,0,0,'Données projet'!$E$12+1,1))-AVERAGE(OFFSET($H$3,0,0,'Données projet'!$E$12+1,1))</f>
        <v>#N/A</v>
      </c>
      <c r="CE106" s="60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0" t="e">
        <f t="shared" si="68"/>
        <v>#N/A</v>
      </c>
      <c r="CY106" s="60" t="e">
        <f ca="1">AVERAGE(OFFSET($CX$3,0,0,'Données projet'!$E$13+1,1))-AVERAGE(OFFSET($H$3,0,0,'Données projet'!$E$13+1,1))</f>
        <v>#N/A</v>
      </c>
      <c r="CZ106" s="60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-5.6843418860808015E-13</v>
      </c>
      <c r="O107" s="14">
        <f>N107*VLOOKUP('Données projet'!$B$9,Paramètres!$A$1:$I$88,3,0)*VLOOKUP('Données projet'!$B$9,Paramètres!$A$1:$I$88,5,0)</f>
        <v>-3.39923644787632E-13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222.57099967987045</v>
      </c>
      <c r="T107" s="60">
        <f t="shared" si="88"/>
        <v>221.49027090502796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81.891433080469596</v>
      </c>
      <c r="AA107" s="23">
        <f>EXP(-LN(2)/25)*AA106+(1-EXP(-LN(2)/25))/(LN(2)/25)*Calculateur!V107*Calculateur!X107*VLOOKUP('Données projet'!$B$9,Paramètres!$A$1:$I$88,3,0)*0.475*44/12</f>
        <v>15.576976493711106</v>
      </c>
      <c r="AB107" s="23">
        <f>EXP(-LN(2)/2)*AB106+(1-EXP(-LN(2)/2))/(LN(2)/2)*V107*Y107*VLOOKUP('Données projet'!$B$9,Paramètres!$A$1:$I$88,3,0)*0.475*44/12</f>
        <v>2.1410314730338254E-4</v>
      </c>
      <c r="AC107" s="24">
        <f t="shared" si="57"/>
        <v>97.468623677327997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147.1675182177155</v>
      </c>
      <c r="AO107" s="60">
        <f t="shared" si="90"/>
        <v>115.86489547584461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116.55778575100871</v>
      </c>
      <c r="AV107" s="23">
        <f>EXP(-LN(2)/25)*AV106+(1-EXP(-LN(2)/25))/(LN(2)/25)*Calculateur!AQ107*Calculateur!AS107*VLOOKUP('Données projet'!$B$10,Paramètres!$A$1:$I$88,3,0)*0.475*44/12</f>
        <v>21.962639198455495</v>
      </c>
      <c r="AW107" s="23">
        <f>EXP(-LN(2)/2)*AW106+(1-EXP(-LN(2)/2))/(LN(2)/2)*AQ107*AT107*VLOOKUP('Données projet'!$B$10,Paramètres!$A$1:$I$88,3,0)*0.475*44/12</f>
        <v>0.17992577759572814</v>
      </c>
      <c r="AX107" s="23">
        <f t="shared" si="60"/>
        <v>138.70035072705994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1.7</v>
      </c>
      <c r="BD107" s="13">
        <f>IF('Données projet'!$A$88&gt;35,BD106+BC107-BL106,IF(A107&lt;'Données projet'!$A$88,$BA$205^A107,IF(A107='Données projet'!$A$88,'Données projet'!$B$88,BD106+BC107-BL106)))</f>
        <v>208.79999999999987</v>
      </c>
      <c r="BE107" s="14">
        <f>BD107*VLOOKUP('Données projet'!$B$11,Paramètres!$A$1:$I$88,3,0)*VLOOKUP('Données projet'!$B$11,Paramètres!$A$1:$I$88,5,0)</f>
        <v>211.72319999999988</v>
      </c>
      <c r="BF107" s="14">
        <f t="shared" si="91"/>
        <v>52.311968964212028</v>
      </c>
      <c r="BG107" s="22">
        <f t="shared" si="61"/>
        <v>459.86125261266903</v>
      </c>
      <c r="BH107" s="60">
        <f t="shared" si="62"/>
        <v>753.19458594600235</v>
      </c>
      <c r="BI107" s="60">
        <f ca="1">AVERAGE(OFFSET($BH$3,0,0,'Données projet'!$E$11+1,1))-AVERAGE(OFFSET($H$3,0,0,'Données projet'!$E$11+1,1))</f>
        <v>166.48525819448878</v>
      </c>
      <c r="BJ107" s="60">
        <f t="shared" si="92"/>
        <v>61.876502626609977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26.074234092589201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26.074234092589201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0" t="e">
        <f t="shared" si="65"/>
        <v>#N/A</v>
      </c>
      <c r="CD107" s="60" t="e">
        <f ca="1">AVERAGE(OFFSET($CC$3,0,0,'Données projet'!$E$12+1,1))-AVERAGE(OFFSET($H$3,0,0,'Données projet'!$E$12+1,1))</f>
        <v>#N/A</v>
      </c>
      <c r="CE107" s="60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0" t="e">
        <f t="shared" si="68"/>
        <v>#N/A</v>
      </c>
      <c r="CY107" s="60" t="e">
        <f ca="1">AVERAGE(OFFSET($CX$3,0,0,'Données projet'!$E$13+1,1))-AVERAGE(OFFSET($H$3,0,0,'Données projet'!$E$13+1,1))</f>
        <v>#N/A</v>
      </c>
      <c r="CZ107" s="60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-5.6843418860808015E-13</v>
      </c>
      <c r="O108" s="14">
        <f>N108*VLOOKUP('Données projet'!$B$9,Paramètres!$A$1:$I$88,3,0)*VLOOKUP('Données projet'!$B$9,Paramètres!$A$1:$I$88,5,0)</f>
        <v>-3.39923644787632E-13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222.57099967987045</v>
      </c>
      <c r="T108" s="60">
        <f t="shared" si="88"/>
        <v>221.49027090502796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80.285592026603723</v>
      </c>
      <c r="AA108" s="23">
        <f>EXP(-LN(2)/25)*AA107+(1-EXP(-LN(2)/25))/(LN(2)/25)*Calculateur!V108*Calculateur!X108*VLOOKUP('Données projet'!$B$9,Paramètres!$A$1:$I$88,3,0)*0.475*44/12</f>
        <v>15.151023252332983</v>
      </c>
      <c r="AB108" s="23">
        <f>EXP(-LN(2)/2)*AB107+(1-EXP(-LN(2)/2))/(LN(2)/2)*V108*Y108*VLOOKUP('Données projet'!$B$9,Paramètres!$A$1:$I$88,3,0)*0.475*44/12</f>
        <v>1.5139378733160407E-4</v>
      </c>
      <c r="AC108" s="24">
        <f t="shared" si="57"/>
        <v>95.436766672724033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147.1675182177155</v>
      </c>
      <c r="AO108" s="60">
        <f t="shared" si="90"/>
        <v>115.86489547584461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114.27215866566087</v>
      </c>
      <c r="AV108" s="23">
        <f>EXP(-LN(2)/25)*AV107+(1-EXP(-LN(2)/25))/(LN(2)/25)*Calculateur!AQ108*Calculateur!AS108*VLOOKUP('Données projet'!$B$10,Paramètres!$A$1:$I$88,3,0)*0.475*44/12</f>
        <v>21.36206967460873</v>
      </c>
      <c r="AW108" s="23">
        <f>EXP(-LN(2)/2)*AW107+(1-EXP(-LN(2)/2))/(LN(2)/2)*AQ108*AT108*VLOOKUP('Données projet'!$B$10,Paramètres!$A$1:$I$88,3,0)*0.475*44/12</f>
        <v>0.12722673744820195</v>
      </c>
      <c r="AX108" s="23">
        <f t="shared" si="60"/>
        <v>135.76145507771781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1.7</v>
      </c>
      <c r="BD108" s="13">
        <f>IF('Données projet'!$A$88&gt;35,BD107+BC108-BL107,IF(A108&lt;'Données projet'!$A$88,$BA$205^A108,IF(A108='Données projet'!$A$88,'Données projet'!$B$88,BD107+BC108-BL107)))</f>
        <v>210.49999999999986</v>
      </c>
      <c r="BE108" s="14">
        <f>BD108*VLOOKUP('Données projet'!$B$11,Paramètres!$A$1:$I$88,3,0)*VLOOKUP('Données projet'!$B$11,Paramètres!$A$1:$I$88,5,0)</f>
        <v>213.44699999999986</v>
      </c>
      <c r="BF108" s="14">
        <f t="shared" si="91"/>
        <v>52.688126686988674</v>
      </c>
      <c r="BG108" s="22">
        <f t="shared" si="61"/>
        <v>463.51867897983834</v>
      </c>
      <c r="BH108" s="60">
        <f t="shared" si="62"/>
        <v>756.8520123131716</v>
      </c>
      <c r="BI108" s="60">
        <f ca="1">AVERAGE(OFFSET($BH$3,0,0,'Données projet'!$E$11+1,1))-AVERAGE(OFFSET($H$3,0,0,'Données projet'!$E$11+1,1))</f>
        <v>166.48525819448878</v>
      </c>
      <c r="BJ108" s="60">
        <f t="shared" si="92"/>
        <v>61.876502626609977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25.562934265745962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25.562934265745962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0" t="e">
        <f t="shared" si="65"/>
        <v>#N/A</v>
      </c>
      <c r="CD108" s="60" t="e">
        <f ca="1">AVERAGE(OFFSET($CC$3,0,0,'Données projet'!$E$12+1,1))-AVERAGE(OFFSET($H$3,0,0,'Données projet'!$E$12+1,1))</f>
        <v>#N/A</v>
      </c>
      <c r="CE108" s="60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0" t="e">
        <f t="shared" si="68"/>
        <v>#N/A</v>
      </c>
      <c r="CY108" s="60" t="e">
        <f ca="1">AVERAGE(OFFSET($CX$3,0,0,'Données projet'!$E$13+1,1))-AVERAGE(OFFSET($H$3,0,0,'Données projet'!$E$13+1,1))</f>
        <v>#N/A</v>
      </c>
      <c r="CZ108" s="60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-5.6843418860808015E-13</v>
      </c>
      <c r="O109" s="14">
        <f>N109*VLOOKUP('Données projet'!$B$9,Paramètres!$A$1:$I$88,3,0)*VLOOKUP('Données projet'!$B$9,Paramètres!$A$1:$I$88,5,0)</f>
        <v>-3.39923644787632E-13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222.57099967987045</v>
      </c>
      <c r="T109" s="60">
        <f t="shared" si="88"/>
        <v>221.49027090502796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78.71124053633784</v>
      </c>
      <c r="AA109" s="23">
        <f>EXP(-LN(2)/25)*AA108+(1-EXP(-LN(2)/25))/(LN(2)/25)*Calculateur!V109*Calculateur!X109*VLOOKUP('Données projet'!$B$9,Paramètres!$A$1:$I$88,3,0)*0.475*44/12</f>
        <v>14.736717724740252</v>
      </c>
      <c r="AB109" s="23">
        <f>EXP(-LN(2)/2)*AB108+(1-EXP(-LN(2)/2))/(LN(2)/2)*V109*Y109*VLOOKUP('Données projet'!$B$9,Paramètres!$A$1:$I$88,3,0)*0.475*44/12</f>
        <v>1.0705157365169127E-4</v>
      </c>
      <c r="AC109" s="24">
        <f t="shared" si="57"/>
        <v>93.44806531265175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147.1675182177155</v>
      </c>
      <c r="AO109" s="60">
        <f t="shared" si="90"/>
        <v>115.86489547584461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112.03135133336183</v>
      </c>
      <c r="AV109" s="23">
        <f>EXP(-LN(2)/25)*AV108+(1-EXP(-LN(2)/25))/(LN(2)/25)*Calculateur!AQ109*Calculateur!AS109*VLOOKUP('Données projet'!$B$10,Paramètres!$A$1:$I$88,3,0)*0.475*44/12</f>
        <v>20.777922755974135</v>
      </c>
      <c r="AW109" s="23">
        <f>EXP(-LN(2)/2)*AW108+(1-EXP(-LN(2)/2))/(LN(2)/2)*AQ109*AT109*VLOOKUP('Données projet'!$B$10,Paramètres!$A$1:$I$88,3,0)*0.475*44/12</f>
        <v>8.9962888797864071E-2</v>
      </c>
      <c r="AX109" s="23">
        <f t="shared" si="60"/>
        <v>132.89923697813381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1.7</v>
      </c>
      <c r="BD109" s="13">
        <f>IF('Données projet'!$A$88&gt;35,BD108+BC109-BL108,IF(A109&lt;'Données projet'!$A$88,$BA$205^A109,IF(A109='Données projet'!$A$88,'Données projet'!$B$88,BD108+BC109-BL108)))</f>
        <v>212.19999999999985</v>
      </c>
      <c r="BE109" s="14">
        <f>BD109*VLOOKUP('Données projet'!$B$11,Paramètres!$A$1:$I$88,3,0)*VLOOKUP('Données projet'!$B$11,Paramètres!$A$1:$I$88,5,0)</f>
        <v>215.17079999999984</v>
      </c>
      <c r="BF109" s="14">
        <f t="shared" si="91"/>
        <v>53.063930965723564</v>
      </c>
      <c r="BG109" s="22">
        <f t="shared" si="61"/>
        <v>467.17548976530162</v>
      </c>
      <c r="BH109" s="60">
        <f t="shared" si="62"/>
        <v>760.50882309863493</v>
      </c>
      <c r="BI109" s="60">
        <f ca="1">AVERAGE(OFFSET($BH$3,0,0,'Données projet'!$E$11+1,1))-AVERAGE(OFFSET($H$3,0,0,'Données projet'!$E$11+1,1))</f>
        <v>166.48525819448878</v>
      </c>
      <c r="BJ109" s="60">
        <f t="shared" si="92"/>
        <v>61.876502626609977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25.061660716645019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25.061660716645019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0" t="e">
        <f t="shared" si="65"/>
        <v>#N/A</v>
      </c>
      <c r="CD109" s="60" t="e">
        <f ca="1">AVERAGE(OFFSET($CC$3,0,0,'Données projet'!$E$12+1,1))-AVERAGE(OFFSET($H$3,0,0,'Données projet'!$E$12+1,1))</f>
        <v>#N/A</v>
      </c>
      <c r="CE109" s="60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0" t="e">
        <f t="shared" si="68"/>
        <v>#N/A</v>
      </c>
      <c r="CY109" s="60" t="e">
        <f ca="1">AVERAGE(OFFSET($CX$3,0,0,'Données projet'!$E$13+1,1))-AVERAGE(OFFSET($H$3,0,0,'Données projet'!$E$13+1,1))</f>
        <v>#N/A</v>
      </c>
      <c r="CZ109" s="60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-5.6843418860808015E-13</v>
      </c>
      <c r="O110" s="14">
        <f>N110*VLOOKUP('Données projet'!$B$9,Paramètres!$A$1:$I$88,3,0)*VLOOKUP('Données projet'!$B$9,Paramètres!$A$1:$I$88,5,0)</f>
        <v>-3.39923644787632E-13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222.57099967987045</v>
      </c>
      <c r="T110" s="60">
        <f t="shared" si="88"/>
        <v>221.49027090502796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77.167761118536475</v>
      </c>
      <c r="AA110" s="23">
        <f>EXP(-LN(2)/25)*AA109+(1-EXP(-LN(2)/25))/(LN(2)/25)*Calculateur!V110*Calculateur!X110*VLOOKUP('Données projet'!$B$9,Paramètres!$A$1:$I$88,3,0)*0.475*44/12</f>
        <v>14.333741403586926</v>
      </c>
      <c r="AB110" s="23">
        <f>EXP(-LN(2)/2)*AB109+(1-EXP(-LN(2)/2))/(LN(2)/2)*V110*Y110*VLOOKUP('Données projet'!$B$9,Paramètres!$A$1:$I$88,3,0)*0.475*44/12</f>
        <v>7.5696893665802033E-5</v>
      </c>
      <c r="AC110" s="24">
        <f t="shared" si="57"/>
        <v>91.501578219017063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147.1675182177155</v>
      </c>
      <c r="AO110" s="60">
        <f t="shared" si="90"/>
        <v>115.86489547584461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109.83448486609166</v>
      </c>
      <c r="AV110" s="23">
        <f>EXP(-LN(2)/25)*AV109+(1-EXP(-LN(2)/25))/(LN(2)/25)*Calculateur!AQ110*Calculateur!AS110*VLOOKUP('Données projet'!$B$10,Paramètres!$A$1:$I$88,3,0)*0.475*44/12</f>
        <v>20.209749365548554</v>
      </c>
      <c r="AW110" s="23">
        <f>EXP(-LN(2)/2)*AW109+(1-EXP(-LN(2)/2))/(LN(2)/2)*AQ110*AT110*VLOOKUP('Données projet'!$B$10,Paramètres!$A$1:$I$88,3,0)*0.475*44/12</f>
        <v>6.3613368724100977E-2</v>
      </c>
      <c r="AX110" s="23">
        <f t="shared" si="60"/>
        <v>130.10784760036432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1.7</v>
      </c>
      <c r="BD110" s="13">
        <f>IF('Données projet'!$A$88&gt;35,BD109+BC110-BL109,IF(A110&lt;'Données projet'!$A$88,$BA$205^A110,IF(A110='Données projet'!$A$88,'Données projet'!$B$88,BD109+BC110-BL109)))</f>
        <v>213.89999999999984</v>
      </c>
      <c r="BE110" s="14">
        <f>BD110*VLOOKUP('Données projet'!$B$11,Paramètres!$A$1:$I$88,3,0)*VLOOKUP('Données projet'!$B$11,Paramètres!$A$1:$I$88,5,0)</f>
        <v>216.89459999999988</v>
      </c>
      <c r="BF110" s="14">
        <f t="shared" si="91"/>
        <v>53.439384960153383</v>
      </c>
      <c r="BG110" s="22">
        <f t="shared" si="61"/>
        <v>470.83169047226693</v>
      </c>
      <c r="BH110" s="60">
        <f t="shared" si="62"/>
        <v>764.16502380560019</v>
      </c>
      <c r="BI110" s="60">
        <f ca="1">AVERAGE(OFFSET($BH$3,0,0,'Données projet'!$E$11+1,1))-AVERAGE(OFFSET($H$3,0,0,'Données projet'!$E$11+1,1))</f>
        <v>166.48525819448878</v>
      </c>
      <c r="BJ110" s="60">
        <f t="shared" si="92"/>
        <v>61.876502626609977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24.57021683609527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24.57021683609527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0" t="e">
        <f t="shared" si="65"/>
        <v>#N/A</v>
      </c>
      <c r="CD110" s="60" t="e">
        <f ca="1">AVERAGE(OFFSET($CC$3,0,0,'Données projet'!$E$12+1,1))-AVERAGE(OFFSET($H$3,0,0,'Données projet'!$E$12+1,1))</f>
        <v>#N/A</v>
      </c>
      <c r="CE110" s="60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0" t="e">
        <f t="shared" si="68"/>
        <v>#N/A</v>
      </c>
      <c r="CY110" s="60" t="e">
        <f ca="1">AVERAGE(OFFSET($CX$3,0,0,'Données projet'!$E$13+1,1))-AVERAGE(OFFSET($H$3,0,0,'Données projet'!$E$13+1,1))</f>
        <v>#N/A</v>
      </c>
      <c r="CZ110" s="60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-5.6843418860808015E-13</v>
      </c>
      <c r="O111" s="14">
        <f>N111*VLOOKUP('Données projet'!$B$9,Paramètres!$A$1:$I$88,3,0)*VLOOKUP('Données projet'!$B$9,Paramètres!$A$1:$I$88,5,0)</f>
        <v>-3.39923644787632E-13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222.57099967987045</v>
      </c>
      <c r="T111" s="60">
        <f t="shared" si="88"/>
        <v>221.49027090502796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75.654548390688703</v>
      </c>
      <c r="AA111" s="23">
        <f>EXP(-LN(2)/25)*AA110+(1-EXP(-LN(2)/25))/(LN(2)/25)*Calculateur!V111*Calculateur!X111*VLOOKUP('Données projet'!$B$9,Paramètres!$A$1:$I$88,3,0)*0.475*44/12</f>
        <v>13.941784491127141</v>
      </c>
      <c r="AB111" s="23">
        <f>EXP(-LN(2)/2)*AB110+(1-EXP(-LN(2)/2))/(LN(2)/2)*V111*Y111*VLOOKUP('Données projet'!$B$9,Paramètres!$A$1:$I$88,3,0)*0.475*44/12</f>
        <v>5.3525786825845635E-5</v>
      </c>
      <c r="AC111" s="24">
        <f t="shared" si="57"/>
        <v>89.596386407602665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147.1675182177155</v>
      </c>
      <c r="AO111" s="60">
        <f t="shared" si="90"/>
        <v>115.86489547584461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107.68069761028842</v>
      </c>
      <c r="AV111" s="23">
        <f>EXP(-LN(2)/25)*AV110+(1-EXP(-LN(2)/25))/(LN(2)/25)*Calculateur!AQ111*Calculateur!AS111*VLOOKUP('Données projet'!$B$10,Paramètres!$A$1:$I$88,3,0)*0.475*44/12</f>
        <v>19.657112706363101</v>
      </c>
      <c r="AW111" s="23">
        <f>EXP(-LN(2)/2)*AW110+(1-EXP(-LN(2)/2))/(LN(2)/2)*AQ111*AT111*VLOOKUP('Données projet'!$B$10,Paramètres!$A$1:$I$88,3,0)*0.475*44/12</f>
        <v>4.4981444398932036E-2</v>
      </c>
      <c r="AX111" s="23">
        <f t="shared" si="60"/>
        <v>127.38279176105044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1.7</v>
      </c>
      <c r="BD111" s="13">
        <f>IF('Données projet'!$A$88&gt;35,BD110+BC111-BL110,IF(A111&lt;'Données projet'!$A$88,$BA$205^A111,IF(A111='Données projet'!$A$88,'Données projet'!$B$88,BD110+BC111-BL110)))</f>
        <v>215.59999999999982</v>
      </c>
      <c r="BE111" s="14">
        <f>BD111*VLOOKUP('Données projet'!$B$11,Paramètres!$A$1:$I$88,3,0)*VLOOKUP('Données projet'!$B$11,Paramètres!$A$1:$I$88,5,0)</f>
        <v>218.61839999999987</v>
      </c>
      <c r="BF111" s="14">
        <f t="shared" si="91"/>
        <v>53.81449177688954</v>
      </c>
      <c r="BG111" s="22">
        <f t="shared" si="61"/>
        <v>474.48728651141568</v>
      </c>
      <c r="BH111" s="60">
        <f t="shared" si="62"/>
        <v>767.82061984474899</v>
      </c>
      <c r="BI111" s="60">
        <f ca="1">AVERAGE(OFFSET($BH$3,0,0,'Données projet'!$E$11+1,1))-AVERAGE(OFFSET($H$3,0,0,'Données projet'!$E$11+1,1))</f>
        <v>166.48525819448878</v>
      </c>
      <c r="BJ111" s="60">
        <f t="shared" si="92"/>
        <v>61.876502626609977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24.088409870291933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24.088409870291933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0" t="e">
        <f t="shared" si="65"/>
        <v>#N/A</v>
      </c>
      <c r="CD111" s="60" t="e">
        <f ca="1">AVERAGE(OFFSET($CC$3,0,0,'Données projet'!$E$12+1,1))-AVERAGE(OFFSET($H$3,0,0,'Données projet'!$E$12+1,1))</f>
        <v>#N/A</v>
      </c>
      <c r="CE111" s="60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0" t="e">
        <f t="shared" si="68"/>
        <v>#N/A</v>
      </c>
      <c r="CY111" s="60" t="e">
        <f ca="1">AVERAGE(OFFSET($CX$3,0,0,'Données projet'!$E$13+1,1))-AVERAGE(OFFSET($H$3,0,0,'Données projet'!$E$13+1,1))</f>
        <v>#N/A</v>
      </c>
      <c r="CZ111" s="60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-5.6843418860808015E-13</v>
      </c>
      <c r="O112" s="14">
        <f>N112*VLOOKUP('Données projet'!$B$9,Paramètres!$A$1:$I$88,3,0)*VLOOKUP('Données projet'!$B$9,Paramètres!$A$1:$I$88,5,0)</f>
        <v>-3.39923644787632E-13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222.57099967987045</v>
      </c>
      <c r="T112" s="60">
        <f t="shared" si="88"/>
        <v>221.49027090502796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74.171008841465408</v>
      </c>
      <c r="AA112" s="23">
        <f>EXP(-LN(2)/25)*AA111+(1-EXP(-LN(2)/25))/(LN(2)/25)*Calculateur!V112*Calculateur!X112*VLOOKUP('Données projet'!$B$9,Paramètres!$A$1:$I$88,3,0)*0.475*44/12</f>
        <v>13.560545661050687</v>
      </c>
      <c r="AB112" s="23">
        <f>EXP(-LN(2)/2)*AB111+(1-EXP(-LN(2)/2))/(LN(2)/2)*V112*Y112*VLOOKUP('Données projet'!$B$9,Paramètres!$A$1:$I$88,3,0)*0.475*44/12</f>
        <v>3.7848446832901017E-5</v>
      </c>
      <c r="AC112" s="24">
        <f t="shared" si="57"/>
        <v>87.731592350962927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147.1675182177155</v>
      </c>
      <c r="AO112" s="60">
        <f t="shared" si="90"/>
        <v>115.86489547584461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105.56914480889097</v>
      </c>
      <c r="AV112" s="23">
        <f>EXP(-LN(2)/25)*AV111+(1-EXP(-LN(2)/25))/(LN(2)/25)*Calculateur!AQ112*Calculateur!AS112*VLOOKUP('Données projet'!$B$10,Paramètres!$A$1:$I$88,3,0)*0.475*44/12</f>
        <v>19.119587925684971</v>
      </c>
      <c r="AW112" s="23">
        <f>EXP(-LN(2)/2)*AW111+(1-EXP(-LN(2)/2))/(LN(2)/2)*AQ112*AT112*VLOOKUP('Données projet'!$B$10,Paramètres!$A$1:$I$88,3,0)*0.475*44/12</f>
        <v>3.1806684362050489E-2</v>
      </c>
      <c r="AX112" s="23">
        <f t="shared" si="60"/>
        <v>124.72053941893799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1.7</v>
      </c>
      <c r="BD112" s="13">
        <f>IF('Données projet'!$A$88&gt;35,BD111+BC112-BL111,IF(A112&lt;'Données projet'!$A$88,$BA$205^A112,IF(A112='Données projet'!$A$88,'Données projet'!$B$88,BD111+BC112-BL111)))</f>
        <v>217.29999999999981</v>
      </c>
      <c r="BE112" s="14">
        <f>BD112*VLOOKUP('Données projet'!$B$11,Paramètres!$A$1:$I$88,3,0)*VLOOKUP('Données projet'!$B$11,Paramètres!$A$1:$I$88,5,0)</f>
        <v>220.34219999999985</v>
      </c>
      <c r="BF112" s="14">
        <f t="shared" si="91"/>
        <v>54.189254470723533</v>
      </c>
      <c r="BG112" s="22">
        <f t="shared" si="61"/>
        <v>478.14228320317648</v>
      </c>
      <c r="BH112" s="60">
        <f t="shared" si="62"/>
        <v>771.47561653650973</v>
      </c>
      <c r="BI112" s="60">
        <f ca="1">AVERAGE(OFFSET($BH$3,0,0,'Données projet'!$E$11+1,1))-AVERAGE(OFFSET($H$3,0,0,'Données projet'!$E$11+1,1))</f>
        <v>166.48525819448878</v>
      </c>
      <c r="BJ112" s="60">
        <f t="shared" si="92"/>
        <v>61.876502626609977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23.616050845214769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23.616050845214769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0" t="e">
        <f t="shared" si="65"/>
        <v>#N/A</v>
      </c>
      <c r="CD112" s="60" t="e">
        <f ca="1">AVERAGE(OFFSET($CC$3,0,0,'Données projet'!$E$12+1,1))-AVERAGE(OFFSET($H$3,0,0,'Données projet'!$E$12+1,1))</f>
        <v>#N/A</v>
      </c>
      <c r="CE112" s="60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0" t="e">
        <f t="shared" si="68"/>
        <v>#N/A</v>
      </c>
      <c r="CY112" s="60" t="e">
        <f ca="1">AVERAGE(OFFSET($CX$3,0,0,'Données projet'!$E$13+1,1))-AVERAGE(OFFSET($H$3,0,0,'Données projet'!$E$13+1,1))</f>
        <v>#N/A</v>
      </c>
      <c r="CZ112" s="60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-5.6843418860808015E-13</v>
      </c>
      <c r="O113" s="14">
        <f>N113*VLOOKUP('Données projet'!$B$9,Paramètres!$A$1:$I$88,3,0)*VLOOKUP('Données projet'!$B$9,Paramètres!$A$1:$I$88,5,0)</f>
        <v>-3.39923644787632E-13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222.57099967987045</v>
      </c>
      <c r="T113" s="60">
        <f t="shared" si="88"/>
        <v>221.49027090502796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72.716560597932599</v>
      </c>
      <c r="AA113" s="23">
        <f>EXP(-LN(2)/25)*AA112+(1-EXP(-LN(2)/25))/(LN(2)/25)*Calculateur!V113*Calculateur!X113*VLOOKUP('Données projet'!$B$9,Paramètres!$A$1:$I$88,3,0)*0.475*44/12</f>
        <v>13.189731826831153</v>
      </c>
      <c r="AB113" s="23">
        <f>EXP(-LN(2)/2)*AB112+(1-EXP(-LN(2)/2))/(LN(2)/2)*V113*Y113*VLOOKUP('Données projet'!$B$9,Paramètres!$A$1:$I$88,3,0)*0.475*44/12</f>
        <v>2.6762893412922817E-5</v>
      </c>
      <c r="AC113" s="24">
        <f t="shared" si="57"/>
        <v>85.906319187657161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147.1675182177155</v>
      </c>
      <c r="AO113" s="60">
        <f t="shared" si="90"/>
        <v>115.86489547584461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103.49899827000888</v>
      </c>
      <c r="AV113" s="23">
        <f>EXP(-LN(2)/25)*AV112+(1-EXP(-LN(2)/25))/(LN(2)/25)*Calculateur!AQ113*Calculateur!AS113*VLOOKUP('Données projet'!$B$10,Paramètres!$A$1:$I$88,3,0)*0.475*44/12</f>
        <v>18.596761788401686</v>
      </c>
      <c r="AW113" s="23">
        <f>EXP(-LN(2)/2)*AW112+(1-EXP(-LN(2)/2))/(LN(2)/2)*AQ113*AT113*VLOOKUP('Données projet'!$B$10,Paramètres!$A$1:$I$88,3,0)*0.475*44/12</f>
        <v>2.2490722199466018E-2</v>
      </c>
      <c r="AX113" s="23">
        <f t="shared" si="60"/>
        <v>122.11825078061004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219</v>
      </c>
      <c r="BB113" s="13">
        <f>VLOOKUP(A113,'Données projet'!$A$87:$I$107,9,0)</f>
        <v>1.7</v>
      </c>
      <c r="BC113" s="13">
        <f t="array" ref="BC113">INDEX(BB:BB,MIN(IF(ISNUMBER(BB113:BB309),ROW(BB113:BB309),"")))</f>
        <v>1.7</v>
      </c>
      <c r="BD113" s="13">
        <f>IF('Données projet'!$A$88&gt;35,BD112+BC113-BL112,IF(A113&lt;'Données projet'!$A$88,$BA$205^A113,IF(A113='Données projet'!$A$88,'Données projet'!$B$88,BD112+BC113-BL112)))</f>
        <v>218.9999999999998</v>
      </c>
      <c r="BE113" s="14">
        <f>BD113*VLOOKUP('Données projet'!$B$11,Paramètres!$A$1:$I$88,3,0)*VLOOKUP('Données projet'!$B$11,Paramètres!$A$1:$I$88,5,0)</f>
        <v>222.06599999999983</v>
      </c>
      <c r="BF113" s="14">
        <f t="shared" si="91"/>
        <v>54.563676045889295</v>
      </c>
      <c r="BG113" s="22">
        <f t="shared" si="61"/>
        <v>481.79668577992356</v>
      </c>
      <c r="BH113" s="60">
        <f t="shared" si="62"/>
        <v>775.13001911325682</v>
      </c>
      <c r="BI113" s="60">
        <f ca="1">AVERAGE(OFFSET($BH$3,0,0,'Données projet'!$E$11+1,1))-AVERAGE(OFFSET($H$3,0,0,'Données projet'!$E$11+1,1))</f>
        <v>166.48525819448878</v>
      </c>
      <c r="BJ113" s="60">
        <f t="shared" si="92"/>
        <v>61.876502626609977</v>
      </c>
      <c r="BK113" s="16">
        <f>IF(ISNA(VLOOKUP(A113,'Données projet'!$A$87:$I$107,3,0)),0,VLOOKUP(A113,'Données projet'!$A$87:$I$107,3,0))</f>
        <v>17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projet'!$B$11,Paramètres!$A$1:$I$88,7,0))</f>
        <v>0.34400000000000003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28.165829319301963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28.165829319301963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0" t="e">
        <f t="shared" si="65"/>
        <v>#N/A</v>
      </c>
      <c r="CD113" s="60" t="e">
        <f ca="1">AVERAGE(OFFSET($CC$3,0,0,'Données projet'!$E$12+1,1))-AVERAGE(OFFSET($H$3,0,0,'Données projet'!$E$12+1,1))</f>
        <v>#N/A</v>
      </c>
      <c r="CE113" s="60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0" t="e">
        <f t="shared" si="68"/>
        <v>#N/A</v>
      </c>
      <c r="CY113" s="60" t="e">
        <f ca="1">AVERAGE(OFFSET($CX$3,0,0,'Données projet'!$E$13+1,1))-AVERAGE(OFFSET($H$3,0,0,'Données projet'!$E$13+1,1))</f>
        <v>#N/A</v>
      </c>
      <c r="CZ113" s="60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-5.6843418860808015E-13</v>
      </c>
      <c r="O114" s="14">
        <f>N114*VLOOKUP('Données projet'!$B$9,Paramètres!$A$1:$I$88,3,0)*VLOOKUP('Données projet'!$B$9,Paramètres!$A$1:$I$88,5,0)</f>
        <v>-3.39923644787632E-13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222.57099967987045</v>
      </c>
      <c r="T114" s="60">
        <f t="shared" si="88"/>
        <v>221.49027090502796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71.29063319732964</v>
      </c>
      <c r="AA114" s="23">
        <f>EXP(-LN(2)/25)*AA113+(1-EXP(-LN(2)/25))/(LN(2)/25)*Calculateur!V114*Calculateur!X114*VLOOKUP('Données projet'!$B$9,Paramètres!$A$1:$I$88,3,0)*0.475*44/12</f>
        <v>12.829057916408605</v>
      </c>
      <c r="AB114" s="23">
        <f>EXP(-LN(2)/2)*AB113+(1-EXP(-LN(2)/2))/(LN(2)/2)*V114*Y114*VLOOKUP('Données projet'!$B$9,Paramètres!$A$1:$I$88,3,0)*0.475*44/12</f>
        <v>1.8924223416450508E-5</v>
      </c>
      <c r="AC114" s="24">
        <f t="shared" si="57"/>
        <v>84.119710037961653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147.1675182177155</v>
      </c>
      <c r="AO114" s="60">
        <f t="shared" si="90"/>
        <v>115.86489547584461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101.46944604208957</v>
      </c>
      <c r="AV114" s="23">
        <f>EXP(-LN(2)/25)*AV113+(1-EXP(-LN(2)/25))/(LN(2)/25)*Calculateur!AQ114*Calculateur!AS114*VLOOKUP('Données projet'!$B$10,Paramètres!$A$1:$I$88,3,0)*0.475*44/12</f>
        <v>18.088232359336644</v>
      </c>
      <c r="AW114" s="23">
        <f>EXP(-LN(2)/2)*AW113+(1-EXP(-LN(2)/2))/(LN(2)/2)*AQ114*AT114*VLOOKUP('Données projet'!$B$10,Paramètres!$A$1:$I$88,3,0)*0.475*44/12</f>
        <v>1.5903342181025244E-2</v>
      </c>
      <c r="AX114" s="23">
        <f t="shared" si="60"/>
        <v>119.57358174360724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1.5</v>
      </c>
      <c r="BD114" s="13">
        <f>IF('Données projet'!$A$88&gt;35,BD113+BC114-BL113,IF(A114&lt;'Données projet'!$A$88,$BA$205^A114,IF(A114='Données projet'!$A$88,'Données projet'!$B$88,BD113+BC114-BL113)))</f>
        <v>207.4999999999998</v>
      </c>
      <c r="BE114" s="14">
        <f>BD114*VLOOKUP('Données projet'!$B$11,Paramètres!$A$1:$I$88,3,0)*VLOOKUP('Données projet'!$B$11,Paramètres!$A$1:$I$88,5,0)</f>
        <v>210.40499999999983</v>
      </c>
      <c r="BF114" s="14">
        <f t="shared" si="91"/>
        <v>52.024078461279785</v>
      </c>
      <c r="BG114" s="22">
        <f t="shared" si="61"/>
        <v>457.06397832006201</v>
      </c>
      <c r="BH114" s="60">
        <f t="shared" si="62"/>
        <v>750.39731165339526</v>
      </c>
      <c r="BI114" s="60">
        <f ca="1">AVERAGE(OFFSET($BH$3,0,0,'Données projet'!$E$11+1,1))-AVERAGE(OFFSET($H$3,0,0,'Données projet'!$E$11+1,1))</f>
        <v>166.48525819448878</v>
      </c>
      <c r="BJ114" s="60">
        <f t="shared" si="92"/>
        <v>61.876502626609977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27.613514585810005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27.613514585810005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0" t="e">
        <f t="shared" si="65"/>
        <v>#N/A</v>
      </c>
      <c r="CD114" s="60" t="e">
        <f ca="1">AVERAGE(OFFSET($CC$3,0,0,'Données projet'!$E$12+1,1))-AVERAGE(OFFSET($H$3,0,0,'Données projet'!$E$12+1,1))</f>
        <v>#N/A</v>
      </c>
      <c r="CE114" s="60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0" t="e">
        <f t="shared" si="68"/>
        <v>#N/A</v>
      </c>
      <c r="CY114" s="60" t="e">
        <f ca="1">AVERAGE(OFFSET($CX$3,0,0,'Données projet'!$E$13+1,1))-AVERAGE(OFFSET($H$3,0,0,'Données projet'!$E$13+1,1))</f>
        <v>#N/A</v>
      </c>
      <c r="CZ114" s="60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-5.6843418860808015E-13</v>
      </c>
      <c r="O115" s="14">
        <f>N115*VLOOKUP('Données projet'!$B$9,Paramètres!$A$1:$I$88,3,0)*VLOOKUP('Données projet'!$B$9,Paramètres!$A$1:$I$88,5,0)</f>
        <v>-3.39923644787632E-13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222.57099967987045</v>
      </c>
      <c r="T115" s="60">
        <f t="shared" si="88"/>
        <v>221.49027090502796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69.892667363322673</v>
      </c>
      <c r="AA115" s="23">
        <f>EXP(-LN(2)/25)*AA114+(1-EXP(-LN(2)/25))/(LN(2)/25)*Calculateur!V115*Calculateur!X115*VLOOKUP('Données projet'!$B$9,Paramètres!$A$1:$I$88,3,0)*0.475*44/12</f>
        <v>12.478246653033576</v>
      </c>
      <c r="AB115" s="23">
        <f>EXP(-LN(2)/2)*AB114+(1-EXP(-LN(2)/2))/(LN(2)/2)*V115*Y115*VLOOKUP('Données projet'!$B$9,Paramètres!$A$1:$I$88,3,0)*0.475*44/12</f>
        <v>1.3381446706461409E-5</v>
      </c>
      <c r="AC115" s="24">
        <f t="shared" si="57"/>
        <v>82.370927397802959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147.1675182177155</v>
      </c>
      <c r="AO115" s="60">
        <f t="shared" si="90"/>
        <v>115.86489547584461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99.479692095455121</v>
      </c>
      <c r="AV115" s="23">
        <f>EXP(-LN(2)/25)*AV114+(1-EXP(-LN(2)/25))/(LN(2)/25)*Calculateur!AQ115*Calculateur!AS115*VLOOKUP('Données projet'!$B$10,Paramètres!$A$1:$I$88,3,0)*0.475*44/12</f>
        <v>17.593608694251785</v>
      </c>
      <c r="AW115" s="23">
        <f>EXP(-LN(2)/2)*AW114+(1-EXP(-LN(2)/2))/(LN(2)/2)*AQ115*AT115*VLOOKUP('Données projet'!$B$10,Paramètres!$A$1:$I$88,3,0)*0.475*44/12</f>
        <v>1.1245361099733009E-2</v>
      </c>
      <c r="AX115" s="23">
        <f t="shared" si="60"/>
        <v>117.08454615080664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1.5</v>
      </c>
      <c r="BD115" s="13">
        <f>IF('Données projet'!$A$88&gt;35,BD114+BC115-BL114,IF(A115&lt;'Données projet'!$A$88,$BA$205^A115,IF(A115='Données projet'!$A$88,'Données projet'!$B$88,BD114+BC115-BL114)))</f>
        <v>208.9999999999998</v>
      </c>
      <c r="BE115" s="14">
        <f>BD115*VLOOKUP('Données projet'!$B$11,Paramètres!$A$1:$I$88,3,0)*VLOOKUP('Données projet'!$B$11,Paramètres!$A$1:$I$88,5,0)</f>
        <v>211.92599999999982</v>
      </c>
      <c r="BF115" s="14">
        <f t="shared" si="91"/>
        <v>52.356241262970073</v>
      </c>
      <c r="BG115" s="22">
        <f t="shared" si="61"/>
        <v>460.29157019967244</v>
      </c>
      <c r="BH115" s="60">
        <f t="shared" si="62"/>
        <v>753.62490353300575</v>
      </c>
      <c r="BI115" s="60">
        <f ca="1">AVERAGE(OFFSET($BH$3,0,0,'Données projet'!$E$11+1,1))-AVERAGE(OFFSET($H$3,0,0,'Données projet'!$E$11+1,1))</f>
        <v>166.48525819448878</v>
      </c>
      <c r="BJ115" s="60">
        <f t="shared" si="92"/>
        <v>61.876502626609977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27.072030407363101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27.072030407363101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0" t="e">
        <f t="shared" si="65"/>
        <v>#N/A</v>
      </c>
      <c r="CD115" s="60" t="e">
        <f ca="1">AVERAGE(OFFSET($CC$3,0,0,'Données projet'!$E$12+1,1))-AVERAGE(OFFSET($H$3,0,0,'Données projet'!$E$12+1,1))</f>
        <v>#N/A</v>
      </c>
      <c r="CE115" s="60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0" t="e">
        <f t="shared" si="68"/>
        <v>#N/A</v>
      </c>
      <c r="CY115" s="60" t="e">
        <f ca="1">AVERAGE(OFFSET($CX$3,0,0,'Données projet'!$E$13+1,1))-AVERAGE(OFFSET($H$3,0,0,'Données projet'!$E$13+1,1))</f>
        <v>#N/A</v>
      </c>
      <c r="CZ115" s="60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-5.6843418860808015E-13</v>
      </c>
      <c r="O116" s="14">
        <f>N116*VLOOKUP('Données projet'!$B$9,Paramètres!$A$1:$I$88,3,0)*VLOOKUP('Données projet'!$B$9,Paramètres!$A$1:$I$88,5,0)</f>
        <v>-3.39923644787632E-13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222.57099967987045</v>
      </c>
      <c r="T116" s="60">
        <f t="shared" si="88"/>
        <v>221.49027090502796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68.522114786645616</v>
      </c>
      <c r="AA116" s="23">
        <f>EXP(-LN(2)/25)*AA115+(1-EXP(-LN(2)/25))/(LN(2)/25)*Calculateur!V116*Calculateur!X116*VLOOKUP('Données projet'!$B$9,Paramètres!$A$1:$I$88,3,0)*0.475*44/12</f>
        <v>12.137028342103902</v>
      </c>
      <c r="AB116" s="23">
        <f>EXP(-LN(2)/2)*AB115+(1-EXP(-LN(2)/2))/(LN(2)/2)*V116*Y116*VLOOKUP('Données projet'!$B$9,Paramètres!$A$1:$I$88,3,0)*0.475*44/12</f>
        <v>9.4621117082252541E-6</v>
      </c>
      <c r="AC116" s="24">
        <f t="shared" si="57"/>
        <v>80.659152590861225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147.1675182177155</v>
      </c>
      <c r="AO116" s="60">
        <f t="shared" si="90"/>
        <v>115.86489547584461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97.528956010084102</v>
      </c>
      <c r="AV116" s="23">
        <f>EXP(-LN(2)/25)*AV115+(1-EXP(-LN(2)/25))/(LN(2)/25)*Calculateur!AQ116*Calculateur!AS116*VLOOKUP('Données projet'!$B$10,Paramètres!$A$1:$I$88,3,0)*0.475*44/12</f>
        <v>17.112510539299798</v>
      </c>
      <c r="AW116" s="23">
        <f>EXP(-LN(2)/2)*AW115+(1-EXP(-LN(2)/2))/(LN(2)/2)*AQ116*AT116*VLOOKUP('Données projet'!$B$10,Paramètres!$A$1:$I$88,3,0)*0.475*44/12</f>
        <v>7.9516710905126221E-3</v>
      </c>
      <c r="AX116" s="23">
        <f t="shared" si="60"/>
        <v>114.6494182204744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1.5</v>
      </c>
      <c r="BD116" s="13">
        <f>IF('Données projet'!$A$88&gt;35,BD115+BC116-BL115,IF(A116&lt;'Données projet'!$A$88,$BA$205^A116,IF(A116='Données projet'!$A$88,'Données projet'!$B$88,BD115+BC116-BL115)))</f>
        <v>210.4999999999998</v>
      </c>
      <c r="BE116" s="14">
        <f>BD116*VLOOKUP('Données projet'!$B$11,Paramètres!$A$1:$I$88,3,0)*VLOOKUP('Données projet'!$B$11,Paramètres!$A$1:$I$88,5,0)</f>
        <v>213.4469999999998</v>
      </c>
      <c r="BF116" s="14">
        <f t="shared" si="91"/>
        <v>52.688126686988674</v>
      </c>
      <c r="BG116" s="22">
        <f t="shared" si="61"/>
        <v>463.51867897983828</v>
      </c>
      <c r="BH116" s="60">
        <f t="shared" si="62"/>
        <v>756.8520123131716</v>
      </c>
      <c r="BI116" s="60">
        <f ca="1">AVERAGE(OFFSET($BH$3,0,0,'Données projet'!$E$11+1,1))-AVERAGE(OFFSET($H$3,0,0,'Données projet'!$E$11+1,1))</f>
        <v>166.48525819448878</v>
      </c>
      <c r="BJ116" s="60">
        <f t="shared" si="92"/>
        <v>61.876502626609977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26.541164403382805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26.541164403382805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0" t="e">
        <f t="shared" si="65"/>
        <v>#N/A</v>
      </c>
      <c r="CD116" s="60" t="e">
        <f ca="1">AVERAGE(OFFSET($CC$3,0,0,'Données projet'!$E$12+1,1))-AVERAGE(OFFSET($H$3,0,0,'Données projet'!$E$12+1,1))</f>
        <v>#N/A</v>
      </c>
      <c r="CE116" s="60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0" t="e">
        <f t="shared" si="68"/>
        <v>#N/A</v>
      </c>
      <c r="CY116" s="60" t="e">
        <f ca="1">AVERAGE(OFFSET($CX$3,0,0,'Données projet'!$E$13+1,1))-AVERAGE(OFFSET($H$3,0,0,'Données projet'!$E$13+1,1))</f>
        <v>#N/A</v>
      </c>
      <c r="CZ116" s="60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-5.6843418860808015E-13</v>
      </c>
      <c r="O117" s="14">
        <f>N117*VLOOKUP('Données projet'!$B$9,Paramètres!$A$1:$I$88,3,0)*VLOOKUP('Données projet'!$B$9,Paramètres!$A$1:$I$88,5,0)</f>
        <v>-3.39923644787632E-13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222.57099967987045</v>
      </c>
      <c r="T117" s="60">
        <f t="shared" si="88"/>
        <v>221.49027090502796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67.178437910042661</v>
      </c>
      <c r="AA117" s="23">
        <f>EXP(-LN(2)/25)*AA116+(1-EXP(-LN(2)/25))/(LN(2)/25)*Calculateur!V117*Calculateur!X117*VLOOKUP('Données projet'!$B$9,Paramètres!$A$1:$I$88,3,0)*0.475*44/12</f>
        <v>11.805140663830489</v>
      </c>
      <c r="AB117" s="23">
        <f>EXP(-LN(2)/2)*AB116+(1-EXP(-LN(2)/2))/(LN(2)/2)*V117*Y117*VLOOKUP('Données projet'!$B$9,Paramètres!$A$1:$I$88,3,0)*0.475*44/12</f>
        <v>6.6907233532307043E-6</v>
      </c>
      <c r="AC117" s="24">
        <f t="shared" si="57"/>
        <v>78.983585264596499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147.1675182177155</v>
      </c>
      <c r="AO117" s="60">
        <f t="shared" si="90"/>
        <v>115.86489547584461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95.616472669515687</v>
      </c>
      <c r="AV117" s="23">
        <f>EXP(-LN(2)/25)*AV116+(1-EXP(-LN(2)/25))/(LN(2)/25)*Calculateur!AQ117*Calculateur!AS117*VLOOKUP('Données projet'!$B$10,Paramètres!$A$1:$I$88,3,0)*0.475*44/12</f>
        <v>16.644568038694828</v>
      </c>
      <c r="AW117" s="23">
        <f>EXP(-LN(2)/2)*AW116+(1-EXP(-LN(2)/2))/(LN(2)/2)*AQ117*AT117*VLOOKUP('Données projet'!$B$10,Paramètres!$A$1:$I$88,3,0)*0.475*44/12</f>
        <v>5.6226805498665045E-3</v>
      </c>
      <c r="AX117" s="23">
        <f t="shared" si="60"/>
        <v>112.26666338876038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1.5</v>
      </c>
      <c r="BD117" s="13">
        <f>IF('Données projet'!$A$88&gt;35,BD116+BC117-BL116,IF(A117&lt;'Données projet'!$A$88,$BA$205^A117,IF(A117='Données projet'!$A$88,'Données projet'!$B$88,BD116+BC117-BL116)))</f>
        <v>211.9999999999998</v>
      </c>
      <c r="BE117" s="14">
        <f>BD117*VLOOKUP('Données projet'!$B$11,Paramètres!$A$1:$I$88,3,0)*VLOOKUP('Données projet'!$B$11,Paramètres!$A$1:$I$88,5,0)</f>
        <v>214.96799999999979</v>
      </c>
      <c r="BF117" s="14">
        <f t="shared" si="91"/>
        <v>53.019736939092944</v>
      </c>
      <c r="BG117" s="22">
        <f t="shared" si="61"/>
        <v>466.74530850225307</v>
      </c>
      <c r="BH117" s="60">
        <f t="shared" si="62"/>
        <v>760.07864183558638</v>
      </c>
      <c r="BI117" s="60">
        <f ca="1">AVERAGE(OFFSET($BH$3,0,0,'Données projet'!$E$11+1,1))-AVERAGE(OFFSET($H$3,0,0,'Données projet'!$E$11+1,1))</f>
        <v>166.48525819448878</v>
      </c>
      <c r="BJ117" s="60">
        <f t="shared" si="92"/>
        <v>61.876502626609977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26.020708357944272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26.020708357944272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0" t="e">
        <f t="shared" si="65"/>
        <v>#N/A</v>
      </c>
      <c r="CD117" s="60" t="e">
        <f ca="1">AVERAGE(OFFSET($CC$3,0,0,'Données projet'!$E$12+1,1))-AVERAGE(OFFSET($H$3,0,0,'Données projet'!$E$12+1,1))</f>
        <v>#N/A</v>
      </c>
      <c r="CE117" s="60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0" t="e">
        <f t="shared" si="68"/>
        <v>#N/A</v>
      </c>
      <c r="CY117" s="60" t="e">
        <f ca="1">AVERAGE(OFFSET($CX$3,0,0,'Données projet'!$E$13+1,1))-AVERAGE(OFFSET($H$3,0,0,'Données projet'!$E$13+1,1))</f>
        <v>#N/A</v>
      </c>
      <c r="CZ117" s="60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-5.6843418860808015E-13</v>
      </c>
      <c r="O118" s="14">
        <f>N118*VLOOKUP('Données projet'!$B$9,Paramètres!$A$1:$I$88,3,0)*VLOOKUP('Données projet'!$B$9,Paramètres!$A$1:$I$88,5,0)</f>
        <v>-3.39923644787632E-13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222.57099967987045</v>
      </c>
      <c r="T118" s="60">
        <f t="shared" si="88"/>
        <v>221.49027090502796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65.861109717427922</v>
      </c>
      <c r="AA118" s="23">
        <f>EXP(-LN(2)/25)*AA117+(1-EXP(-LN(2)/25))/(LN(2)/25)*Calculateur!V118*Calculateur!X118*VLOOKUP('Données projet'!$B$9,Paramètres!$A$1:$I$88,3,0)*0.475*44/12</f>
        <v>11.482328471572679</v>
      </c>
      <c r="AB118" s="23">
        <f>EXP(-LN(2)/2)*AB117+(1-EXP(-LN(2)/2))/(LN(2)/2)*V118*Y118*VLOOKUP('Données projet'!$B$9,Paramètres!$A$1:$I$88,3,0)*0.475*44/12</f>
        <v>4.7310558541126271E-6</v>
      </c>
      <c r="AC118" s="24">
        <f t="shared" si="57"/>
        <v>77.343442920056461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147.1675182177155</v>
      </c>
      <c r="AO118" s="60">
        <f t="shared" si="90"/>
        <v>115.86489547584461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93.741491960756164</v>
      </c>
      <c r="AV118" s="23">
        <f>EXP(-LN(2)/25)*AV117+(1-EXP(-LN(2)/25))/(LN(2)/25)*Calculateur!AQ118*Calculateur!AS118*VLOOKUP('Données projet'!$B$10,Paramètres!$A$1:$I$88,3,0)*0.475*44/12</f>
        <v>16.189421450376926</v>
      </c>
      <c r="AW118" s="23">
        <f>EXP(-LN(2)/2)*AW117+(1-EXP(-LN(2)/2))/(LN(2)/2)*AQ118*AT118*VLOOKUP('Données projet'!$B$10,Paramètres!$A$1:$I$88,3,0)*0.475*44/12</f>
        <v>3.9758355452563111E-3</v>
      </c>
      <c r="AX118" s="23">
        <f t="shared" si="60"/>
        <v>109.93488924667835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1.5</v>
      </c>
      <c r="BD118" s="13">
        <f>IF('Données projet'!$A$88&gt;35,BD117+BC118-BL117,IF(A118&lt;'Données projet'!$A$88,$BA$205^A118,IF(A118='Données projet'!$A$88,'Données projet'!$B$88,BD117+BC118-BL117)))</f>
        <v>213.4999999999998</v>
      </c>
      <c r="BE118" s="14">
        <f>BD118*VLOOKUP('Données projet'!$B$11,Paramètres!$A$1:$I$88,3,0)*VLOOKUP('Données projet'!$B$11,Paramètres!$A$1:$I$88,5,0)</f>
        <v>216.48899999999981</v>
      </c>
      <c r="BF118" s="14">
        <f t="shared" si="91"/>
        <v>53.351074192023106</v>
      </c>
      <c r="BG118" s="22">
        <f t="shared" si="61"/>
        <v>469.97146255110664</v>
      </c>
      <c r="BH118" s="60">
        <f t="shared" si="62"/>
        <v>763.30479588443995</v>
      </c>
      <c r="BI118" s="60">
        <f ca="1">AVERAGE(OFFSET($BH$3,0,0,'Données projet'!$E$11+1,1))-AVERAGE(OFFSET($H$3,0,0,'Données projet'!$E$11+1,1))</f>
        <v>166.48525819448878</v>
      </c>
      <c r="BJ118" s="60">
        <f t="shared" si="92"/>
        <v>61.876502626609977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25.510458138109946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25.510458138109946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0" t="e">
        <f t="shared" si="65"/>
        <v>#N/A</v>
      </c>
      <c r="CD118" s="60" t="e">
        <f ca="1">AVERAGE(OFFSET($CC$3,0,0,'Données projet'!$E$12+1,1))-AVERAGE(OFFSET($H$3,0,0,'Données projet'!$E$12+1,1))</f>
        <v>#N/A</v>
      </c>
      <c r="CE118" s="60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0" t="e">
        <f t="shared" si="68"/>
        <v>#N/A</v>
      </c>
      <c r="CY118" s="60" t="e">
        <f ca="1">AVERAGE(OFFSET($CX$3,0,0,'Données projet'!$E$13+1,1))-AVERAGE(OFFSET($H$3,0,0,'Données projet'!$E$13+1,1))</f>
        <v>#N/A</v>
      </c>
      <c r="CZ118" s="60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-5.6843418860808015E-13</v>
      </c>
      <c r="O119" s="14">
        <f>N119*VLOOKUP('Données projet'!$B$9,Paramètres!$A$1:$I$88,3,0)*VLOOKUP('Données projet'!$B$9,Paramètres!$A$1:$I$88,5,0)</f>
        <v>-3.39923644787632E-13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222.57099967987045</v>
      </c>
      <c r="T119" s="60">
        <f t="shared" si="88"/>
        <v>221.49027090502796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64.569613527179499</v>
      </c>
      <c r="AA119" s="23">
        <f>EXP(-LN(2)/25)*AA118+(1-EXP(-LN(2)/25))/(LN(2)/25)*Calculateur!V119*Calculateur!X119*VLOOKUP('Données projet'!$B$9,Paramètres!$A$1:$I$88,3,0)*0.475*44/12</f>
        <v>11.168343595688112</v>
      </c>
      <c r="AB119" s="23">
        <f>EXP(-LN(2)/2)*AB118+(1-EXP(-LN(2)/2))/(LN(2)/2)*V119*Y119*VLOOKUP('Données projet'!$B$9,Paramètres!$A$1:$I$88,3,0)*0.475*44/12</f>
        <v>3.3453616766153522E-6</v>
      </c>
      <c r="AC119" s="24">
        <f t="shared" si="57"/>
        <v>75.737960468229289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147.1675182177155</v>
      </c>
      <c r="AO119" s="60">
        <f t="shared" si="90"/>
        <v>115.86489547584461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91.903278480070099</v>
      </c>
      <c r="AV119" s="23">
        <f>EXP(-LN(2)/25)*AV118+(1-EXP(-LN(2)/25))/(LN(2)/25)*Calculateur!AQ119*Calculateur!AS119*VLOOKUP('Données projet'!$B$10,Paramètres!$A$1:$I$88,3,0)*0.475*44/12</f>
        <v>15.746720869451696</v>
      </c>
      <c r="AW119" s="23">
        <f>EXP(-LN(2)/2)*AW118+(1-EXP(-LN(2)/2))/(LN(2)/2)*AQ119*AT119*VLOOKUP('Données projet'!$B$10,Paramètres!$A$1:$I$88,3,0)*0.475*44/12</f>
        <v>2.8113402749332522E-3</v>
      </c>
      <c r="AX119" s="23">
        <f t="shared" si="60"/>
        <v>107.65281068979672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1.5</v>
      </c>
      <c r="BD119" s="13">
        <f>IF('Données projet'!$A$88&gt;35,BD118+BC119-BL118,IF(A119&lt;'Données projet'!$A$88,$BA$205^A119,IF(A119='Données projet'!$A$88,'Données projet'!$B$88,BD118+BC119-BL118)))</f>
        <v>214.9999999999998</v>
      </c>
      <c r="BE119" s="14">
        <f>BD119*VLOOKUP('Données projet'!$B$11,Paramètres!$A$1:$I$88,3,0)*VLOOKUP('Données projet'!$B$11,Paramètres!$A$1:$I$88,5,0)</f>
        <v>218.00999999999982</v>
      </c>
      <c r="BF119" s="14">
        <f t="shared" si="91"/>
        <v>53.682140586224357</v>
      </c>
      <c r="BG119" s="22">
        <f t="shared" si="61"/>
        <v>473.19714485434048</v>
      </c>
      <c r="BH119" s="60">
        <f t="shared" si="62"/>
        <v>766.53047818767379</v>
      </c>
      <c r="BI119" s="60">
        <f ca="1">AVERAGE(OFFSET($BH$3,0,0,'Données projet'!$E$11+1,1))-AVERAGE(OFFSET($H$3,0,0,'Données projet'!$E$11+1,1))</f>
        <v>166.48525819448878</v>
      </c>
      <c r="BJ119" s="60">
        <f t="shared" si="92"/>
        <v>61.876502626609977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25.010213613864668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25.010213613864668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0" t="e">
        <f t="shared" si="65"/>
        <v>#N/A</v>
      </c>
      <c r="CD119" s="60" t="e">
        <f ca="1">AVERAGE(OFFSET($CC$3,0,0,'Données projet'!$E$12+1,1))-AVERAGE(OFFSET($H$3,0,0,'Données projet'!$E$12+1,1))</f>
        <v>#N/A</v>
      </c>
      <c r="CE119" s="60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0" t="e">
        <f t="shared" si="68"/>
        <v>#N/A</v>
      </c>
      <c r="CY119" s="60" t="e">
        <f ca="1">AVERAGE(OFFSET($CX$3,0,0,'Données projet'!$E$13+1,1))-AVERAGE(OFFSET($H$3,0,0,'Données projet'!$E$13+1,1))</f>
        <v>#N/A</v>
      </c>
      <c r="CZ119" s="60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-5.6843418860808015E-13</v>
      </c>
      <c r="O120" s="14">
        <f>N120*VLOOKUP('Données projet'!$B$9,Paramètres!$A$1:$I$88,3,0)*VLOOKUP('Données projet'!$B$9,Paramètres!$A$1:$I$88,5,0)</f>
        <v>-3.39923644787632E-13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222.57099967987045</v>
      </c>
      <c r="T120" s="60">
        <f t="shared" si="88"/>
        <v>221.49027090502796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63.303442789486958</v>
      </c>
      <c r="AA120" s="23">
        <f>EXP(-LN(2)/25)*AA119+(1-EXP(-LN(2)/25))/(LN(2)/25)*Calculateur!V120*Calculateur!X120*VLOOKUP('Données projet'!$B$9,Paramètres!$A$1:$I$88,3,0)*0.475*44/12</f>
        <v>10.862944652746357</v>
      </c>
      <c r="AB120" s="23">
        <f>EXP(-LN(2)/2)*AB119+(1-EXP(-LN(2)/2))/(LN(2)/2)*V120*Y120*VLOOKUP('Données projet'!$B$9,Paramètres!$A$1:$I$88,3,0)*0.475*44/12</f>
        <v>2.3655279270563135E-6</v>
      </c>
      <c r="AC120" s="24">
        <f t="shared" si="57"/>
        <v>74.166389807761249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147.1675182177155</v>
      </c>
      <c r="AO120" s="60">
        <f t="shared" si="90"/>
        <v>115.86489547584461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90.101111244540775</v>
      </c>
      <c r="AV120" s="23">
        <f>EXP(-LN(2)/25)*AV119+(1-EXP(-LN(2)/25))/(LN(2)/25)*Calculateur!AQ120*Calculateur!AS120*VLOOKUP('Données projet'!$B$10,Paramètres!$A$1:$I$88,3,0)*0.475*44/12</f>
        <v>15.316125959192478</v>
      </c>
      <c r="AW120" s="23">
        <f>EXP(-LN(2)/2)*AW119+(1-EXP(-LN(2)/2))/(LN(2)/2)*AQ120*AT120*VLOOKUP('Données projet'!$B$10,Paramètres!$A$1:$I$88,3,0)*0.475*44/12</f>
        <v>1.9879177726281555E-3</v>
      </c>
      <c r="AX120" s="23">
        <f t="shared" si="60"/>
        <v>105.41922512150587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1.5</v>
      </c>
      <c r="BD120" s="13">
        <f>IF('Données projet'!$A$88&gt;35,BD119+BC120-BL119,IF(A120&lt;'Données projet'!$A$88,$BA$205^A120,IF(A120='Données projet'!$A$88,'Données projet'!$B$88,BD119+BC120-BL119)))</f>
        <v>216.4999999999998</v>
      </c>
      <c r="BE120" s="14">
        <f>BD120*VLOOKUP('Données projet'!$B$11,Paramètres!$A$1:$I$88,3,0)*VLOOKUP('Données projet'!$B$11,Paramètres!$A$1:$I$88,5,0)</f>
        <v>219.53099999999984</v>
      </c>
      <c r="BF120" s="14">
        <f t="shared" si="91"/>
        <v>54.012938230549246</v>
      </c>
      <c r="BG120" s="22">
        <f t="shared" si="61"/>
        <v>476.42235908487299</v>
      </c>
      <c r="BH120" s="60">
        <f t="shared" si="62"/>
        <v>769.75569241820631</v>
      </c>
      <c r="BI120" s="60">
        <f ca="1">AVERAGE(OFFSET($BH$3,0,0,'Données projet'!$E$11+1,1))-AVERAGE(OFFSET($H$3,0,0,'Données projet'!$E$11+1,1))</f>
        <v>166.48525819448878</v>
      </c>
      <c r="BJ120" s="60">
        <f t="shared" si="92"/>
        <v>61.876502626609977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24.519778579620809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24.519778579620809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0" t="e">
        <f t="shared" si="65"/>
        <v>#N/A</v>
      </c>
      <c r="CD120" s="60" t="e">
        <f ca="1">AVERAGE(OFFSET($CC$3,0,0,'Données projet'!$E$12+1,1))-AVERAGE(OFFSET($H$3,0,0,'Données projet'!$E$12+1,1))</f>
        <v>#N/A</v>
      </c>
      <c r="CE120" s="60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0" t="e">
        <f t="shared" si="68"/>
        <v>#N/A</v>
      </c>
      <c r="CY120" s="60" t="e">
        <f ca="1">AVERAGE(OFFSET($CX$3,0,0,'Données projet'!$E$13+1,1))-AVERAGE(OFFSET($H$3,0,0,'Données projet'!$E$13+1,1))</f>
        <v>#N/A</v>
      </c>
      <c r="CZ120" s="60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-5.6843418860808015E-13</v>
      </c>
      <c r="O121" s="14">
        <f>N121*VLOOKUP('Données projet'!$B$9,Paramètres!$A$1:$I$88,3,0)*VLOOKUP('Données projet'!$B$9,Paramètres!$A$1:$I$88,5,0)</f>
        <v>-3.39923644787632E-13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222.57099967987045</v>
      </c>
      <c r="T121" s="60">
        <f t="shared" si="88"/>
        <v>221.49027090502796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62.062100887672671</v>
      </c>
      <c r="AA121" s="23">
        <f>EXP(-LN(2)/25)*AA120+(1-EXP(-LN(2)/25))/(LN(2)/25)*Calculateur!V121*Calculateur!X121*VLOOKUP('Données projet'!$B$9,Paramètres!$A$1:$I$88,3,0)*0.475*44/12</f>
        <v>10.565896859959576</v>
      </c>
      <c r="AB121" s="23">
        <f>EXP(-LN(2)/2)*AB120+(1-EXP(-LN(2)/2))/(LN(2)/2)*V121*Y121*VLOOKUP('Données projet'!$B$9,Paramètres!$A$1:$I$88,3,0)*0.475*44/12</f>
        <v>1.6726808383076761E-6</v>
      </c>
      <c r="AC121" s="24">
        <f t="shared" si="57"/>
        <v>72.627999420313088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147.1675182177155</v>
      </c>
      <c r="AO121" s="60">
        <f t="shared" si="90"/>
        <v>115.86489547584461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88.334283409286712</v>
      </c>
      <c r="AV121" s="23">
        <f>EXP(-LN(2)/25)*AV120+(1-EXP(-LN(2)/25))/(LN(2)/25)*Calculateur!AQ121*Calculateur!AS121*VLOOKUP('Données projet'!$B$10,Paramètres!$A$1:$I$88,3,0)*0.475*44/12</f>
        <v>14.897305689398301</v>
      </c>
      <c r="AW121" s="23">
        <f>EXP(-LN(2)/2)*AW120+(1-EXP(-LN(2)/2))/(LN(2)/2)*AQ121*AT121*VLOOKUP('Données projet'!$B$10,Paramètres!$A$1:$I$88,3,0)*0.475*44/12</f>
        <v>1.4056701374666261E-3</v>
      </c>
      <c r="AX121" s="23">
        <f t="shared" si="60"/>
        <v>103.23299476882249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1.5</v>
      </c>
      <c r="BD121" s="13">
        <f>IF('Données projet'!$A$88&gt;35,BD120+BC121-BL120,IF(A121&lt;'Données projet'!$A$88,$BA$205^A121,IF(A121='Données projet'!$A$88,'Données projet'!$B$88,BD120+BC121-BL120)))</f>
        <v>217.9999999999998</v>
      </c>
      <c r="BE121" s="14">
        <f>BD121*VLOOKUP('Données projet'!$B$11,Paramètres!$A$1:$I$88,3,0)*VLOOKUP('Données projet'!$B$11,Paramètres!$A$1:$I$88,5,0)</f>
        <v>221.05199999999982</v>
      </c>
      <c r="BF121" s="14">
        <f t="shared" si="91"/>
        <v>54.343469202939204</v>
      </c>
      <c r="BG121" s="22">
        <f t="shared" si="61"/>
        <v>479.64710886178545</v>
      </c>
      <c r="BH121" s="60">
        <f t="shared" si="62"/>
        <v>772.98044219511871</v>
      </c>
      <c r="BI121" s="60">
        <f ca="1">AVERAGE(OFFSET($BH$3,0,0,'Données projet'!$E$11+1,1))-AVERAGE(OFFSET($H$3,0,0,'Données projet'!$E$11+1,1))</f>
        <v>166.48525819448878</v>
      </c>
      <c r="BJ121" s="60">
        <f t="shared" si="92"/>
        <v>61.876502626609977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24.038960677262637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24.038960677262637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0" t="e">
        <f t="shared" si="65"/>
        <v>#N/A</v>
      </c>
      <c r="CD121" s="60" t="e">
        <f ca="1">AVERAGE(OFFSET($CC$3,0,0,'Données projet'!$E$12+1,1))-AVERAGE(OFFSET($H$3,0,0,'Données projet'!$E$12+1,1))</f>
        <v>#N/A</v>
      </c>
      <c r="CE121" s="60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0" t="e">
        <f t="shared" si="68"/>
        <v>#N/A</v>
      </c>
      <c r="CY121" s="60" t="e">
        <f ca="1">AVERAGE(OFFSET($CX$3,0,0,'Données projet'!$E$13+1,1))-AVERAGE(OFFSET($H$3,0,0,'Données projet'!$E$13+1,1))</f>
        <v>#N/A</v>
      </c>
      <c r="CZ121" s="60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-5.6843418860808015E-13</v>
      </c>
      <c r="O122" s="14">
        <f>N122*VLOOKUP('Données projet'!$B$9,Paramètres!$A$1:$I$88,3,0)*VLOOKUP('Données projet'!$B$9,Paramètres!$A$1:$I$88,5,0)</f>
        <v>-3.39923644787632E-13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222.57099967987045</v>
      </c>
      <c r="T122" s="60">
        <f t="shared" si="88"/>
        <v>221.49027090502796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60.845100943409165</v>
      </c>
      <c r="AA122" s="23">
        <f>EXP(-LN(2)/25)*AA121+(1-EXP(-LN(2)/25))/(LN(2)/25)*Calculateur!V122*Calculateur!X122*VLOOKUP('Données projet'!$B$9,Paramètres!$A$1:$I$88,3,0)*0.475*44/12</f>
        <v>10.276971854687615</v>
      </c>
      <c r="AB122" s="23">
        <f>EXP(-LN(2)/2)*AB121+(1-EXP(-LN(2)/2))/(LN(2)/2)*V122*Y122*VLOOKUP('Données projet'!$B$9,Paramètres!$A$1:$I$88,3,0)*0.475*44/12</f>
        <v>1.1827639635281568E-6</v>
      </c>
      <c r="AC122" s="24">
        <f t="shared" si="57"/>
        <v>71.122073980860748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147.1675182177155</v>
      </c>
      <c r="AO122" s="60">
        <f t="shared" si="90"/>
        <v>115.86489547584461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86.602101990223417</v>
      </c>
      <c r="AV122" s="23">
        <f>EXP(-LN(2)/25)*AV121+(1-EXP(-LN(2)/25))/(LN(2)/25)*Calculateur!AQ122*Calculateur!AS122*VLOOKUP('Données projet'!$B$10,Paramètres!$A$1:$I$88,3,0)*0.475*44/12</f>
        <v>14.489938081906446</v>
      </c>
      <c r="AW122" s="23">
        <f>EXP(-LN(2)/2)*AW121+(1-EXP(-LN(2)/2))/(LN(2)/2)*AQ122*AT122*VLOOKUP('Données projet'!$B$10,Paramètres!$A$1:$I$88,3,0)*0.475*44/12</f>
        <v>9.9395888631407777E-4</v>
      </c>
      <c r="AX122" s="23">
        <f t="shared" si="60"/>
        <v>101.09303403101617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1.5</v>
      </c>
      <c r="BD122" s="13">
        <f>IF('Données projet'!$A$88&gt;35,BD121+BC122-BL121,IF(A122&lt;'Données projet'!$A$88,$BA$205^A122,IF(A122='Données projet'!$A$88,'Données projet'!$B$88,BD121+BC122-BL121)))</f>
        <v>219.4999999999998</v>
      </c>
      <c r="BE122" s="14">
        <f>BD122*VLOOKUP('Données projet'!$B$11,Paramètres!$A$1:$I$88,3,0)*VLOOKUP('Données projet'!$B$11,Paramètres!$A$1:$I$88,5,0)</f>
        <v>222.57299999999981</v>
      </c>
      <c r="BF122" s="14">
        <f t="shared" si="91"/>
        <v>54.673735551087425</v>
      </c>
      <c r="BG122" s="22">
        <f t="shared" si="61"/>
        <v>482.87139775147688</v>
      </c>
      <c r="BH122" s="60">
        <f t="shared" si="62"/>
        <v>776.20473108481019</v>
      </c>
      <c r="BI122" s="60">
        <f ca="1">AVERAGE(OFFSET($BH$3,0,0,'Données projet'!$E$11+1,1))-AVERAGE(OFFSET($H$3,0,0,'Données projet'!$E$11+1,1))</f>
        <v>166.48525819448878</v>
      </c>
      <c r="BJ122" s="60">
        <f t="shared" si="92"/>
        <v>61.876502626609977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23.567571320699745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23.567571320699745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0" t="e">
        <f t="shared" si="65"/>
        <v>#N/A</v>
      </c>
      <c r="CD122" s="60" t="e">
        <f ca="1">AVERAGE(OFFSET($CC$3,0,0,'Données projet'!$E$12+1,1))-AVERAGE(OFFSET($H$3,0,0,'Données projet'!$E$12+1,1))</f>
        <v>#N/A</v>
      </c>
      <c r="CE122" s="60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0" t="e">
        <f t="shared" si="68"/>
        <v>#N/A</v>
      </c>
      <c r="CY122" s="60" t="e">
        <f ca="1">AVERAGE(OFFSET($CX$3,0,0,'Données projet'!$E$13+1,1))-AVERAGE(OFFSET($H$3,0,0,'Données projet'!$E$13+1,1))</f>
        <v>#N/A</v>
      </c>
      <c r="CZ122" s="60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-5.6843418860808015E-13</v>
      </c>
      <c r="O123" s="14">
        <f>N123*VLOOKUP('Données projet'!$B$9,Paramètres!$A$1:$I$88,3,0)*VLOOKUP('Données projet'!$B$9,Paramètres!$A$1:$I$88,5,0)</f>
        <v>-3.39923644787632E-13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222.57099967987045</v>
      </c>
      <c r="T123" s="60">
        <f t="shared" si="88"/>
        <v>221.49027090502796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59.651965625755999</v>
      </c>
      <c r="AA123" s="23">
        <f>EXP(-LN(2)/25)*AA122+(1-EXP(-LN(2)/25))/(LN(2)/25)*Calculateur!V123*Calculateur!X123*VLOOKUP('Données projet'!$B$9,Paramètres!$A$1:$I$88,3,0)*0.475*44/12</f>
        <v>9.9959475188787206</v>
      </c>
      <c r="AB123" s="23">
        <f>EXP(-LN(2)/2)*AB122+(1-EXP(-LN(2)/2))/(LN(2)/2)*V123*Y123*VLOOKUP('Données projet'!$B$9,Paramètres!$A$1:$I$88,3,0)*0.475*44/12</f>
        <v>8.3634041915383804E-7</v>
      </c>
      <c r="AC123" s="24">
        <f t="shared" si="57"/>
        <v>69.647913980975133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147.1675182177155</v>
      </c>
      <c r="AO123" s="60">
        <f t="shared" si="90"/>
        <v>115.86489547584461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84.903887592261597</v>
      </c>
      <c r="AV123" s="23">
        <f>EXP(-LN(2)/25)*AV122+(1-EXP(-LN(2)/25))/(LN(2)/25)*Calculateur!AQ123*Calculateur!AS123*VLOOKUP('Données projet'!$B$10,Paramètres!$A$1:$I$88,3,0)*0.475*44/12</f>
        <v>14.093709963063988</v>
      </c>
      <c r="AW123" s="23">
        <f>EXP(-LN(2)/2)*AW122+(1-EXP(-LN(2)/2))/(LN(2)/2)*AQ123*AT123*VLOOKUP('Données projet'!$B$10,Paramètres!$A$1:$I$88,3,0)*0.475*44/12</f>
        <v>7.0283506873331306E-4</v>
      </c>
      <c r="AX123" s="23">
        <f t="shared" si="60"/>
        <v>98.99830039039432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221</v>
      </c>
      <c r="BB123" s="13">
        <f>VLOOKUP(A123,'Données projet'!$A$87:$I$107,9,0)</f>
        <v>1.5</v>
      </c>
      <c r="BC123" s="13">
        <f t="array" ref="BC123">INDEX(BB:BB,MIN(IF(ISNUMBER(BB123:BB319),ROW(BB123:BB319),"")))</f>
        <v>1.5</v>
      </c>
      <c r="BD123" s="13">
        <f>IF('Données projet'!$A$88&gt;35,BD122+BC123-BL122,IF(A123&lt;'Données projet'!$A$88,$BA$205^A123,IF(A123='Données projet'!$A$88,'Données projet'!$B$88,BD122+BC123-BL122)))</f>
        <v>220.9999999999998</v>
      </c>
      <c r="BE123" s="14">
        <f>BD123*VLOOKUP('Données projet'!$B$11,Paramètres!$A$1:$I$88,3,0)*VLOOKUP('Données projet'!$B$11,Paramètres!$A$1:$I$88,5,0)</f>
        <v>224.0939999999998</v>
      </c>
      <c r="BF123" s="14">
        <f t="shared" si="91"/>
        <v>55.003739293082667</v>
      </c>
      <c r="BG123" s="22">
        <f t="shared" si="61"/>
        <v>486.09522926878526</v>
      </c>
      <c r="BH123" s="60">
        <f t="shared" si="62"/>
        <v>779.42856260211852</v>
      </c>
      <c r="BI123" s="60">
        <f ca="1">AVERAGE(OFFSET($BH$3,0,0,'Données projet'!$E$11+1,1))-AVERAGE(OFFSET($H$3,0,0,'Données projet'!$E$11+1,1))</f>
        <v>166.48525819448878</v>
      </c>
      <c r="BJ123" s="60">
        <f t="shared" si="92"/>
        <v>61.876502626609977</v>
      </c>
      <c r="BK123" s="16">
        <f>IF(ISNA(VLOOKUP(A123,'Données projet'!$A$87:$I$107,3,0)),0,VLOOKUP(A123,'Données projet'!$A$87:$I$107,3,0))</f>
        <v>18</v>
      </c>
      <c r="BL123" s="16">
        <f>IF(ISNA(VLOOKUP(A123,'Données projet'!$A$87:$I$107,4,0)),0,VLOOKUP(A123,'Données projet'!$A$87:$I$107,4,0))</f>
        <v>12</v>
      </c>
      <c r="BM123" s="17">
        <f>IF(ISNA(VLOOKUP(A123,'Données projet'!$A$87:$I$107,5,0)),0%,VLOOKUP(A123,'Données projet'!$A$87:$I$107,5,0)*VLOOKUP('Données projet'!$B$11,Paramètres!$A$1:$I$88,7,0))</f>
        <v>0.34400000000000003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27.732694692785923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27.732694692785923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0" t="e">
        <f t="shared" si="65"/>
        <v>#N/A</v>
      </c>
      <c r="CD123" s="60" t="e">
        <f ca="1">AVERAGE(OFFSET($CC$3,0,0,'Données projet'!$E$12+1,1))-AVERAGE(OFFSET($H$3,0,0,'Données projet'!$E$12+1,1))</f>
        <v>#N/A</v>
      </c>
      <c r="CE123" s="60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0" t="e">
        <f t="shared" si="68"/>
        <v>#N/A</v>
      </c>
      <c r="CY123" s="60" t="e">
        <f ca="1">AVERAGE(OFFSET($CX$3,0,0,'Données projet'!$E$13+1,1))-AVERAGE(OFFSET($H$3,0,0,'Données projet'!$E$13+1,1))</f>
        <v>#N/A</v>
      </c>
      <c r="CZ123" s="60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-5.6843418860808015E-13</v>
      </c>
      <c r="O124" s="14">
        <f>N124*VLOOKUP('Données projet'!$B$9,Paramètres!$A$1:$I$88,3,0)*VLOOKUP('Données projet'!$B$9,Paramètres!$A$1:$I$88,5,0)</f>
        <v>-3.39923644787632E-13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222.57099967987045</v>
      </c>
      <c r="T124" s="60">
        <f t="shared" si="88"/>
        <v>221.49027090502796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58.482226963941322</v>
      </c>
      <c r="AA124" s="23">
        <f>EXP(-LN(2)/25)*AA123+(1-EXP(-LN(2)/25))/(LN(2)/25)*Calculateur!V124*Calculateur!X124*VLOOKUP('Données projet'!$B$9,Paramètres!$A$1:$I$88,3,0)*0.475*44/12</f>
        <v>9.7226078083109488</v>
      </c>
      <c r="AB124" s="23">
        <f>EXP(-LN(2)/2)*AB123+(1-EXP(-LN(2)/2))/(LN(2)/2)*V124*Y124*VLOOKUP('Données projet'!$B$9,Paramètres!$A$1:$I$88,3,0)*0.475*44/12</f>
        <v>5.9138198176407838E-7</v>
      </c>
      <c r="AC124" s="24">
        <f t="shared" si="57"/>
        <v>68.204835363634245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147.1675182177155</v>
      </c>
      <c r="AO124" s="60">
        <f t="shared" si="90"/>
        <v>115.86489547584461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83.238974142835303</v>
      </c>
      <c r="AV124" s="23">
        <f>EXP(-LN(2)/25)*AV123+(1-EXP(-LN(2)/25))/(LN(2)/25)*Calculateur!AQ124*Calculateur!AS124*VLOOKUP('Données projet'!$B$10,Paramètres!$A$1:$I$88,3,0)*0.475*44/12</f>
        <v>13.708316722968007</v>
      </c>
      <c r="AW124" s="23">
        <f>EXP(-LN(2)/2)*AW123+(1-EXP(-LN(2)/2))/(LN(2)/2)*AQ124*AT124*VLOOKUP('Données projet'!$B$10,Paramètres!$A$1:$I$88,3,0)*0.475*44/12</f>
        <v>4.9697944315703888E-4</v>
      </c>
      <c r="AX124" s="23">
        <f t="shared" si="60"/>
        <v>96.947787845246467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1.1000000000000001</v>
      </c>
      <c r="BD124" s="13">
        <f>IF('Données projet'!$A$88&gt;35,BD123+BC124-BL123,IF(A124&lt;'Données projet'!$A$88,$BA$205^A124,IF(A124='Données projet'!$A$88,'Données projet'!$B$88,BD123+BC124-BL123)))</f>
        <v>210.0999999999998</v>
      </c>
      <c r="BE124" s="14">
        <f>BD124*VLOOKUP('Données projet'!$B$11,Paramètres!$A$1:$I$88,3,0)*VLOOKUP('Données projet'!$B$11,Paramètres!$A$1:$I$88,5,0)</f>
        <v>213.04139999999984</v>
      </c>
      <c r="BF124" s="14">
        <f t="shared" si="91"/>
        <v>52.599650903414428</v>
      </c>
      <c r="BG124" s="22">
        <f t="shared" si="61"/>
        <v>462.65816365677983</v>
      </c>
      <c r="BH124" s="60">
        <f t="shared" si="62"/>
        <v>755.99149699011309</v>
      </c>
      <c r="BI124" s="60">
        <f ca="1">AVERAGE(OFFSET($BH$3,0,0,'Données projet'!$E$11+1,1))-AVERAGE(OFFSET($H$3,0,0,'Données projet'!$E$11+1,1))</f>
        <v>166.48525819448878</v>
      </c>
      <c r="BJ124" s="60">
        <f t="shared" si="92"/>
        <v>61.876502626609977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27.188873465133909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27.188873465133909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0" t="e">
        <f t="shared" si="65"/>
        <v>#N/A</v>
      </c>
      <c r="CD124" s="60" t="e">
        <f ca="1">AVERAGE(OFFSET($CC$3,0,0,'Données projet'!$E$12+1,1))-AVERAGE(OFFSET($H$3,0,0,'Données projet'!$E$12+1,1))</f>
        <v>#N/A</v>
      </c>
      <c r="CE124" s="60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0" t="e">
        <f t="shared" si="68"/>
        <v>#N/A</v>
      </c>
      <c r="CY124" s="60" t="e">
        <f ca="1">AVERAGE(OFFSET($CX$3,0,0,'Données projet'!$E$13+1,1))-AVERAGE(OFFSET($H$3,0,0,'Données projet'!$E$13+1,1))</f>
        <v>#N/A</v>
      </c>
      <c r="CZ124" s="60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-5.6843418860808015E-13</v>
      </c>
      <c r="O125" s="14">
        <f>N125*VLOOKUP('Données projet'!$B$9,Paramètres!$A$1:$I$88,3,0)*VLOOKUP('Données projet'!$B$9,Paramètres!$A$1:$I$88,5,0)</f>
        <v>-3.39923644787632E-13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222.57099967987045</v>
      </c>
      <c r="T125" s="60">
        <f t="shared" si="88"/>
        <v>221.49027090502796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57.335426163814695</v>
      </c>
      <c r="AA125" s="23">
        <f>EXP(-LN(2)/25)*AA124+(1-EXP(-LN(2)/25))/(LN(2)/25)*Calculateur!V125*Calculateur!X125*VLOOKUP('Données projet'!$B$9,Paramètres!$A$1:$I$88,3,0)*0.475*44/12</f>
        <v>9.456742586502962</v>
      </c>
      <c r="AB125" s="23">
        <f>EXP(-LN(2)/2)*AB124+(1-EXP(-LN(2)/2))/(LN(2)/2)*V125*Y125*VLOOKUP('Données projet'!$B$9,Paramètres!$A$1:$I$88,3,0)*0.475*44/12</f>
        <v>4.1817020957691902E-7</v>
      </c>
      <c r="AC125" s="24">
        <f t="shared" si="57"/>
        <v>66.792169168487874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147.1675182177155</v>
      </c>
      <c r="AO125" s="60">
        <f t="shared" si="90"/>
        <v>115.86489547584461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81.606708630655334</v>
      </c>
      <c r="AV125" s="23">
        <f>EXP(-LN(2)/25)*AV124+(1-EXP(-LN(2)/25))/(LN(2)/25)*Calculateur!AQ125*Calculateur!AS125*VLOOKUP('Données projet'!$B$10,Paramètres!$A$1:$I$88,3,0)*0.475*44/12</f>
        <v>13.333462081289401</v>
      </c>
      <c r="AW125" s="23">
        <f>EXP(-LN(2)/2)*AW124+(1-EXP(-LN(2)/2))/(LN(2)/2)*AQ125*AT125*VLOOKUP('Données projet'!$B$10,Paramètres!$A$1:$I$88,3,0)*0.475*44/12</f>
        <v>3.5141753436665653E-4</v>
      </c>
      <c r="AX125" s="23">
        <f t="shared" si="60"/>
        <v>94.940522129479092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1.1000000000000001</v>
      </c>
      <c r="BD125" s="13">
        <f>IF('Données projet'!$A$88&gt;35,BD124+BC125-BL124,IF(A125&lt;'Données projet'!$A$88,$BA$205^A125,IF(A125='Données projet'!$A$88,'Données projet'!$B$88,BD124+BC125-BL124)))</f>
        <v>211.19999999999979</v>
      </c>
      <c r="BE125" s="14">
        <f>BD125*VLOOKUP('Données projet'!$B$11,Paramètres!$A$1:$I$88,3,0)*VLOOKUP('Données projet'!$B$11,Paramètres!$A$1:$I$88,5,0)</f>
        <v>214.15679999999978</v>
      </c>
      <c r="BF125" s="14">
        <f t="shared" si="91"/>
        <v>52.842912248636601</v>
      </c>
      <c r="BG125" s="22">
        <f t="shared" si="61"/>
        <v>465.02449883304172</v>
      </c>
      <c r="BH125" s="60">
        <f t="shared" si="62"/>
        <v>758.35783216637503</v>
      </c>
      <c r="BI125" s="60">
        <f ca="1">AVERAGE(OFFSET($BH$3,0,0,'Données projet'!$E$11+1,1))-AVERAGE(OFFSET($H$3,0,0,'Données projet'!$E$11+1,1))</f>
        <v>166.48525819448878</v>
      </c>
      <c r="BJ125" s="60">
        <f t="shared" si="92"/>
        <v>61.876502626609977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26.655716240057956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26.655716240057956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0" t="e">
        <f t="shared" si="65"/>
        <v>#N/A</v>
      </c>
      <c r="CD125" s="60" t="e">
        <f ca="1">AVERAGE(OFFSET($CC$3,0,0,'Données projet'!$E$12+1,1))-AVERAGE(OFFSET($H$3,0,0,'Données projet'!$E$12+1,1))</f>
        <v>#N/A</v>
      </c>
      <c r="CE125" s="60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0" t="e">
        <f t="shared" si="68"/>
        <v>#N/A</v>
      </c>
      <c r="CY125" s="60" t="e">
        <f ca="1">AVERAGE(OFFSET($CX$3,0,0,'Données projet'!$E$13+1,1))-AVERAGE(OFFSET($H$3,0,0,'Données projet'!$E$13+1,1))</f>
        <v>#N/A</v>
      </c>
      <c r="CZ125" s="60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-5.6843418860808015E-13</v>
      </c>
      <c r="O126" s="14">
        <f>N126*VLOOKUP('Données projet'!$B$9,Paramètres!$A$1:$I$88,3,0)*VLOOKUP('Données projet'!$B$9,Paramètres!$A$1:$I$88,5,0)</f>
        <v>-3.39923644787632E-13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222.57099967987045</v>
      </c>
      <c r="T126" s="60">
        <f t="shared" si="88"/>
        <v>221.49027090502796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56.211113427899136</v>
      </c>
      <c r="AA126" s="23">
        <f>EXP(-LN(2)/25)*AA125+(1-EXP(-LN(2)/25))/(LN(2)/25)*Calculateur!V126*Calculateur!X126*VLOOKUP('Données projet'!$B$9,Paramètres!$A$1:$I$88,3,0)*0.475*44/12</f>
        <v>9.1981474631665598</v>
      </c>
      <c r="AB126" s="23">
        <f>EXP(-LN(2)/2)*AB125+(1-EXP(-LN(2)/2))/(LN(2)/2)*V126*Y126*VLOOKUP('Données projet'!$B$9,Paramètres!$A$1:$I$88,3,0)*0.475*44/12</f>
        <v>2.9569099088203919E-7</v>
      </c>
      <c r="AC126" s="24">
        <f t="shared" si="57"/>
        <v>65.409261186756694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147.1675182177155</v>
      </c>
      <c r="AO126" s="60">
        <f t="shared" si="90"/>
        <v>115.86489547584461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80.006450849585562</v>
      </c>
      <c r="AV126" s="23">
        <f>EXP(-LN(2)/25)*AV125+(1-EXP(-LN(2)/25))/(LN(2)/25)*Calculateur!AQ126*Calculateur!AS126*VLOOKUP('Données projet'!$B$10,Paramètres!$A$1:$I$88,3,0)*0.475*44/12</f>
        <v>12.968857859500245</v>
      </c>
      <c r="AW126" s="23">
        <f>EXP(-LN(2)/2)*AW125+(1-EXP(-LN(2)/2))/(LN(2)/2)*AQ126*AT126*VLOOKUP('Données projet'!$B$10,Paramètres!$A$1:$I$88,3,0)*0.475*44/12</f>
        <v>2.4848972157851944E-4</v>
      </c>
      <c r="AX126" s="23">
        <f t="shared" si="60"/>
        <v>92.975557198807394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1.1000000000000001</v>
      </c>
      <c r="BD126" s="13">
        <f>IF('Données projet'!$A$88&gt;35,BD125+BC126-BL125,IF(A126&lt;'Données projet'!$A$88,$BA$205^A126,IF(A126='Données projet'!$A$88,'Données projet'!$B$88,BD125+BC126-BL125)))</f>
        <v>212.29999999999978</v>
      </c>
      <c r="BE126" s="14">
        <f>BD126*VLOOKUP('Données projet'!$B$11,Paramètres!$A$1:$I$88,3,0)*VLOOKUP('Données projet'!$B$11,Paramètres!$A$1:$I$88,5,0)</f>
        <v>215.2721999999998</v>
      </c>
      <c r="BF126" s="14">
        <f t="shared" si="91"/>
        <v>53.086026160658108</v>
      </c>
      <c r="BG126" s="22">
        <f t="shared" si="61"/>
        <v>467.39057722981255</v>
      </c>
      <c r="BH126" s="60">
        <f t="shared" si="62"/>
        <v>760.72391056314586</v>
      </c>
      <c r="BI126" s="60">
        <f ca="1">AVERAGE(OFFSET($BH$3,0,0,'Données projet'!$E$11+1,1))-AVERAGE(OFFSET($H$3,0,0,'Données projet'!$E$11+1,1))</f>
        <v>166.48525819448878</v>
      </c>
      <c r="BJ126" s="60">
        <f t="shared" si="92"/>
        <v>61.876502626609977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26.133013902971943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26.133013902971943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0" t="e">
        <f t="shared" si="65"/>
        <v>#N/A</v>
      </c>
      <c r="CD126" s="60" t="e">
        <f ca="1">AVERAGE(OFFSET($CC$3,0,0,'Données projet'!$E$12+1,1))-AVERAGE(OFFSET($H$3,0,0,'Données projet'!$E$12+1,1))</f>
        <v>#N/A</v>
      </c>
      <c r="CE126" s="60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0" t="e">
        <f t="shared" si="68"/>
        <v>#N/A</v>
      </c>
      <c r="CY126" s="60" t="e">
        <f ca="1">AVERAGE(OFFSET($CX$3,0,0,'Données projet'!$E$13+1,1))-AVERAGE(OFFSET($H$3,0,0,'Données projet'!$E$13+1,1))</f>
        <v>#N/A</v>
      </c>
      <c r="CZ126" s="60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-5.6843418860808015E-13</v>
      </c>
      <c r="O127" s="14">
        <f>N127*VLOOKUP('Données projet'!$B$9,Paramètres!$A$1:$I$88,3,0)*VLOOKUP('Données projet'!$B$9,Paramètres!$A$1:$I$88,5,0)</f>
        <v>-3.39923644787632E-13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222.57099967987045</v>
      </c>
      <c r="T127" s="60">
        <f t="shared" si="88"/>
        <v>221.49027090502796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55.108847778971821</v>
      </c>
      <c r="AA127" s="23">
        <f>EXP(-LN(2)/25)*AA126+(1-EXP(-LN(2)/25))/(LN(2)/25)*Calculateur!V127*Calculateur!X127*VLOOKUP('Données projet'!$B$9,Paramètres!$A$1:$I$88,3,0)*0.475*44/12</f>
        <v>8.9466236370767174</v>
      </c>
      <c r="AB127" s="23">
        <f>EXP(-LN(2)/2)*AB126+(1-EXP(-LN(2)/2))/(LN(2)/2)*V127*Y127*VLOOKUP('Données projet'!$B$9,Paramètres!$A$1:$I$88,3,0)*0.475*44/12</f>
        <v>2.0908510478845951E-7</v>
      </c>
      <c r="AC127" s="24">
        <f t="shared" si="57"/>
        <v>64.055471625133634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147.1675182177155</v>
      </c>
      <c r="AO127" s="60">
        <f t="shared" si="90"/>
        <v>115.86489547584461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78.437573147541698</v>
      </c>
      <c r="AV127" s="23">
        <f>EXP(-LN(2)/25)*AV126+(1-EXP(-LN(2)/25))/(LN(2)/25)*Calculateur!AQ127*Calculateur!AS127*VLOOKUP('Données projet'!$B$10,Paramètres!$A$1:$I$88,3,0)*0.475*44/12</f>
        <v>12.614223759329617</v>
      </c>
      <c r="AW127" s="23">
        <f>EXP(-LN(2)/2)*AW126+(1-EXP(-LN(2)/2))/(LN(2)/2)*AQ127*AT127*VLOOKUP('Données projet'!$B$10,Paramètres!$A$1:$I$88,3,0)*0.475*44/12</f>
        <v>1.7570876718332826E-4</v>
      </c>
      <c r="AX127" s="23">
        <f t="shared" si="60"/>
        <v>91.051972615638505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1.1000000000000001</v>
      </c>
      <c r="BD127" s="13">
        <f>IF('Données projet'!$A$88&gt;35,BD126+BC127-BL126,IF(A127&lt;'Données projet'!$A$88,$BA$205^A127,IF(A127='Données projet'!$A$88,'Données projet'!$B$88,BD126+BC127-BL126)))</f>
        <v>213.39999999999978</v>
      </c>
      <c r="BE127" s="14">
        <f>BD127*VLOOKUP('Données projet'!$B$11,Paramètres!$A$1:$I$88,3,0)*VLOOKUP('Données projet'!$B$11,Paramètres!$A$1:$I$88,5,0)</f>
        <v>216.38759999999979</v>
      </c>
      <c r="BF127" s="14">
        <f t="shared" si="91"/>
        <v>53.328993492050309</v>
      </c>
      <c r="BG127" s="22">
        <f t="shared" si="61"/>
        <v>469.75640033198715</v>
      </c>
      <c r="BH127" s="60">
        <f t="shared" si="62"/>
        <v>763.08973366532041</v>
      </c>
      <c r="BI127" s="60">
        <f ca="1">AVERAGE(OFFSET($BH$3,0,0,'Données projet'!$E$11+1,1))-AVERAGE(OFFSET($H$3,0,0,'Données projet'!$E$11+1,1))</f>
        <v>166.48525819448878</v>
      </c>
      <c r="BJ127" s="60">
        <f t="shared" si="92"/>
        <v>61.876502626609977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25.620561439899241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25.620561439899241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0" t="e">
        <f t="shared" si="65"/>
        <v>#N/A</v>
      </c>
      <c r="CD127" s="60" t="e">
        <f ca="1">AVERAGE(OFFSET($CC$3,0,0,'Données projet'!$E$12+1,1))-AVERAGE(OFFSET($H$3,0,0,'Données projet'!$E$12+1,1))</f>
        <v>#N/A</v>
      </c>
      <c r="CE127" s="60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0" t="e">
        <f t="shared" si="68"/>
        <v>#N/A</v>
      </c>
      <c r="CY127" s="60" t="e">
        <f ca="1">AVERAGE(OFFSET($CX$3,0,0,'Données projet'!$E$13+1,1))-AVERAGE(OFFSET($H$3,0,0,'Données projet'!$E$13+1,1))</f>
        <v>#N/A</v>
      </c>
      <c r="CZ127" s="60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-5.6843418860808015E-13</v>
      </c>
      <c r="O128" s="14">
        <f>N128*VLOOKUP('Données projet'!$B$9,Paramètres!$A$1:$I$88,3,0)*VLOOKUP('Données projet'!$B$9,Paramètres!$A$1:$I$88,5,0)</f>
        <v>-3.39923644787632E-13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222.57099967987045</v>
      </c>
      <c r="T128" s="60">
        <f t="shared" si="88"/>
        <v>221.49027090502796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54.028196887104315</v>
      </c>
      <c r="AA128" s="23">
        <f>EXP(-LN(2)/25)*AA127+(1-EXP(-LN(2)/25))/(LN(2)/25)*Calculateur!V128*Calculateur!X128*VLOOKUP('Données projet'!$B$9,Paramètres!$A$1:$I$88,3,0)*0.475*44/12</f>
        <v>8.7019777432383645</v>
      </c>
      <c r="AB128" s="23">
        <f>EXP(-LN(2)/2)*AB127+(1-EXP(-LN(2)/2))/(LN(2)/2)*V128*Y128*VLOOKUP('Données projet'!$B$9,Paramètres!$A$1:$I$88,3,0)*0.475*44/12</f>
        <v>1.478454954410196E-7</v>
      </c>
      <c r="AC128" s="24">
        <f t="shared" si="57"/>
        <v>62.730174778188179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147.1675182177155</v>
      </c>
      <c r="AO128" s="60">
        <f t="shared" si="90"/>
        <v>115.86489547584461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76.899460180313994</v>
      </c>
      <c r="AV128" s="23">
        <f>EXP(-LN(2)/25)*AV127+(1-EXP(-LN(2)/25))/(LN(2)/25)*Calculateur!AQ128*Calculateur!AS128*VLOOKUP('Données projet'!$B$10,Paramètres!$A$1:$I$88,3,0)*0.475*44/12</f>
        <v>12.26928714727755</v>
      </c>
      <c r="AW128" s="23">
        <f>EXP(-LN(2)/2)*AW127+(1-EXP(-LN(2)/2))/(LN(2)/2)*AQ128*AT128*VLOOKUP('Données projet'!$B$10,Paramètres!$A$1:$I$88,3,0)*0.475*44/12</f>
        <v>1.2424486078925972E-4</v>
      </c>
      <c r="AX128" s="23">
        <f t="shared" si="60"/>
        <v>89.168871572452332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1.1000000000000001</v>
      </c>
      <c r="BD128" s="13">
        <f>IF('Données projet'!$A$88&gt;35,BD127+BC128-BL127,IF(A128&lt;'Données projet'!$A$88,$BA$205^A128,IF(A128='Données projet'!$A$88,'Données projet'!$B$88,BD127+BC128-BL127)))</f>
        <v>214.49999999999977</v>
      </c>
      <c r="BE128" s="14">
        <f>BD128*VLOOKUP('Données projet'!$B$11,Paramètres!$A$1:$I$88,3,0)*VLOOKUP('Données projet'!$B$11,Paramètres!$A$1:$I$88,5,0)</f>
        <v>217.50299999999982</v>
      </c>
      <c r="BF128" s="14">
        <f t="shared" si="91"/>
        <v>53.571815086086332</v>
      </c>
      <c r="BG128" s="22">
        <f t="shared" si="61"/>
        <v>472.12196960826662</v>
      </c>
      <c r="BH128" s="60">
        <f t="shared" si="62"/>
        <v>765.45530294159994</v>
      </c>
      <c r="BI128" s="60">
        <f ca="1">AVERAGE(OFFSET($BH$3,0,0,'Données projet'!$E$11+1,1))-AVERAGE(OFFSET($H$3,0,0,'Données projet'!$E$11+1,1))</f>
        <v>166.48525819448878</v>
      </c>
      <c r="BJ128" s="60">
        <f t="shared" si="92"/>
        <v>61.876502626609977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25.118157857062258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25.118157857062258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0" t="e">
        <f t="shared" si="65"/>
        <v>#N/A</v>
      </c>
      <c r="CD128" s="60" t="e">
        <f ca="1">AVERAGE(OFFSET($CC$3,0,0,'Données projet'!$E$12+1,1))-AVERAGE(OFFSET($H$3,0,0,'Données projet'!$E$12+1,1))</f>
        <v>#N/A</v>
      </c>
      <c r="CE128" s="60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0" t="e">
        <f t="shared" si="68"/>
        <v>#N/A</v>
      </c>
      <c r="CY128" s="60" t="e">
        <f ca="1">AVERAGE(OFFSET($CX$3,0,0,'Données projet'!$E$13+1,1))-AVERAGE(OFFSET($H$3,0,0,'Données projet'!$E$13+1,1))</f>
        <v>#N/A</v>
      </c>
      <c r="CZ128" s="60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-5.6843418860808015E-13</v>
      </c>
      <c r="O129" s="14">
        <f>N129*VLOOKUP('Données projet'!$B$9,Paramètres!$A$1:$I$88,3,0)*VLOOKUP('Données projet'!$B$9,Paramètres!$A$1:$I$88,5,0)</f>
        <v>-3.39923644787632E-13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222.57099967987045</v>
      </c>
      <c r="T129" s="60">
        <f t="shared" si="88"/>
        <v>221.49027090502796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52.96873690009437</v>
      </c>
      <c r="AA129" s="23">
        <f>EXP(-LN(2)/25)*AA128+(1-EXP(-LN(2)/25))/(LN(2)/25)*Calculateur!V129*Calculateur!X129*VLOOKUP('Données projet'!$B$9,Paramètres!$A$1:$I$88,3,0)*0.475*44/12</f>
        <v>8.4640217042323904</v>
      </c>
      <c r="AB129" s="23">
        <f>EXP(-LN(2)/2)*AB128+(1-EXP(-LN(2)/2))/(LN(2)/2)*V129*Y129*VLOOKUP('Données projet'!$B$9,Paramètres!$A$1:$I$88,3,0)*0.475*44/12</f>
        <v>1.0454255239422975E-7</v>
      </c>
      <c r="AC129" s="24">
        <f t="shared" si="57"/>
        <v>61.432758708869315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147.1675182177155</v>
      </c>
      <c r="AO129" s="60">
        <f t="shared" si="90"/>
        <v>115.86489547584461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75.391508670217362</v>
      </c>
      <c r="AV129" s="23">
        <f>EXP(-LN(2)/25)*AV128+(1-EXP(-LN(2)/25))/(LN(2)/25)*Calculateur!AQ129*Calculateur!AS129*VLOOKUP('Données projet'!$B$10,Paramètres!$A$1:$I$88,3,0)*0.475*44/12</f>
        <v>11.933782845021476</v>
      </c>
      <c r="AW129" s="23">
        <f>EXP(-LN(2)/2)*AW128+(1-EXP(-LN(2)/2))/(LN(2)/2)*AQ129*AT129*VLOOKUP('Données projet'!$B$10,Paramètres!$A$1:$I$88,3,0)*0.475*44/12</f>
        <v>8.7854383591664132E-5</v>
      </c>
      <c r="AX129" s="23">
        <f t="shared" si="60"/>
        <v>87.325379369622425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1.1000000000000001</v>
      </c>
      <c r="BD129" s="13">
        <f>IF('Données projet'!$A$88&gt;35,BD128+BC129-BL128,IF(A129&lt;'Données projet'!$A$88,$BA$205^A129,IF(A129='Données projet'!$A$88,'Données projet'!$B$88,BD128+BC129-BL128)))</f>
        <v>215.59999999999977</v>
      </c>
      <c r="BE129" s="14">
        <f>BD129*VLOOKUP('Données projet'!$B$11,Paramètres!$A$1:$I$88,3,0)*VLOOKUP('Données projet'!$B$11,Paramètres!$A$1:$I$88,5,0)</f>
        <v>218.61839999999975</v>
      </c>
      <c r="BF129" s="14">
        <f t="shared" si="91"/>
        <v>53.81449177688954</v>
      </c>
      <c r="BG129" s="22">
        <f t="shared" si="61"/>
        <v>474.48728651141545</v>
      </c>
      <c r="BH129" s="60">
        <f t="shared" si="62"/>
        <v>767.82061984474876</v>
      </c>
      <c r="BI129" s="60">
        <f ca="1">AVERAGE(OFFSET($BH$3,0,0,'Données projet'!$E$11+1,1))-AVERAGE(OFFSET($H$3,0,0,'Données projet'!$E$11+1,1))</f>
        <v>166.48525819448878</v>
      </c>
      <c r="BJ129" s="60">
        <f t="shared" si="92"/>
        <v>61.876502626609977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24.625606102048781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24.625606102048781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0" t="e">
        <f t="shared" si="65"/>
        <v>#N/A</v>
      </c>
      <c r="CD129" s="60" t="e">
        <f ca="1">AVERAGE(OFFSET($CC$3,0,0,'Données projet'!$E$12+1,1))-AVERAGE(OFFSET($H$3,0,0,'Données projet'!$E$12+1,1))</f>
        <v>#N/A</v>
      </c>
      <c r="CE129" s="60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0" t="e">
        <f t="shared" si="68"/>
        <v>#N/A</v>
      </c>
      <c r="CY129" s="60" t="e">
        <f ca="1">AVERAGE(OFFSET($CX$3,0,0,'Données projet'!$E$13+1,1))-AVERAGE(OFFSET($H$3,0,0,'Données projet'!$E$13+1,1))</f>
        <v>#N/A</v>
      </c>
      <c r="CZ129" s="60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-5.6843418860808015E-13</v>
      </c>
      <c r="O130" s="14">
        <f>N130*VLOOKUP('Données projet'!$B$9,Paramètres!$A$1:$I$88,3,0)*VLOOKUP('Données projet'!$B$9,Paramètres!$A$1:$I$88,5,0)</f>
        <v>-3.39923644787632E-13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222.57099967987045</v>
      </c>
      <c r="T130" s="60">
        <f t="shared" si="88"/>
        <v>221.49027090502796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51.930052277222906</v>
      </c>
      <c r="AA130" s="23">
        <f>EXP(-LN(2)/25)*AA129+(1-EXP(-LN(2)/25))/(LN(2)/25)*Calculateur!V130*Calculateur!X130*VLOOKUP('Données projet'!$B$9,Paramètres!$A$1:$I$88,3,0)*0.475*44/12</f>
        <v>8.232572585626599</v>
      </c>
      <c r="AB130" s="23">
        <f>EXP(-LN(2)/2)*AB129+(1-EXP(-LN(2)/2))/(LN(2)/2)*V130*Y130*VLOOKUP('Données projet'!$B$9,Paramètres!$A$1:$I$88,3,0)*0.475*44/12</f>
        <v>7.3922747720509798E-8</v>
      </c>
      <c r="AC130" s="24">
        <f t="shared" si="57"/>
        <v>60.162624936772254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147.1675182177155</v>
      </c>
      <c r="AO130" s="60">
        <f t="shared" si="90"/>
        <v>115.86489547584461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73.913127169474123</v>
      </c>
      <c r="AV130" s="23">
        <f>EXP(-LN(2)/25)*AV129+(1-EXP(-LN(2)/25))/(LN(2)/25)*Calculateur!AQ130*Calculateur!AS130*VLOOKUP('Données projet'!$B$10,Paramètres!$A$1:$I$88,3,0)*0.475*44/12</f>
        <v>11.607452925553998</v>
      </c>
      <c r="AW130" s="23">
        <f>EXP(-LN(2)/2)*AW129+(1-EXP(-LN(2)/2))/(LN(2)/2)*AQ130*AT130*VLOOKUP('Données projet'!$B$10,Paramètres!$A$1:$I$88,3,0)*0.475*44/12</f>
        <v>6.212243039462986E-5</v>
      </c>
      <c r="AX130" s="23">
        <f t="shared" si="60"/>
        <v>85.520642217458516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1.1000000000000001</v>
      </c>
      <c r="BD130" s="13">
        <f>IF('Données projet'!$A$88&gt;35,BD129+BC130-BL129,IF(A130&lt;'Données projet'!$A$88,$BA$205^A130,IF(A130='Données projet'!$A$88,'Données projet'!$B$88,BD129+BC130-BL129)))</f>
        <v>216.69999999999976</v>
      </c>
      <c r="BE130" s="14">
        <f>BD130*VLOOKUP('Données projet'!$B$11,Paramètres!$A$1:$I$88,3,0)*VLOOKUP('Données projet'!$B$11,Paramètres!$A$1:$I$88,5,0)</f>
        <v>219.73379999999977</v>
      </c>
      <c r="BF130" s="14">
        <f t="shared" si="91"/>
        <v>54.057024389579063</v>
      </c>
      <c r="BG130" s="22">
        <f t="shared" si="61"/>
        <v>476.85235247851648</v>
      </c>
      <c r="BH130" s="60">
        <f t="shared" si="62"/>
        <v>770.18568581184979</v>
      </c>
      <c r="BI130" s="60">
        <f ca="1">AVERAGE(OFFSET($BH$3,0,0,'Données projet'!$E$11+1,1))-AVERAGE(OFFSET($H$3,0,0,'Données projet'!$E$11+1,1))</f>
        <v>166.48525819448878</v>
      </c>
      <c r="BJ130" s="60">
        <f t="shared" si="92"/>
        <v>61.876502626609977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24.142712986524213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24.142712986524213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0" t="e">
        <f t="shared" si="65"/>
        <v>#N/A</v>
      </c>
      <c r="CD130" s="60" t="e">
        <f ca="1">AVERAGE(OFFSET($CC$3,0,0,'Données projet'!$E$12+1,1))-AVERAGE(OFFSET($H$3,0,0,'Données projet'!$E$12+1,1))</f>
        <v>#N/A</v>
      </c>
      <c r="CE130" s="60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0" t="e">
        <f t="shared" si="68"/>
        <v>#N/A</v>
      </c>
      <c r="CY130" s="60" t="e">
        <f ca="1">AVERAGE(OFFSET($CX$3,0,0,'Données projet'!$E$13+1,1))-AVERAGE(OFFSET($H$3,0,0,'Données projet'!$E$13+1,1))</f>
        <v>#N/A</v>
      </c>
      <c r="CZ130" s="60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-5.6843418860808015E-13</v>
      </c>
      <c r="O131" s="14">
        <f>N131*VLOOKUP('Données projet'!$B$9,Paramètres!$A$1:$I$88,3,0)*VLOOKUP('Données projet'!$B$9,Paramètres!$A$1:$I$88,5,0)</f>
        <v>-3.39923644787632E-13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222.57099967987045</v>
      </c>
      <c r="T131" s="60">
        <f t="shared" si="88"/>
        <v>221.49027090502796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50.911735626270882</v>
      </c>
      <c r="AA131" s="23">
        <f>EXP(-LN(2)/25)*AA130+(1-EXP(-LN(2)/25))/(LN(2)/25)*Calculateur!V131*Calculateur!X131*VLOOKUP('Données projet'!$B$9,Paramètres!$A$1:$I$88,3,0)*0.475*44/12</f>
        <v>8.0074524553404629</v>
      </c>
      <c r="AB131" s="23">
        <f>EXP(-LN(2)/2)*AB130+(1-EXP(-LN(2)/2))/(LN(2)/2)*V131*Y131*VLOOKUP('Données projet'!$B$9,Paramètres!$A$1:$I$88,3,0)*0.475*44/12</f>
        <v>5.2271276197114877E-8</v>
      </c>
      <c r="AC131" s="24">
        <f t="shared" si="57"/>
        <v>58.919188133882621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147.1675182177155</v>
      </c>
      <c r="AO131" s="60">
        <f t="shared" si="90"/>
        <v>115.86489547584461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72.463735828236779</v>
      </c>
      <c r="AV131" s="23">
        <f>EXP(-LN(2)/25)*AV130+(1-EXP(-LN(2)/25))/(LN(2)/25)*Calculateur!AQ131*Calculateur!AS131*VLOOKUP('Données projet'!$B$10,Paramètres!$A$1:$I$88,3,0)*0.475*44/12</f>
        <v>11.290046514895304</v>
      </c>
      <c r="AW131" s="23">
        <f>EXP(-LN(2)/2)*AW130+(1-EXP(-LN(2)/2))/(LN(2)/2)*AQ131*AT131*VLOOKUP('Données projet'!$B$10,Paramètres!$A$1:$I$88,3,0)*0.475*44/12</f>
        <v>4.3927191795832066E-5</v>
      </c>
      <c r="AX131" s="23">
        <f t="shared" si="60"/>
        <v>83.753826270323884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1.1000000000000001</v>
      </c>
      <c r="BD131" s="13">
        <f>IF('Données projet'!$A$88&gt;35,BD130+BC131-BL130,IF(A131&lt;'Données projet'!$A$88,$BA$205^A131,IF(A131='Données projet'!$A$88,'Données projet'!$B$88,BD130+BC131-BL130)))</f>
        <v>217.79999999999976</v>
      </c>
      <c r="BE131" s="14">
        <f>BD131*VLOOKUP('Données projet'!$B$11,Paramètres!$A$1:$I$88,3,0)*VLOOKUP('Données projet'!$B$11,Paramètres!$A$1:$I$88,5,0)</f>
        <v>220.84919999999977</v>
      </c>
      <c r="BF131" s="14">
        <f t="shared" si="91"/>
        <v>54.299413740412163</v>
      </c>
      <c r="BG131" s="22">
        <f t="shared" si="61"/>
        <v>479.21716893121743</v>
      </c>
      <c r="BH131" s="60">
        <f t="shared" si="62"/>
        <v>772.55050226455069</v>
      </c>
      <c r="BI131" s="60">
        <f ca="1">AVERAGE(OFFSET($BH$3,0,0,'Données projet'!$E$11+1,1))-AVERAGE(OFFSET($H$3,0,0,'Données projet'!$E$11+1,1))</f>
        <v>166.48525819448878</v>
      </c>
      <c r="BJ131" s="60">
        <f t="shared" si="92"/>
        <v>61.876502626609977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23.669289110459363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23.669289110459363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0" t="e">
        <f t="shared" si="65"/>
        <v>#N/A</v>
      </c>
      <c r="CD131" s="60" t="e">
        <f ca="1">AVERAGE(OFFSET($CC$3,0,0,'Données projet'!$E$12+1,1))-AVERAGE(OFFSET($H$3,0,0,'Données projet'!$E$12+1,1))</f>
        <v>#N/A</v>
      </c>
      <c r="CE131" s="60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0" t="e">
        <f t="shared" si="68"/>
        <v>#N/A</v>
      </c>
      <c r="CY131" s="60" t="e">
        <f ca="1">AVERAGE(OFFSET($CX$3,0,0,'Données projet'!$E$13+1,1))-AVERAGE(OFFSET($H$3,0,0,'Données projet'!$E$13+1,1))</f>
        <v>#N/A</v>
      </c>
      <c r="CZ131" s="60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-5.6843418860808015E-13</v>
      </c>
      <c r="O132" s="14">
        <f>N132*VLOOKUP('Données projet'!$B$9,Paramètres!$A$1:$I$88,3,0)*VLOOKUP('Données projet'!$B$9,Paramètres!$A$1:$I$88,5,0)</f>
        <v>-3.39923644787632E-13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222.57099967987045</v>
      </c>
      <c r="T132" s="60">
        <f t="shared" si="88"/>
        <v>221.49027090502796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49.913387543732206</v>
      </c>
      <c r="AA132" s="23">
        <f>EXP(-LN(2)/25)*AA131+(1-EXP(-LN(2)/25))/(LN(2)/25)*Calculateur!V132*Calculateur!X132*VLOOKUP('Données projet'!$B$9,Paramètres!$A$1:$I$88,3,0)*0.475*44/12</f>
        <v>7.7884882468555547</v>
      </c>
      <c r="AB132" s="23">
        <f>EXP(-LN(2)/2)*AB131+(1-EXP(-LN(2)/2))/(LN(2)/2)*V132*Y132*VLOOKUP('Données projet'!$B$9,Paramètres!$A$1:$I$88,3,0)*0.475*44/12</f>
        <v>3.6961373860254899E-8</v>
      </c>
      <c r="AC132" s="24">
        <f t="shared" ref="AC132:AC153" si="111">SUM(Z132:AB132)</f>
        <v>57.701875827549138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147.1675182177155</v>
      </c>
      <c r="AO132" s="60">
        <f t="shared" si="90"/>
        <v>115.86489547584461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71.04276616715967</v>
      </c>
      <c r="AV132" s="23">
        <f>EXP(-LN(2)/25)*AV131+(1-EXP(-LN(2)/25))/(LN(2)/25)*Calculateur!AQ132*Calculateur!AS132*VLOOKUP('Données projet'!$B$10,Paramètres!$A$1:$I$88,3,0)*0.475*44/12</f>
        <v>10.981319599227749</v>
      </c>
      <c r="AW132" s="23">
        <f>EXP(-LN(2)/2)*AW131+(1-EXP(-LN(2)/2))/(LN(2)/2)*AQ132*AT132*VLOOKUP('Données projet'!$B$10,Paramètres!$A$1:$I$88,3,0)*0.475*44/12</f>
        <v>3.106121519731493E-5</v>
      </c>
      <c r="AX132" s="23">
        <f t="shared" ref="AX132:AX153" si="114">SUM(AU132:AW132)</f>
        <v>82.024116827602612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1.1000000000000001</v>
      </c>
      <c r="BD132" s="13">
        <f>IF('Données projet'!$A$88&gt;35,BD131+BC132-BL131,IF(A132&lt;'Données projet'!$A$88,$BA$205^A132,IF(A132='Données projet'!$A$88,'Données projet'!$B$88,BD131+BC132-BL131)))</f>
        <v>218.89999999999975</v>
      </c>
      <c r="BE132" s="14">
        <f>BD132*VLOOKUP('Données projet'!$B$11,Paramètres!$A$1:$I$88,3,0)*VLOOKUP('Données projet'!$B$11,Paramètres!$A$1:$I$88,5,0)</f>
        <v>221.96459999999979</v>
      </c>
      <c r="BF132" s="14">
        <f t="shared" si="91"/>
        <v>54.54166063692368</v>
      </c>
      <c r="BG132" s="22">
        <f t="shared" ref="BG132:BG153" si="115">(BE132+BF132)*0.475*44/12</f>
        <v>481.581737275975</v>
      </c>
      <c r="BH132" s="60">
        <f t="shared" ref="BH132:BH195" si="116">BG132+(AY132+AZ132)*44/12</f>
        <v>774.91507060930826</v>
      </c>
      <c r="BI132" s="60">
        <f ca="1">AVERAGE(OFFSET($BH$3,0,0,'Données projet'!$E$11+1,1))-AVERAGE(OFFSET($H$3,0,0,'Données projet'!$E$11+1,1))</f>
        <v>166.48525819448878</v>
      </c>
      <c r="BJ132" s="60">
        <f t="shared" si="92"/>
        <v>61.876502626609977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23.205148787844092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23.205148787844092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0" t="e">
        <f t="shared" ref="CC132:CC195" si="119">CB132+(BT132+BU132)*44/12</f>
        <v>#N/A</v>
      </c>
      <c r="CD132" s="60" t="e">
        <f ca="1">AVERAGE(OFFSET($CC$3,0,0,'Données projet'!$E$12+1,1))-AVERAGE(OFFSET($H$3,0,0,'Données projet'!$E$12+1,1))</f>
        <v>#N/A</v>
      </c>
      <c r="CE132" s="60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0" t="e">
        <f t="shared" ref="CX132:CX195" si="122">CW132+(CO132+CP132)*44/12</f>
        <v>#N/A</v>
      </c>
      <c r="CY132" s="60" t="e">
        <f ca="1">AVERAGE(OFFSET($CX$3,0,0,'Données projet'!$E$13+1,1))-AVERAGE(OFFSET($H$3,0,0,'Données projet'!$E$13+1,1))</f>
        <v>#N/A</v>
      </c>
      <c r="CZ132" s="60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-5.6843418860808015E-13</v>
      </c>
      <c r="O133" s="14">
        <f>N133*VLOOKUP('Données projet'!$B$9,Paramètres!$A$1:$I$88,3,0)*VLOOKUP('Données projet'!$B$9,Paramètres!$A$1:$I$88,5,0)</f>
        <v>-3.39923644787632E-13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222.57099967987045</v>
      </c>
      <c r="T133" s="60">
        <f t="shared" ref="T133:T196" si="142">$T$3</f>
        <v>221.49027090502796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48.934616458159908</v>
      </c>
      <c r="AA133" s="23">
        <f>EXP(-LN(2)/25)*AA132+(1-EXP(-LN(2)/25))/(LN(2)/25)*Calculateur!V133*Calculateur!X133*VLOOKUP('Données projet'!$B$9,Paramètres!$A$1:$I$88,3,0)*0.475*44/12</f>
        <v>7.5755116261664934</v>
      </c>
      <c r="AB133" s="23">
        <f>EXP(-LN(2)/2)*AB132+(1-EXP(-LN(2)/2))/(LN(2)/2)*V133*Y133*VLOOKUP('Données projet'!$B$9,Paramètres!$A$1:$I$88,3,0)*0.475*44/12</f>
        <v>2.6135638098557439E-8</v>
      </c>
      <c r="AC133" s="24">
        <f t="shared" si="111"/>
        <v>56.510128110462041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147.1675182177155</v>
      </c>
      <c r="AO133" s="60">
        <f t="shared" ref="AO133:AO196" si="144">$AO$3</f>
        <v>115.86489547584461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69.649660854430365</v>
      </c>
      <c r="AV133" s="23">
        <f>EXP(-LN(2)/25)*AV132+(1-EXP(-LN(2)/25))/(LN(2)/25)*Calculateur!AQ133*Calculateur!AS133*VLOOKUP('Données projet'!$B$10,Paramètres!$A$1:$I$88,3,0)*0.475*44/12</f>
        <v>10.681034837304367</v>
      </c>
      <c r="AW133" s="23">
        <f>EXP(-LN(2)/2)*AW132+(1-EXP(-LN(2)/2))/(LN(2)/2)*AQ133*AT133*VLOOKUP('Données projet'!$B$10,Paramètres!$A$1:$I$88,3,0)*0.475*44/12</f>
        <v>2.1963595897916033E-5</v>
      </c>
      <c r="AX133" s="23">
        <f t="shared" si="114"/>
        <v>80.330717655330631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220</v>
      </c>
      <c r="BB133" s="13">
        <f>VLOOKUP(A133,'Données projet'!$A$87:$I$107,9,0)</f>
        <v>1.1000000000000001</v>
      </c>
      <c r="BC133" s="13">
        <f t="array" ref="BC133">INDEX(BB:BB,MIN(IF(ISNUMBER(BB133:BB329),ROW(BB133:BB329),"")))</f>
        <v>1.1000000000000001</v>
      </c>
      <c r="BD133" s="13">
        <f>IF('Données projet'!$A$88&gt;35,BD132+BC133-BL132,IF(A133&lt;'Données projet'!$A$88,$BA$205^A133,IF(A133='Données projet'!$A$88,'Données projet'!$B$88,BD132+BC133-BL132)))</f>
        <v>219.99999999999974</v>
      </c>
      <c r="BE133" s="14">
        <f>BD133*VLOOKUP('Données projet'!$B$11,Paramètres!$A$1:$I$88,3,0)*VLOOKUP('Données projet'!$B$11,Paramètres!$A$1:$I$88,5,0)</f>
        <v>223.07999999999973</v>
      </c>
      <c r="BF133" s="14">
        <f t="shared" ref="BF133:BF153" si="145">EXP(-1.0587+0.8836*LN(BE133)+0.284)</f>
        <v>54.783765878062567</v>
      </c>
      <c r="BG133" s="22">
        <f t="shared" si="115"/>
        <v>483.94605890429176</v>
      </c>
      <c r="BH133" s="60">
        <f t="shared" si="116"/>
        <v>777.27939223762507</v>
      </c>
      <c r="BI133" s="60">
        <f ca="1">AVERAGE(OFFSET($BH$3,0,0,'Données projet'!$E$11+1,1))-AVERAGE(OFFSET($H$3,0,0,'Données projet'!$E$11+1,1))</f>
        <v>166.48525819448878</v>
      </c>
      <c r="BJ133" s="60">
        <f t="shared" ref="BJ133:BJ196" si="146">$BJ$3</f>
        <v>61.876502626609977</v>
      </c>
      <c r="BK133" s="16">
        <f>IF(ISNA(VLOOKUP(A133,'Données projet'!$A$87:$I$107,3,0)),0,VLOOKUP(A133,'Données projet'!$A$87:$I$107,3,0))</f>
        <v>19</v>
      </c>
      <c r="BL133" s="16">
        <f>IF(ISNA(VLOOKUP(A133,'Données projet'!$A$87:$I$107,4,0)),0,VLOOKUP(A133,'Données projet'!$A$87:$I$107,4,0))</f>
        <v>10</v>
      </c>
      <c r="BM133" s="17">
        <f>IF(ISNA(VLOOKUP(A133,'Données projet'!$A$87:$I$107,5,0)),0%,VLOOKUP(A133,'Données projet'!$A$87:$I$107,5,0)*VLOOKUP('Données projet'!$B$11,Paramètres!$A$1:$I$88,7,0))</f>
        <v>0.34400000000000003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26.606167532929319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26.606167532929319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0" t="e">
        <f t="shared" si="119"/>
        <v>#N/A</v>
      </c>
      <c r="CD133" s="60" t="e">
        <f ca="1">AVERAGE(OFFSET($CC$3,0,0,'Données projet'!$E$12+1,1))-AVERAGE(OFFSET($H$3,0,0,'Données projet'!$E$12+1,1))</f>
        <v>#N/A</v>
      </c>
      <c r="CE133" s="60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0" t="e">
        <f t="shared" si="122"/>
        <v>#N/A</v>
      </c>
      <c r="CY133" s="60" t="e">
        <f ca="1">AVERAGE(OFFSET($CX$3,0,0,'Données projet'!$E$13+1,1))-AVERAGE(OFFSET($H$3,0,0,'Données projet'!$E$13+1,1))</f>
        <v>#N/A</v>
      </c>
      <c r="CZ133" s="60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-5.6843418860808015E-13</v>
      </c>
      <c r="O134" s="14">
        <f>N134*VLOOKUP('Données projet'!$B$9,Paramètres!$A$1:$I$88,3,0)*VLOOKUP('Données projet'!$B$9,Paramètres!$A$1:$I$88,5,0)</f>
        <v>-3.39923644787632E-13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222.57099967987045</v>
      </c>
      <c r="T134" s="60">
        <f t="shared" si="142"/>
        <v>221.49027090502796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47.975038476584267</v>
      </c>
      <c r="AA134" s="23">
        <f>EXP(-LN(2)/25)*AA133+(1-EXP(-LN(2)/25))/(LN(2)/25)*Calculateur!V134*Calculateur!X134*VLOOKUP('Données projet'!$B$9,Paramètres!$A$1:$I$88,3,0)*0.475*44/12</f>
        <v>7.3683588623701279</v>
      </c>
      <c r="AB134" s="23">
        <f>EXP(-LN(2)/2)*AB133+(1-EXP(-LN(2)/2))/(LN(2)/2)*V134*Y134*VLOOKUP('Données projet'!$B$9,Paramètres!$A$1:$I$88,3,0)*0.475*44/12</f>
        <v>1.8480686930127449E-8</v>
      </c>
      <c r="AC134" s="24">
        <f t="shared" si="111"/>
        <v>55.34339735743508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147.1675182177155</v>
      </c>
      <c r="AO134" s="60">
        <f t="shared" si="144"/>
        <v>115.86489547584461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68.283873487173352</v>
      </c>
      <c r="AV134" s="23">
        <f>EXP(-LN(2)/25)*AV133+(1-EXP(-LN(2)/25))/(LN(2)/25)*Calculateur!AQ134*Calculateur!AS134*VLOOKUP('Données projet'!$B$10,Paramètres!$A$1:$I$88,3,0)*0.475*44/12</f>
        <v>10.388961377987069</v>
      </c>
      <c r="AW134" s="23">
        <f>EXP(-LN(2)/2)*AW133+(1-EXP(-LN(2)/2))/(LN(2)/2)*AQ134*AT134*VLOOKUP('Données projet'!$B$10,Paramètres!$A$1:$I$88,3,0)*0.475*44/12</f>
        <v>1.5530607598657465E-5</v>
      </c>
      <c r="AX134" s="23">
        <f t="shared" si="114"/>
        <v>78.672850395768023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0.8</v>
      </c>
      <c r="BD134" s="13">
        <f>IF('Données projet'!$A$88&gt;35,BD133+BC134-BL133,IF(A134&lt;'Données projet'!$A$88,$BA$205^A134,IF(A134='Données projet'!$A$88,'Données projet'!$B$88,BD133+BC134-BL133)))</f>
        <v>210.79999999999976</v>
      </c>
      <c r="BE134" s="14">
        <f>BD134*VLOOKUP('Données projet'!$B$11,Paramètres!$A$1:$I$88,3,0)*VLOOKUP('Données projet'!$B$11,Paramètres!$A$1:$I$88,5,0)</f>
        <v>213.75119999999976</v>
      </c>
      <c r="BF134" s="14">
        <f t="shared" si="145"/>
        <v>52.75447068116415</v>
      </c>
      <c r="BG134" s="22">
        <f t="shared" si="115"/>
        <v>464.1640431030271</v>
      </c>
      <c r="BH134" s="60">
        <f t="shared" si="116"/>
        <v>757.49737643636036</v>
      </c>
      <c r="BI134" s="60">
        <f ca="1">AVERAGE(OFFSET($BH$3,0,0,'Données projet'!$E$11+1,1))-AVERAGE(OFFSET($H$3,0,0,'Données projet'!$E$11+1,1))</f>
        <v>166.48525819448878</v>
      </c>
      <c r="BJ134" s="60">
        <f t="shared" si="146"/>
        <v>61.876502626609977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26.084436815768374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26.084436815768374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0" t="e">
        <f t="shared" si="119"/>
        <v>#N/A</v>
      </c>
      <c r="CD134" s="60" t="e">
        <f ca="1">AVERAGE(OFFSET($CC$3,0,0,'Données projet'!$E$12+1,1))-AVERAGE(OFFSET($H$3,0,0,'Données projet'!$E$12+1,1))</f>
        <v>#N/A</v>
      </c>
      <c r="CE134" s="60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0" t="e">
        <f t="shared" si="122"/>
        <v>#N/A</v>
      </c>
      <c r="CY134" s="60" t="e">
        <f ca="1">AVERAGE(OFFSET($CX$3,0,0,'Données projet'!$E$13+1,1))-AVERAGE(OFFSET($H$3,0,0,'Données projet'!$E$13+1,1))</f>
        <v>#N/A</v>
      </c>
      <c r="CZ134" s="60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-5.6843418860808015E-13</v>
      </c>
      <c r="O135" s="14">
        <f>N135*VLOOKUP('Données projet'!$B$9,Paramètres!$A$1:$I$88,3,0)*VLOOKUP('Données projet'!$B$9,Paramètres!$A$1:$I$88,5,0)</f>
        <v>-3.39923644787632E-13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222.57099967987045</v>
      </c>
      <c r="T135" s="60">
        <f t="shared" si="142"/>
        <v>221.49027090502796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47.034277233942547</v>
      </c>
      <c r="AA135" s="23">
        <f>EXP(-LN(2)/25)*AA134+(1-EXP(-LN(2)/25))/(LN(2)/25)*Calculateur!V135*Calculateur!X135*VLOOKUP('Données projet'!$B$9,Paramètres!$A$1:$I$88,3,0)*0.475*44/12</f>
        <v>7.1668707017934645</v>
      </c>
      <c r="AB135" s="23">
        <f>EXP(-LN(2)/2)*AB134+(1-EXP(-LN(2)/2))/(LN(2)/2)*V135*Y135*VLOOKUP('Données projet'!$B$9,Paramètres!$A$1:$I$88,3,0)*0.475*44/12</f>
        <v>1.3067819049278719E-8</v>
      </c>
      <c r="AC135" s="24">
        <f t="shared" si="111"/>
        <v>54.201147948803829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147.1675182177155</v>
      </c>
      <c r="AO135" s="60">
        <f t="shared" si="144"/>
        <v>115.86489547584461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66.94486837714021</v>
      </c>
      <c r="AV135" s="23">
        <f>EXP(-LN(2)/25)*AV134+(1-EXP(-LN(2)/25))/(LN(2)/25)*Calculateur!AQ135*Calculateur!AS135*VLOOKUP('Données projet'!$B$10,Paramètres!$A$1:$I$88,3,0)*0.475*44/12</f>
        <v>10.104874682774279</v>
      </c>
      <c r="AW135" s="23">
        <f>EXP(-LN(2)/2)*AW134+(1-EXP(-LN(2)/2))/(LN(2)/2)*AQ135*AT135*VLOOKUP('Données projet'!$B$10,Paramètres!$A$1:$I$88,3,0)*0.475*44/12</f>
        <v>1.0981797948958017E-5</v>
      </c>
      <c r="AX135" s="23">
        <f t="shared" si="114"/>
        <v>77.049754041712433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0.8</v>
      </c>
      <c r="BD135" s="13">
        <f>IF('Données projet'!$A$88&gt;35,BD134+BC135-BL134,IF(A135&lt;'Données projet'!$A$88,$BA$205^A135,IF(A135='Données projet'!$A$88,'Données projet'!$B$88,BD134+BC135-BL134)))</f>
        <v>211.59999999999977</v>
      </c>
      <c r="BE135" s="14">
        <f>BD135*VLOOKUP('Données projet'!$B$11,Paramètres!$A$1:$I$88,3,0)*VLOOKUP('Données projet'!$B$11,Paramètres!$A$1:$I$88,5,0)</f>
        <v>214.56239999999977</v>
      </c>
      <c r="BF135" s="14">
        <f t="shared" si="145"/>
        <v>52.931334320900163</v>
      </c>
      <c r="BG135" s="22">
        <f t="shared" si="115"/>
        <v>465.8849206089007</v>
      </c>
      <c r="BH135" s="60">
        <f t="shared" si="116"/>
        <v>759.21825394223401</v>
      </c>
      <c r="BI135" s="60">
        <f ca="1">AVERAGE(OFFSET($BH$3,0,0,'Données projet'!$E$11+1,1))-AVERAGE(OFFSET($H$3,0,0,'Données projet'!$E$11+1,1))</f>
        <v>166.48525819448878</v>
      </c>
      <c r="BJ135" s="60">
        <f t="shared" si="146"/>
        <v>61.876502626609977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25.572936919746638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25.572936919746638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0" t="e">
        <f t="shared" si="119"/>
        <v>#N/A</v>
      </c>
      <c r="CD135" s="60" t="e">
        <f ca="1">AVERAGE(OFFSET($CC$3,0,0,'Données projet'!$E$12+1,1))-AVERAGE(OFFSET($H$3,0,0,'Données projet'!$E$12+1,1))</f>
        <v>#N/A</v>
      </c>
      <c r="CE135" s="60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0" t="e">
        <f t="shared" si="122"/>
        <v>#N/A</v>
      </c>
      <c r="CY135" s="60" t="e">
        <f ca="1">AVERAGE(OFFSET($CX$3,0,0,'Données projet'!$E$13+1,1))-AVERAGE(OFFSET($H$3,0,0,'Données projet'!$E$13+1,1))</f>
        <v>#N/A</v>
      </c>
      <c r="CZ135" s="60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-5.6843418860808015E-13</v>
      </c>
      <c r="O136" s="14">
        <f>N136*VLOOKUP('Données projet'!$B$9,Paramètres!$A$1:$I$88,3,0)*VLOOKUP('Données projet'!$B$9,Paramètres!$A$1:$I$88,5,0)</f>
        <v>-3.39923644787632E-13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222.57099967987045</v>
      </c>
      <c r="T136" s="60">
        <f t="shared" si="142"/>
        <v>221.49027090502796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46.111963745461331</v>
      </c>
      <c r="AA136" s="23">
        <f>EXP(-LN(2)/25)*AA135+(1-EXP(-LN(2)/25))/(LN(2)/25)*Calculateur!V136*Calculateur!X136*VLOOKUP('Données projet'!$B$9,Paramètres!$A$1:$I$88,3,0)*0.475*44/12</f>
        <v>6.9708922455635722</v>
      </c>
      <c r="AB136" s="23">
        <f>EXP(-LN(2)/2)*AB135+(1-EXP(-LN(2)/2))/(LN(2)/2)*V136*Y136*VLOOKUP('Données projet'!$B$9,Paramètres!$A$1:$I$88,3,0)*0.475*44/12</f>
        <v>9.2403434650637247E-9</v>
      </c>
      <c r="AC136" s="24">
        <f t="shared" si="111"/>
        <v>53.082856000265245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147.1675182177155</v>
      </c>
      <c r="AO136" s="60">
        <f t="shared" si="144"/>
        <v>115.86489547584461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65.632120340602341</v>
      </c>
      <c r="AV136" s="23">
        <f>EXP(-LN(2)/25)*AV135+(1-EXP(-LN(2)/25))/(LN(2)/25)*Calculateur!AQ136*Calculateur!AS136*VLOOKUP('Données projet'!$B$10,Paramètres!$A$1:$I$88,3,0)*0.475*44/12</f>
        <v>9.8285563531815505</v>
      </c>
      <c r="AW136" s="23">
        <f>EXP(-LN(2)/2)*AW135+(1-EXP(-LN(2)/2))/(LN(2)/2)*AQ136*AT136*VLOOKUP('Données projet'!$B$10,Paramètres!$A$1:$I$88,3,0)*0.475*44/12</f>
        <v>7.7653037993287326E-6</v>
      </c>
      <c r="AX136" s="23">
        <f t="shared" si="114"/>
        <v>75.460684459087702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0.8</v>
      </c>
      <c r="BD136" s="13">
        <f>IF('Données projet'!$A$88&gt;35,BD135+BC136-BL135,IF(A136&lt;'Données projet'!$A$88,$BA$205^A136,IF(A136='Données projet'!$A$88,'Données projet'!$B$88,BD135+BC136-BL135)))</f>
        <v>212.39999999999978</v>
      </c>
      <c r="BE136" s="14">
        <f>BD136*VLOOKUP('Données projet'!$B$11,Paramètres!$A$1:$I$88,3,0)*VLOOKUP('Données projet'!$B$11,Paramètres!$A$1:$I$88,5,0)</f>
        <v>215.37359999999978</v>
      </c>
      <c r="BF136" s="14">
        <f t="shared" si="145"/>
        <v>53.108120144188867</v>
      </c>
      <c r="BG136" s="22">
        <f t="shared" si="115"/>
        <v>467.60566258446192</v>
      </c>
      <c r="BH136" s="60">
        <f t="shared" si="116"/>
        <v>760.93899591779518</v>
      </c>
      <c r="BI136" s="60">
        <f ca="1">AVERAGE(OFFSET($BH$3,0,0,'Données projet'!$E$11+1,1))-AVERAGE(OFFSET($H$3,0,0,'Données projet'!$E$11+1,1))</f>
        <v>166.48525819448878</v>
      </c>
      <c r="BJ136" s="60">
        <f t="shared" si="146"/>
        <v>61.876502626609977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25.07146722470176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25.07146722470176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0" t="e">
        <f t="shared" si="119"/>
        <v>#N/A</v>
      </c>
      <c r="CD136" s="60" t="e">
        <f ca="1">AVERAGE(OFFSET($CC$3,0,0,'Données projet'!$E$12+1,1))-AVERAGE(OFFSET($H$3,0,0,'Données projet'!$E$12+1,1))</f>
        <v>#N/A</v>
      </c>
      <c r="CE136" s="60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0" t="e">
        <f t="shared" si="122"/>
        <v>#N/A</v>
      </c>
      <c r="CY136" s="60" t="e">
        <f ca="1">AVERAGE(OFFSET($CX$3,0,0,'Données projet'!$E$13+1,1))-AVERAGE(OFFSET($H$3,0,0,'Données projet'!$E$13+1,1))</f>
        <v>#N/A</v>
      </c>
      <c r="CZ136" s="60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-5.6843418860808015E-13</v>
      </c>
      <c r="O137" s="14">
        <f>N137*VLOOKUP('Données projet'!$B$9,Paramètres!$A$1:$I$88,3,0)*VLOOKUP('Données projet'!$B$9,Paramètres!$A$1:$I$88,5,0)</f>
        <v>-3.39923644787632E-13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222.57099967987045</v>
      </c>
      <c r="T137" s="60">
        <f t="shared" si="142"/>
        <v>221.49027090502796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45.207736261933555</v>
      </c>
      <c r="AA137" s="23">
        <f>EXP(-LN(2)/25)*AA136+(1-EXP(-LN(2)/25))/(LN(2)/25)*Calculateur!V137*Calculateur!X137*VLOOKUP('Données projet'!$B$9,Paramètres!$A$1:$I$88,3,0)*0.475*44/12</f>
        <v>6.7802728305253455</v>
      </c>
      <c r="AB137" s="23">
        <f>EXP(-LN(2)/2)*AB136+(1-EXP(-LN(2)/2))/(LN(2)/2)*V137*Y137*VLOOKUP('Données projet'!$B$9,Paramètres!$A$1:$I$88,3,0)*0.475*44/12</f>
        <v>6.5339095246393597E-9</v>
      </c>
      <c r="AC137" s="24">
        <f t="shared" si="111"/>
        <v>51.988009098992812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147.1675182177155</v>
      </c>
      <c r="AO137" s="60">
        <f t="shared" si="144"/>
        <v>115.86489547584461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64.345114492363734</v>
      </c>
      <c r="AV137" s="23">
        <f>EXP(-LN(2)/25)*AV136+(1-EXP(-LN(2)/25))/(LN(2)/25)*Calculateur!AQ137*Calculateur!AS137*VLOOKUP('Données projet'!$B$10,Paramètres!$A$1:$I$88,3,0)*0.475*44/12</f>
        <v>9.5597939628424857</v>
      </c>
      <c r="AW137" s="23">
        <f>EXP(-LN(2)/2)*AW136+(1-EXP(-LN(2)/2))/(LN(2)/2)*AQ137*AT137*VLOOKUP('Données projet'!$B$10,Paramètres!$A$1:$I$88,3,0)*0.475*44/12</f>
        <v>5.4908989744790083E-6</v>
      </c>
      <c r="AX137" s="23">
        <f t="shared" si="114"/>
        <v>73.904913946105196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0.8</v>
      </c>
      <c r="BD137" s="13">
        <f>IF('Données projet'!$A$88&gt;35,BD136+BC137-BL136,IF(A137&lt;'Données projet'!$A$88,$BA$205^A137,IF(A137='Données projet'!$A$88,'Données projet'!$B$88,BD136+BC137-BL136)))</f>
        <v>213.19999999999979</v>
      </c>
      <c r="BE137" s="14">
        <f>BD137*VLOOKUP('Données projet'!$B$11,Paramètres!$A$1:$I$88,3,0)*VLOOKUP('Données projet'!$B$11,Paramètres!$A$1:$I$88,5,0)</f>
        <v>216.1847999999998</v>
      </c>
      <c r="BF137" s="14">
        <f t="shared" si="145"/>
        <v>53.284828478170326</v>
      </c>
      <c r="BG137" s="22">
        <f t="shared" si="115"/>
        <v>469.32626959947964</v>
      </c>
      <c r="BH137" s="60">
        <f t="shared" si="116"/>
        <v>762.65960293281296</v>
      </c>
      <c r="BI137" s="60">
        <f ca="1">AVERAGE(OFFSET($BH$3,0,0,'Données projet'!$E$11+1,1))-AVERAGE(OFFSET($H$3,0,0,'Données projet'!$E$11+1,1))</f>
        <v>166.48525819448878</v>
      </c>
      <c r="BJ137" s="60">
        <f t="shared" si="146"/>
        <v>61.876502626609977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24.579831044510396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24.579831044510396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0" t="e">
        <f t="shared" si="119"/>
        <v>#N/A</v>
      </c>
      <c r="CD137" s="60" t="e">
        <f ca="1">AVERAGE(OFFSET($CC$3,0,0,'Données projet'!$E$12+1,1))-AVERAGE(OFFSET($H$3,0,0,'Données projet'!$E$12+1,1))</f>
        <v>#N/A</v>
      </c>
      <c r="CE137" s="60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0" t="e">
        <f t="shared" si="122"/>
        <v>#N/A</v>
      </c>
      <c r="CY137" s="60" t="e">
        <f ca="1">AVERAGE(OFFSET($CX$3,0,0,'Données projet'!$E$13+1,1))-AVERAGE(OFFSET($H$3,0,0,'Données projet'!$E$13+1,1))</f>
        <v>#N/A</v>
      </c>
      <c r="CZ137" s="60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-5.6843418860808015E-13</v>
      </c>
      <c r="O138" s="14">
        <f>N138*VLOOKUP('Données projet'!$B$9,Paramètres!$A$1:$I$88,3,0)*VLOOKUP('Données projet'!$B$9,Paramètres!$A$1:$I$88,5,0)</f>
        <v>-3.39923644787632E-13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222.57099967987045</v>
      </c>
      <c r="T138" s="60">
        <f t="shared" si="142"/>
        <v>221.49027090502796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44.321240127833448</v>
      </c>
      <c r="AA138" s="23">
        <f>EXP(-LN(2)/25)*AA137+(1-EXP(-LN(2)/25))/(LN(2)/25)*Calculateur!V138*Calculateur!X138*VLOOKUP('Données projet'!$B$9,Paramètres!$A$1:$I$88,3,0)*0.475*44/12</f>
        <v>6.5948659134155783</v>
      </c>
      <c r="AB138" s="23">
        <f>EXP(-LN(2)/2)*AB137+(1-EXP(-LN(2)/2))/(LN(2)/2)*V138*Y138*VLOOKUP('Données projet'!$B$9,Paramètres!$A$1:$I$88,3,0)*0.475*44/12</f>
        <v>4.6201717325318624E-9</v>
      </c>
      <c r="AC138" s="24">
        <f t="shared" si="111"/>
        <v>50.916106045869192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147.1675182177155</v>
      </c>
      <c r="AO138" s="60">
        <f t="shared" si="144"/>
        <v>115.86489547584461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63.083346043813037</v>
      </c>
      <c r="AV138" s="23">
        <f>EXP(-LN(2)/25)*AV137+(1-EXP(-LN(2)/25))/(LN(2)/25)*Calculateur!AQ138*Calculateur!AS138*VLOOKUP('Données projet'!$B$10,Paramètres!$A$1:$I$88,3,0)*0.475*44/12</f>
        <v>9.298380894200843</v>
      </c>
      <c r="AW138" s="23">
        <f>EXP(-LN(2)/2)*AW137+(1-EXP(-LN(2)/2))/(LN(2)/2)*AQ138*AT138*VLOOKUP('Données projet'!$B$10,Paramètres!$A$1:$I$88,3,0)*0.475*44/12</f>
        <v>3.8826518996643663E-6</v>
      </c>
      <c r="AX138" s="23">
        <f t="shared" si="114"/>
        <v>72.38173082066578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0.8</v>
      </c>
      <c r="BD138" s="13">
        <f>IF('Données projet'!$A$88&gt;35,BD137+BC138-BL137,IF(A138&lt;'Données projet'!$A$88,$BA$205^A138,IF(A138='Données projet'!$A$88,'Données projet'!$B$88,BD137+BC138-BL137)))</f>
        <v>213.9999999999998</v>
      </c>
      <c r="BE138" s="14">
        <f>BD138*VLOOKUP('Données projet'!$B$11,Paramètres!$A$1:$I$88,3,0)*VLOOKUP('Données projet'!$B$11,Paramètres!$A$1:$I$88,5,0)</f>
        <v>216.99599999999981</v>
      </c>
      <c r="BF138" s="14">
        <f t="shared" si="145"/>
        <v>53.461459647386867</v>
      </c>
      <c r="BG138" s="22">
        <f t="shared" si="115"/>
        <v>471.04674221919845</v>
      </c>
      <c r="BH138" s="60">
        <f t="shared" si="116"/>
        <v>764.38007555253171</v>
      </c>
      <c r="BI138" s="60">
        <f ca="1">AVERAGE(OFFSET($BH$3,0,0,'Données projet'!$E$11+1,1))-AVERAGE(OFFSET($H$3,0,0,'Données projet'!$E$11+1,1))</f>
        <v>166.48525819448878</v>
      </c>
      <c r="BJ138" s="60">
        <f t="shared" si="146"/>
        <v>61.876502626609977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24.097835549944126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24.097835549944126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0" t="e">
        <f t="shared" si="119"/>
        <v>#N/A</v>
      </c>
      <c r="CD138" s="60" t="e">
        <f ca="1">AVERAGE(OFFSET($CC$3,0,0,'Données projet'!$E$12+1,1))-AVERAGE(OFFSET($H$3,0,0,'Données projet'!$E$12+1,1))</f>
        <v>#N/A</v>
      </c>
      <c r="CE138" s="60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0" t="e">
        <f t="shared" si="122"/>
        <v>#N/A</v>
      </c>
      <c r="CY138" s="60" t="e">
        <f ca="1">AVERAGE(OFFSET($CX$3,0,0,'Données projet'!$E$13+1,1))-AVERAGE(OFFSET($H$3,0,0,'Données projet'!$E$13+1,1))</f>
        <v>#N/A</v>
      </c>
      <c r="CZ138" s="60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-5.6843418860808015E-13</v>
      </c>
      <c r="O139" s="14">
        <f>N139*VLOOKUP('Données projet'!$B$9,Paramètres!$A$1:$I$88,3,0)*VLOOKUP('Données projet'!$B$9,Paramètres!$A$1:$I$88,5,0)</f>
        <v>-3.39923644787632E-13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222.57099967987045</v>
      </c>
      <c r="T139" s="60">
        <f t="shared" si="142"/>
        <v>221.49027090502796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43.452127642213796</v>
      </c>
      <c r="AA139" s="23">
        <f>EXP(-LN(2)/25)*AA138+(1-EXP(-LN(2)/25))/(LN(2)/25)*Calculateur!V139*Calculateur!X139*VLOOKUP('Données projet'!$B$9,Paramètres!$A$1:$I$88,3,0)*0.475*44/12</f>
        <v>6.4145289582043032</v>
      </c>
      <c r="AB139" s="23">
        <f>EXP(-LN(2)/2)*AB138+(1-EXP(-LN(2)/2))/(LN(2)/2)*V139*Y139*VLOOKUP('Données projet'!$B$9,Paramètres!$A$1:$I$88,3,0)*0.475*44/12</f>
        <v>3.2669547623196798E-9</v>
      </c>
      <c r="AC139" s="24">
        <f t="shared" si="111"/>
        <v>49.866656603685051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147.1675182177155</v>
      </c>
      <c r="AO139" s="60">
        <f t="shared" si="144"/>
        <v>115.86489547584461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61.846320104935657</v>
      </c>
      <c r="AV139" s="23">
        <f>EXP(-LN(2)/25)*AV138+(1-EXP(-LN(2)/25))/(LN(2)/25)*Calculateur!AQ139*Calculateur!AS139*VLOOKUP('Données projet'!$B$10,Paramètres!$A$1:$I$88,3,0)*0.475*44/12</f>
        <v>9.0441161796683218</v>
      </c>
      <c r="AW139" s="23">
        <f>EXP(-LN(2)/2)*AW138+(1-EXP(-LN(2)/2))/(LN(2)/2)*AQ139*AT139*VLOOKUP('Données projet'!$B$10,Paramètres!$A$1:$I$88,3,0)*0.475*44/12</f>
        <v>2.7454494872395041E-6</v>
      </c>
      <c r="AX139" s="23">
        <f t="shared" si="114"/>
        <v>70.890439030053471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0.8</v>
      </c>
      <c r="BD139" s="13">
        <f>IF('Données projet'!$A$88&gt;35,BD138+BC139-BL138,IF(A139&lt;'Données projet'!$A$88,$BA$205^A139,IF(A139='Données projet'!$A$88,'Données projet'!$B$88,BD138+BC139-BL138)))</f>
        <v>214.79999999999981</v>
      </c>
      <c r="BE139" s="14">
        <f>BD139*VLOOKUP('Données projet'!$B$11,Paramètres!$A$1:$I$88,3,0)*VLOOKUP('Données projet'!$B$11,Paramètres!$A$1:$I$88,5,0)</f>
        <v>217.80719999999982</v>
      </c>
      <c r="BF139" s="14">
        <f t="shared" si="145"/>
        <v>53.638013973813976</v>
      </c>
      <c r="BG139" s="22">
        <f t="shared" si="115"/>
        <v>472.76708100439237</v>
      </c>
      <c r="BH139" s="60">
        <f t="shared" si="116"/>
        <v>766.10041433772562</v>
      </c>
      <c r="BI139" s="60">
        <f ca="1">AVERAGE(OFFSET($BH$3,0,0,'Données projet'!$E$11+1,1))-AVERAGE(OFFSET($H$3,0,0,'Données projet'!$E$11+1,1))</f>
        <v>166.48525819448878</v>
      </c>
      <c r="BJ139" s="60">
        <f t="shared" si="146"/>
        <v>61.876502626609977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23.625291693038076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23.625291693038076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0" t="e">
        <f t="shared" si="119"/>
        <v>#N/A</v>
      </c>
      <c r="CD139" s="60" t="e">
        <f ca="1">AVERAGE(OFFSET($CC$3,0,0,'Données projet'!$E$12+1,1))-AVERAGE(OFFSET($H$3,0,0,'Données projet'!$E$12+1,1))</f>
        <v>#N/A</v>
      </c>
      <c r="CE139" s="60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0" t="e">
        <f t="shared" si="122"/>
        <v>#N/A</v>
      </c>
      <c r="CY139" s="60" t="e">
        <f ca="1">AVERAGE(OFFSET($CX$3,0,0,'Données projet'!$E$13+1,1))-AVERAGE(OFFSET($H$3,0,0,'Données projet'!$E$13+1,1))</f>
        <v>#N/A</v>
      </c>
      <c r="CZ139" s="60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-5.6843418860808015E-13</v>
      </c>
      <c r="O140" s="14">
        <f>N140*VLOOKUP('Données projet'!$B$9,Paramètres!$A$1:$I$88,3,0)*VLOOKUP('Données projet'!$B$9,Paramètres!$A$1:$I$88,5,0)</f>
        <v>-3.39923644787632E-13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222.57099967987045</v>
      </c>
      <c r="T140" s="60">
        <f t="shared" si="142"/>
        <v>221.49027090502796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42.600057922330876</v>
      </c>
      <c r="AA140" s="23">
        <f>EXP(-LN(2)/25)*AA139+(1-EXP(-LN(2)/25))/(LN(2)/25)*Calculateur!V140*Calculateur!X140*VLOOKUP('Données projet'!$B$9,Paramètres!$A$1:$I$88,3,0)*0.475*44/12</f>
        <v>6.2391233265167889</v>
      </c>
      <c r="AB140" s="23">
        <f>EXP(-LN(2)/2)*AB139+(1-EXP(-LN(2)/2))/(LN(2)/2)*V140*Y140*VLOOKUP('Données projet'!$B$9,Paramètres!$A$1:$I$88,3,0)*0.475*44/12</f>
        <v>2.3100858662659312E-9</v>
      </c>
      <c r="AC140" s="24">
        <f t="shared" si="111"/>
        <v>48.839181251157754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147.1675182177155</v>
      </c>
      <c r="AO140" s="60">
        <f t="shared" si="144"/>
        <v>115.86489547584461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60.63355149020834</v>
      </c>
      <c r="AV140" s="23">
        <f>EXP(-LN(2)/25)*AV139+(1-EXP(-LN(2)/25))/(LN(2)/25)*Calculateur!AQ140*Calculateur!AS140*VLOOKUP('Données projet'!$B$10,Paramètres!$A$1:$I$88,3,0)*0.475*44/12</f>
        <v>8.7968043471258923</v>
      </c>
      <c r="AW140" s="23">
        <f>EXP(-LN(2)/2)*AW139+(1-EXP(-LN(2)/2))/(LN(2)/2)*AQ140*AT140*VLOOKUP('Données projet'!$B$10,Paramètres!$A$1:$I$88,3,0)*0.475*44/12</f>
        <v>1.9413259498321831E-6</v>
      </c>
      <c r="AX140" s="23">
        <f t="shared" si="114"/>
        <v>69.430357778660181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0.8</v>
      </c>
      <c r="BD140" s="13">
        <f>IF('Données projet'!$A$88&gt;35,BD139+BC140-BL139,IF(A140&lt;'Données projet'!$A$88,$BA$205^A140,IF(A140='Données projet'!$A$88,'Données projet'!$B$88,BD139+BC140-BL139)))</f>
        <v>215.59999999999982</v>
      </c>
      <c r="BE140" s="14">
        <f>BD140*VLOOKUP('Données projet'!$B$11,Paramètres!$A$1:$I$88,3,0)*VLOOKUP('Données projet'!$B$11,Paramètres!$A$1:$I$88,5,0)</f>
        <v>218.61839999999987</v>
      </c>
      <c r="BF140" s="14">
        <f t="shared" si="145"/>
        <v>53.81449177688954</v>
      </c>
      <c r="BG140" s="22">
        <f t="shared" si="115"/>
        <v>474.48728651141568</v>
      </c>
      <c r="BH140" s="60">
        <f t="shared" si="116"/>
        <v>767.82061984474899</v>
      </c>
      <c r="BI140" s="60">
        <f ca="1">AVERAGE(OFFSET($BH$3,0,0,'Données projet'!$E$11+1,1))-AVERAGE(OFFSET($H$3,0,0,'Données projet'!$E$11+1,1))</f>
        <v>166.48525819448878</v>
      </c>
      <c r="BJ140" s="60">
        <f t="shared" si="146"/>
        <v>61.876502626609977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23.162014132942662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23.162014132942662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0" t="e">
        <f t="shared" si="119"/>
        <v>#N/A</v>
      </c>
      <c r="CD140" s="60" t="e">
        <f ca="1">AVERAGE(OFFSET($CC$3,0,0,'Données projet'!$E$12+1,1))-AVERAGE(OFFSET($H$3,0,0,'Données projet'!$E$12+1,1))</f>
        <v>#N/A</v>
      </c>
      <c r="CE140" s="60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0" t="e">
        <f t="shared" si="122"/>
        <v>#N/A</v>
      </c>
      <c r="CY140" s="60" t="e">
        <f ca="1">AVERAGE(OFFSET($CX$3,0,0,'Données projet'!$E$13+1,1))-AVERAGE(OFFSET($H$3,0,0,'Données projet'!$E$13+1,1))</f>
        <v>#N/A</v>
      </c>
      <c r="CZ140" s="60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-5.6843418860808015E-13</v>
      </c>
      <c r="O141" s="14">
        <f>N141*VLOOKUP('Données projet'!$B$9,Paramètres!$A$1:$I$88,3,0)*VLOOKUP('Données projet'!$B$9,Paramètres!$A$1:$I$88,5,0)</f>
        <v>-3.39923644787632E-13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222.57099967987045</v>
      </c>
      <c r="T141" s="60">
        <f t="shared" si="142"/>
        <v>221.49027090502796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41.764696769943647</v>
      </c>
      <c r="AA141" s="23">
        <f>EXP(-LN(2)/25)*AA140+(1-EXP(-LN(2)/25))/(LN(2)/25)*Calculateur!V141*Calculateur!X141*VLOOKUP('Données projet'!$B$9,Paramètres!$A$1:$I$88,3,0)*0.475*44/12</f>
        <v>6.0685141710519517</v>
      </c>
      <c r="AB141" s="23">
        <f>EXP(-LN(2)/2)*AB140+(1-EXP(-LN(2)/2))/(LN(2)/2)*V141*Y141*VLOOKUP('Données projet'!$B$9,Paramètres!$A$1:$I$88,3,0)*0.475*44/12</f>
        <v>1.6334773811598399E-9</v>
      </c>
      <c r="AC141" s="24">
        <f t="shared" si="111"/>
        <v>47.83321094262908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147.1675182177155</v>
      </c>
      <c r="AO141" s="60">
        <f t="shared" si="144"/>
        <v>115.86489547584461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59.444564528300013</v>
      </c>
      <c r="AV141" s="23">
        <f>EXP(-LN(2)/25)*AV140+(1-EXP(-LN(2)/25))/(LN(2)/25)*Calculateur!AQ141*Calculateur!AS141*VLOOKUP('Données projet'!$B$10,Paramètres!$A$1:$I$88,3,0)*0.475*44/12</f>
        <v>8.556255269649899</v>
      </c>
      <c r="AW141" s="23">
        <f>EXP(-LN(2)/2)*AW140+(1-EXP(-LN(2)/2))/(LN(2)/2)*AQ141*AT141*VLOOKUP('Données projet'!$B$10,Paramètres!$A$1:$I$88,3,0)*0.475*44/12</f>
        <v>1.3727247436197521E-6</v>
      </c>
      <c r="AX141" s="23">
        <f t="shared" si="114"/>
        <v>68.000821170674655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0.8</v>
      </c>
      <c r="BD141" s="13">
        <f>IF('Données projet'!$A$88&gt;35,BD140+BC141-BL140,IF(A141&lt;'Données projet'!$A$88,$BA$205^A141,IF(A141='Données projet'!$A$88,'Données projet'!$B$88,BD140+BC141-BL140)))</f>
        <v>216.39999999999984</v>
      </c>
      <c r="BE141" s="14">
        <f>BD141*VLOOKUP('Données projet'!$B$11,Paramètres!$A$1:$I$88,3,0)*VLOOKUP('Données projet'!$B$11,Paramètres!$A$1:$I$88,5,0)</f>
        <v>219.42959999999988</v>
      </c>
      <c r="BF141" s="14">
        <f t="shared" si="145"/>
        <v>53.990893373543535</v>
      </c>
      <c r="BG141" s="22">
        <f t="shared" si="115"/>
        <v>476.20735929225475</v>
      </c>
      <c r="BH141" s="60">
        <f t="shared" si="116"/>
        <v>769.54069262558801</v>
      </c>
      <c r="BI141" s="60">
        <f ca="1">AVERAGE(OFFSET($BH$3,0,0,'Données projet'!$E$11+1,1))-AVERAGE(OFFSET($H$3,0,0,'Données projet'!$E$11+1,1))</f>
        <v>166.48525819448878</v>
      </c>
      <c r="BJ141" s="60">
        <f t="shared" si="146"/>
        <v>61.876502626609977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22.707821163229308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22.707821163229308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0" t="e">
        <f t="shared" si="119"/>
        <v>#N/A</v>
      </c>
      <c r="CD141" s="60" t="e">
        <f ca="1">AVERAGE(OFFSET($CC$3,0,0,'Données projet'!$E$12+1,1))-AVERAGE(OFFSET($H$3,0,0,'Données projet'!$E$12+1,1))</f>
        <v>#N/A</v>
      </c>
      <c r="CE141" s="60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0" t="e">
        <f t="shared" si="122"/>
        <v>#N/A</v>
      </c>
      <c r="CY141" s="60" t="e">
        <f ca="1">AVERAGE(OFFSET($CX$3,0,0,'Données projet'!$E$13+1,1))-AVERAGE(OFFSET($H$3,0,0,'Données projet'!$E$13+1,1))</f>
        <v>#N/A</v>
      </c>
      <c r="CZ141" s="60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-5.6843418860808015E-13</v>
      </c>
      <c r="O142" s="14">
        <f>N142*VLOOKUP('Données projet'!$B$9,Paramètres!$A$1:$I$88,3,0)*VLOOKUP('Données projet'!$B$9,Paramètres!$A$1:$I$88,5,0)</f>
        <v>-3.39923644787632E-13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222.57099967987045</v>
      </c>
      <c r="T142" s="60">
        <f t="shared" si="142"/>
        <v>221.49027090502796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40.945716540234741</v>
      </c>
      <c r="AA142" s="23">
        <f>EXP(-LN(2)/25)*AA141+(1-EXP(-LN(2)/25))/(LN(2)/25)*Calculateur!V142*Calculateur!X142*VLOOKUP('Données projet'!$B$9,Paramètres!$A$1:$I$88,3,0)*0.475*44/12</f>
        <v>5.9025703319152454</v>
      </c>
      <c r="AB142" s="23">
        <f>EXP(-LN(2)/2)*AB141+(1-EXP(-LN(2)/2))/(LN(2)/2)*V142*Y142*VLOOKUP('Données projet'!$B$9,Paramètres!$A$1:$I$88,3,0)*0.475*44/12</f>
        <v>1.1550429331329656E-9</v>
      </c>
      <c r="AC142" s="24">
        <f t="shared" si="111"/>
        <v>46.848286873305028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147.1675182177155</v>
      </c>
      <c r="AO142" s="60">
        <f t="shared" si="144"/>
        <v>115.86489547584461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58.278892875504269</v>
      </c>
      <c r="AV142" s="23">
        <f>EXP(-LN(2)/25)*AV141+(1-EXP(-LN(2)/25))/(LN(2)/25)*Calculateur!AQ142*Calculateur!AS142*VLOOKUP('Données projet'!$B$10,Paramètres!$A$1:$I$88,3,0)*0.475*44/12</f>
        <v>8.3222840193474141</v>
      </c>
      <c r="AW142" s="23">
        <f>EXP(-LN(2)/2)*AW141+(1-EXP(-LN(2)/2))/(LN(2)/2)*AQ142*AT142*VLOOKUP('Données projet'!$B$10,Paramètres!$A$1:$I$88,3,0)*0.475*44/12</f>
        <v>9.7066297491609157E-7</v>
      </c>
      <c r="AX142" s="23">
        <f t="shared" si="114"/>
        <v>66.601177865514657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0.8</v>
      </c>
      <c r="BD142" s="13">
        <f>IF('Données projet'!$A$88&gt;35,BD141+BC142-BL141,IF(A142&lt;'Données projet'!$A$88,$BA$205^A142,IF(A142='Données projet'!$A$88,'Données projet'!$B$88,BD141+BC142-BL141)))</f>
        <v>217.19999999999985</v>
      </c>
      <c r="BE142" s="14">
        <f>BD142*VLOOKUP('Données projet'!$B$11,Paramètres!$A$1:$I$88,3,0)*VLOOKUP('Données projet'!$B$11,Paramètres!$A$1:$I$88,5,0)</f>
        <v>220.24079999999984</v>
      </c>
      <c r="BF142" s="14">
        <f t="shared" si="145"/>
        <v>54.167219078226751</v>
      </c>
      <c r="BG142" s="22">
        <f t="shared" si="115"/>
        <v>477.92729989457797</v>
      </c>
      <c r="BH142" s="60">
        <f t="shared" si="116"/>
        <v>771.26063322791128</v>
      </c>
      <c r="BI142" s="60">
        <f ca="1">AVERAGE(OFFSET($BH$3,0,0,'Données projet'!$E$11+1,1))-AVERAGE(OFFSET($H$3,0,0,'Données projet'!$E$11+1,1))</f>
        <v>166.48525819448878</v>
      </c>
      <c r="BJ142" s="60">
        <f t="shared" si="146"/>
        <v>61.876502626609977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22.262534640621677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22.262534640621677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0" t="e">
        <f t="shared" si="119"/>
        <v>#N/A</v>
      </c>
      <c r="CD142" s="60" t="e">
        <f ca="1">AVERAGE(OFFSET($CC$3,0,0,'Données projet'!$E$12+1,1))-AVERAGE(OFFSET($H$3,0,0,'Données projet'!$E$12+1,1))</f>
        <v>#N/A</v>
      </c>
      <c r="CE142" s="60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0" t="e">
        <f t="shared" si="122"/>
        <v>#N/A</v>
      </c>
      <c r="CY142" s="60" t="e">
        <f ca="1">AVERAGE(OFFSET($CX$3,0,0,'Données projet'!$E$13+1,1))-AVERAGE(OFFSET($H$3,0,0,'Données projet'!$E$13+1,1))</f>
        <v>#N/A</v>
      </c>
      <c r="CZ142" s="60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-5.6843418860808015E-13</v>
      </c>
      <c r="O143" s="14">
        <f>N143*VLOOKUP('Données projet'!$B$9,Paramètres!$A$1:$I$88,3,0)*VLOOKUP('Données projet'!$B$9,Paramètres!$A$1:$I$88,5,0)</f>
        <v>-3.39923644787632E-13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222.57099967987045</v>
      </c>
      <c r="T143" s="60">
        <f t="shared" si="142"/>
        <v>221.49027090502796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40.142796013301812</v>
      </c>
      <c r="AA143" s="23">
        <f>EXP(-LN(2)/25)*AA142+(1-EXP(-LN(2)/25))/(LN(2)/25)*Calculateur!V143*Calculateur!X143*VLOOKUP('Données projet'!$B$9,Paramètres!$A$1:$I$88,3,0)*0.475*44/12</f>
        <v>5.7411642357863402</v>
      </c>
      <c r="AB143" s="23">
        <f>EXP(-LN(2)/2)*AB142+(1-EXP(-LN(2)/2))/(LN(2)/2)*V143*Y143*VLOOKUP('Données projet'!$B$9,Paramètres!$A$1:$I$88,3,0)*0.475*44/12</f>
        <v>8.1673869057991996E-10</v>
      </c>
      <c r="AC143" s="24">
        <f t="shared" si="111"/>
        <v>45.883960249904895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147.1675182177155</v>
      </c>
      <c r="AO143" s="60">
        <f t="shared" si="144"/>
        <v>115.86489547584461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57.136079332830349</v>
      </c>
      <c r="AV143" s="23">
        <f>EXP(-LN(2)/25)*AV142+(1-EXP(-LN(2)/25))/(LN(2)/25)*Calculateur!AQ143*Calculateur!AS143*VLOOKUP('Données projet'!$B$10,Paramètres!$A$1:$I$88,3,0)*0.475*44/12</f>
        <v>8.0947107251884631</v>
      </c>
      <c r="AW143" s="23">
        <f>EXP(-LN(2)/2)*AW142+(1-EXP(-LN(2)/2))/(LN(2)/2)*AQ143*AT143*VLOOKUP('Données projet'!$B$10,Paramètres!$A$1:$I$88,3,0)*0.475*44/12</f>
        <v>6.8636237180987603E-7</v>
      </c>
      <c r="AX143" s="23">
        <f t="shared" si="114"/>
        <v>65.230790744381181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218</v>
      </c>
      <c r="BB143" s="13">
        <f>VLOOKUP(A143,'Données projet'!$A$87:$I$107,9,0)</f>
        <v>0.8</v>
      </c>
      <c r="BC143" s="13">
        <f t="array" ref="BC143">INDEX(BB:BB,MIN(IF(ISNUMBER(BB143:BB339),ROW(BB143:BB339),"")))</f>
        <v>0.8</v>
      </c>
      <c r="BD143" s="13">
        <f>IF('Données projet'!$A$88&gt;35,BD142+BC143-BL142,IF(A143&lt;'Données projet'!$A$88,$BA$205^A143,IF(A143='Données projet'!$A$88,'Données projet'!$B$88,BD142+BC143-BL142)))</f>
        <v>217.99999999999986</v>
      </c>
      <c r="BE143" s="14">
        <f>BD143*VLOOKUP('Données projet'!$B$11,Paramètres!$A$1:$I$88,3,0)*VLOOKUP('Données projet'!$B$11,Paramètres!$A$1:$I$88,5,0)</f>
        <v>221.05199999999985</v>
      </c>
      <c r="BF143" s="14">
        <f t="shared" si="145"/>
        <v>54.343469202939204</v>
      </c>
      <c r="BG143" s="22">
        <f t="shared" si="115"/>
        <v>479.64710886178551</v>
      </c>
      <c r="BH143" s="60">
        <f t="shared" si="116"/>
        <v>772.98044219511883</v>
      </c>
      <c r="BI143" s="60">
        <f ca="1">AVERAGE(OFFSET($BH$3,0,0,'Données projet'!$E$11+1,1))-AVERAGE(OFFSET($H$3,0,0,'Données projet'!$E$11+1,1))</f>
        <v>166.48525819448878</v>
      </c>
      <c r="BJ143" s="60">
        <f t="shared" si="146"/>
        <v>61.876502626609977</v>
      </c>
      <c r="BK143" s="16">
        <f>IF(ISNA(VLOOKUP(A143,'Données projet'!$A$87:$I$107,3,0)),0,VLOOKUP(A143,'Données projet'!$A$87:$I$107,3,0))</f>
        <v>20</v>
      </c>
      <c r="BL143" s="16">
        <f>IF(ISNA(VLOOKUP(A143,'Données projet'!$A$87:$I$107,4,0)),0,VLOOKUP(A143,'Données projet'!$A$87:$I$107,4,0))</f>
        <v>218</v>
      </c>
      <c r="BM143" s="17">
        <f>IF(ISNA(VLOOKUP(A143,'Données projet'!$A$87:$I$107,5,0)),0%,VLOOKUP(A143,'Données projet'!$A$87:$I$107,5,0)*VLOOKUP('Données projet'!$B$11,Paramètres!$A$1:$I$88,7,0))</f>
        <v>0.34400000000000003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105.88803470288653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105.88803470288653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0" t="e">
        <f t="shared" si="119"/>
        <v>#N/A</v>
      </c>
      <c r="CD143" s="60" t="e">
        <f ca="1">AVERAGE(OFFSET($CC$3,0,0,'Données projet'!$E$12+1,1))-AVERAGE(OFFSET($H$3,0,0,'Données projet'!$E$12+1,1))</f>
        <v>#N/A</v>
      </c>
      <c r="CE143" s="60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0" t="e">
        <f t="shared" si="122"/>
        <v>#N/A</v>
      </c>
      <c r="CY143" s="60" t="e">
        <f ca="1">AVERAGE(OFFSET($CX$3,0,0,'Données projet'!$E$13+1,1))-AVERAGE(OFFSET($H$3,0,0,'Données projet'!$E$13+1,1))</f>
        <v>#N/A</v>
      </c>
      <c r="CZ143" s="60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-5.6843418860808015E-13</v>
      </c>
      <c r="O144" s="14">
        <f>N144*VLOOKUP('Données projet'!$B$9,Paramètres!$A$1:$I$88,3,0)*VLOOKUP('Données projet'!$B$9,Paramètres!$A$1:$I$88,5,0)</f>
        <v>-3.39923644787632E-13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222.57099967987045</v>
      </c>
      <c r="T144" s="60">
        <f t="shared" si="142"/>
        <v>221.49027090502796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39.35562026816887</v>
      </c>
      <c r="AA144" s="23">
        <f>EXP(-LN(2)/25)*AA143+(1-EXP(-LN(2)/25))/(LN(2)/25)*Calculateur!V144*Calculateur!X144*VLOOKUP('Données projet'!$B$9,Paramètres!$A$1:$I$88,3,0)*0.475*44/12</f>
        <v>5.584171797844057</v>
      </c>
      <c r="AB144" s="23">
        <f>EXP(-LN(2)/2)*AB143+(1-EXP(-LN(2)/2))/(LN(2)/2)*V144*Y144*VLOOKUP('Données projet'!$B$9,Paramètres!$A$1:$I$88,3,0)*0.475*44/12</f>
        <v>5.775214665664828E-10</v>
      </c>
      <c r="AC144" s="24">
        <f t="shared" si="111"/>
        <v>44.939792066590449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147.1675182177155</v>
      </c>
      <c r="AO144" s="60">
        <f t="shared" si="144"/>
        <v>115.86489547584461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56.015675666680828</v>
      </c>
      <c r="AV144" s="23">
        <f>EXP(-LN(2)/25)*AV143+(1-EXP(-LN(2)/25))/(LN(2)/25)*Calculateur!AQ144*Calculateur!AS144*VLOOKUP('Données projet'!$B$10,Paramètres!$A$1:$I$88,3,0)*0.475*44/12</f>
        <v>7.8733604347258481</v>
      </c>
      <c r="AW144" s="23">
        <f>EXP(-LN(2)/2)*AW143+(1-EXP(-LN(2)/2))/(LN(2)/2)*AQ144*AT144*VLOOKUP('Données projet'!$B$10,Paramètres!$A$1:$I$88,3,0)*0.475*44/12</f>
        <v>4.8533148745804578E-7</v>
      </c>
      <c r="AX144" s="23">
        <f t="shared" si="114"/>
        <v>63.889036586738165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-1.4210854715202004E-13</v>
      </c>
      <c r="BE144" s="14">
        <f>BD144*VLOOKUP('Données projet'!$B$11,Paramètres!$A$1:$I$88,3,0)*VLOOKUP('Données projet'!$B$11,Paramètres!$A$1:$I$88,5,0)</f>
        <v>-1.4409806681214833E-13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166.48525819448878</v>
      </c>
      <c r="BJ144" s="60">
        <f t="shared" si="146"/>
        <v>61.876502626609977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103.81163492768682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103.81163492768682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0" t="e">
        <f t="shared" si="119"/>
        <v>#N/A</v>
      </c>
      <c r="CD144" s="60" t="e">
        <f ca="1">AVERAGE(OFFSET($CC$3,0,0,'Données projet'!$E$12+1,1))-AVERAGE(OFFSET($H$3,0,0,'Données projet'!$E$12+1,1))</f>
        <v>#N/A</v>
      </c>
      <c r="CE144" s="60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0" t="e">
        <f t="shared" si="122"/>
        <v>#N/A</v>
      </c>
      <c r="CY144" s="60" t="e">
        <f ca="1">AVERAGE(OFFSET($CX$3,0,0,'Données projet'!$E$13+1,1))-AVERAGE(OFFSET($H$3,0,0,'Données projet'!$E$13+1,1))</f>
        <v>#N/A</v>
      </c>
      <c r="CZ144" s="60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-5.6843418860808015E-13</v>
      </c>
      <c r="O145" s="14">
        <f>N145*VLOOKUP('Données projet'!$B$9,Paramètres!$A$1:$I$88,3,0)*VLOOKUP('Données projet'!$B$9,Paramètres!$A$1:$I$88,5,0)</f>
        <v>-3.39923644787632E-13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222.57099967987045</v>
      </c>
      <c r="T145" s="60">
        <f t="shared" si="142"/>
        <v>221.49027090502796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38.583880559268188</v>
      </c>
      <c r="AA145" s="23">
        <f>EXP(-LN(2)/25)*AA144+(1-EXP(-LN(2)/25))/(LN(2)/25)*Calculateur!V145*Calculateur!X145*VLOOKUP('Données projet'!$B$9,Paramètres!$A$1:$I$88,3,0)*0.475*44/12</f>
        <v>5.4314723263731794</v>
      </c>
      <c r="AB145" s="23">
        <f>EXP(-LN(2)/2)*AB144+(1-EXP(-LN(2)/2))/(LN(2)/2)*V145*Y145*VLOOKUP('Données projet'!$B$9,Paramètres!$A$1:$I$88,3,0)*0.475*44/12</f>
        <v>4.0836934528995998E-10</v>
      </c>
      <c r="AC145" s="24">
        <f t="shared" si="111"/>
        <v>44.01535288604974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147.1675182177155</v>
      </c>
      <c r="AO145" s="60">
        <f t="shared" si="144"/>
        <v>115.86489547584461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54.917242433045743</v>
      </c>
      <c r="AV145" s="23">
        <f>EXP(-LN(2)/25)*AV144+(1-EXP(-LN(2)/25))/(LN(2)/25)*Calculateur!AQ145*Calculateur!AS145*VLOOKUP('Données projet'!$B$10,Paramètres!$A$1:$I$88,3,0)*0.475*44/12</f>
        <v>7.6580629795962389</v>
      </c>
      <c r="AW145" s="23">
        <f>EXP(-LN(2)/2)*AW144+(1-EXP(-LN(2)/2))/(LN(2)/2)*AQ145*AT145*VLOOKUP('Données projet'!$B$10,Paramètres!$A$1:$I$88,3,0)*0.475*44/12</f>
        <v>3.4318118590493802E-7</v>
      </c>
      <c r="AX145" s="23">
        <f t="shared" si="114"/>
        <v>62.575305755823166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-1.4210854715202004E-13</v>
      </c>
      <c r="BE145" s="14">
        <f>BD145*VLOOKUP('Données projet'!$B$11,Paramètres!$A$1:$I$88,3,0)*VLOOKUP('Données projet'!$B$11,Paramètres!$A$1:$I$88,5,0)</f>
        <v>-1.4409806681214833E-13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166.48525819448878</v>
      </c>
      <c r="BJ145" s="60">
        <f t="shared" si="146"/>
        <v>61.876502626609977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101.77595208559998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101.77595208559998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0" t="e">
        <f t="shared" si="119"/>
        <v>#N/A</v>
      </c>
      <c r="CD145" s="60" t="e">
        <f ca="1">AVERAGE(OFFSET($CC$3,0,0,'Données projet'!$E$12+1,1))-AVERAGE(OFFSET($H$3,0,0,'Données projet'!$E$12+1,1))</f>
        <v>#N/A</v>
      </c>
      <c r="CE145" s="60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0" t="e">
        <f t="shared" si="122"/>
        <v>#N/A</v>
      </c>
      <c r="CY145" s="60" t="e">
        <f ca="1">AVERAGE(OFFSET($CX$3,0,0,'Données projet'!$E$13+1,1))-AVERAGE(OFFSET($H$3,0,0,'Données projet'!$E$13+1,1))</f>
        <v>#N/A</v>
      </c>
      <c r="CZ145" s="60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-5.6843418860808015E-13</v>
      </c>
      <c r="O146" s="14">
        <f>N146*VLOOKUP('Données projet'!$B$9,Paramètres!$A$1:$I$88,3,0)*VLOOKUP('Données projet'!$B$9,Paramètres!$A$1:$I$88,5,0)</f>
        <v>-3.39923644787632E-13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222.57099967987045</v>
      </c>
      <c r="T146" s="60">
        <f t="shared" si="142"/>
        <v>221.49027090502796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37.827274195344309</v>
      </c>
      <c r="AA146" s="23">
        <f>EXP(-LN(2)/25)*AA145+(1-EXP(-LN(2)/25))/(LN(2)/25)*Calculateur!V146*Calculateur!X146*VLOOKUP('Données projet'!$B$9,Paramètres!$A$1:$I$88,3,0)*0.475*44/12</f>
        <v>5.2829484299797889</v>
      </c>
      <c r="AB146" s="23">
        <f>EXP(-LN(2)/2)*AB145+(1-EXP(-LN(2)/2))/(LN(2)/2)*V146*Y146*VLOOKUP('Données projet'!$B$9,Paramètres!$A$1:$I$88,3,0)*0.475*44/12</f>
        <v>2.887607332832414E-10</v>
      </c>
      <c r="AC146" s="24">
        <f t="shared" si="111"/>
        <v>43.110222625612856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147.1675182177155</v>
      </c>
      <c r="AO146" s="60">
        <f t="shared" si="144"/>
        <v>115.86489547584461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53.840348805144124</v>
      </c>
      <c r="AV146" s="23">
        <f>EXP(-LN(2)/25)*AV145+(1-EXP(-LN(2)/25))/(LN(2)/25)*Calculateur!AQ146*Calculateur!AS146*VLOOKUP('Données projet'!$B$10,Paramètres!$A$1:$I$88,3,0)*0.475*44/12</f>
        <v>7.4486528446991507</v>
      </c>
      <c r="AW146" s="23">
        <f>EXP(-LN(2)/2)*AW145+(1-EXP(-LN(2)/2))/(LN(2)/2)*AQ146*AT146*VLOOKUP('Données projet'!$B$10,Paramètres!$A$1:$I$88,3,0)*0.475*44/12</f>
        <v>2.4266574372902289E-7</v>
      </c>
      <c r="AX146" s="23">
        <f t="shared" si="114"/>
        <v>61.289001892509013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-1.4210854715202004E-13</v>
      </c>
      <c r="BE146" s="14">
        <f>BD146*VLOOKUP('Données projet'!$B$11,Paramètres!$A$1:$I$88,3,0)*VLOOKUP('Données projet'!$B$11,Paramètres!$A$1:$I$88,5,0)</f>
        <v>-1.4409806681214833E-13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166.48525819448878</v>
      </c>
      <c r="BJ146" s="60">
        <f t="shared" si="146"/>
        <v>61.876502626609977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99.780187742402518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99.780187742402518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0" t="e">
        <f t="shared" si="119"/>
        <v>#N/A</v>
      </c>
      <c r="CD146" s="60" t="e">
        <f ca="1">AVERAGE(OFFSET($CC$3,0,0,'Données projet'!$E$12+1,1))-AVERAGE(OFFSET($H$3,0,0,'Données projet'!$E$12+1,1))</f>
        <v>#N/A</v>
      </c>
      <c r="CE146" s="60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0" t="e">
        <f t="shared" si="122"/>
        <v>#N/A</v>
      </c>
      <c r="CY146" s="60" t="e">
        <f ca="1">AVERAGE(OFFSET($CX$3,0,0,'Données projet'!$E$13+1,1))-AVERAGE(OFFSET($H$3,0,0,'Données projet'!$E$13+1,1))</f>
        <v>#N/A</v>
      </c>
      <c r="CZ146" s="60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-5.6843418860808015E-13</v>
      </c>
      <c r="O147" s="14">
        <f>N147*VLOOKUP('Données projet'!$B$9,Paramètres!$A$1:$I$88,3,0)*VLOOKUP('Données projet'!$B$9,Paramètres!$A$1:$I$88,5,0)</f>
        <v>-3.39923644787632E-13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222.57099967987045</v>
      </c>
      <c r="T147" s="60">
        <f t="shared" si="142"/>
        <v>221.49027090502796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37.085504420732661</v>
      </c>
      <c r="AA147" s="23">
        <f>EXP(-LN(2)/25)*AA146+(1-EXP(-LN(2)/25))/(LN(2)/25)*Calculateur!V147*Calculateur!X147*VLOOKUP('Données projet'!$B$9,Paramètres!$A$1:$I$88,3,0)*0.475*44/12</f>
        <v>5.1384859273438082</v>
      </c>
      <c r="AB147" s="23">
        <f>EXP(-LN(2)/2)*AB146+(1-EXP(-LN(2)/2))/(LN(2)/2)*V147*Y147*VLOOKUP('Données projet'!$B$9,Paramètres!$A$1:$I$88,3,0)*0.475*44/12</f>
        <v>2.0418467264497999E-10</v>
      </c>
      <c r="AC147" s="24">
        <f t="shared" si="111"/>
        <v>42.223990348280651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147.1675182177155</v>
      </c>
      <c r="AO147" s="60">
        <f t="shared" si="144"/>
        <v>115.86489547584461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52.784572404445399</v>
      </c>
      <c r="AV147" s="23">
        <f>EXP(-LN(2)/25)*AV146+(1-EXP(-LN(2)/25))/(LN(2)/25)*Calculateur!AQ147*Calculateur!AS147*VLOOKUP('Données projet'!$B$10,Paramètres!$A$1:$I$88,3,0)*0.475*44/12</f>
        <v>7.2449690409532232</v>
      </c>
      <c r="AW147" s="23">
        <f>EXP(-LN(2)/2)*AW146+(1-EXP(-LN(2)/2))/(LN(2)/2)*AQ147*AT147*VLOOKUP('Données projet'!$B$10,Paramètres!$A$1:$I$88,3,0)*0.475*44/12</f>
        <v>1.7159059295246901E-7</v>
      </c>
      <c r="AX147" s="23">
        <f t="shared" si="114"/>
        <v>60.029541616989214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-1.4210854715202004E-13</v>
      </c>
      <c r="BE147" s="14">
        <f>BD147*VLOOKUP('Données projet'!$B$11,Paramètres!$A$1:$I$88,3,0)*VLOOKUP('Données projet'!$B$11,Paramètres!$A$1:$I$88,5,0)</f>
        <v>-1.4409806681214833E-13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166.48525819448878</v>
      </c>
      <c r="BJ147" s="60">
        <f t="shared" si="146"/>
        <v>61.876502626609977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97.823559120679107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97.823559120679107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0" t="e">
        <f t="shared" si="119"/>
        <v>#N/A</v>
      </c>
      <c r="CD147" s="60" t="e">
        <f ca="1">AVERAGE(OFFSET($CC$3,0,0,'Données projet'!$E$12+1,1))-AVERAGE(OFFSET($H$3,0,0,'Données projet'!$E$12+1,1))</f>
        <v>#N/A</v>
      </c>
      <c r="CE147" s="60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0" t="e">
        <f t="shared" si="122"/>
        <v>#N/A</v>
      </c>
      <c r="CY147" s="60" t="e">
        <f ca="1">AVERAGE(OFFSET($CX$3,0,0,'Données projet'!$E$13+1,1))-AVERAGE(OFFSET($H$3,0,0,'Données projet'!$E$13+1,1))</f>
        <v>#N/A</v>
      </c>
      <c r="CZ147" s="60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-5.6843418860808015E-13</v>
      </c>
      <c r="O148" s="14">
        <f>N148*VLOOKUP('Données projet'!$B$9,Paramètres!$A$1:$I$88,3,0)*VLOOKUP('Données projet'!$B$9,Paramètres!$A$1:$I$88,5,0)</f>
        <v>-3.39923644787632E-13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222.57099967987045</v>
      </c>
      <c r="T148" s="60">
        <f t="shared" si="142"/>
        <v>221.49027090502796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36.358280298966257</v>
      </c>
      <c r="AA148" s="23">
        <f>EXP(-LN(2)/25)*AA147+(1-EXP(-LN(2)/25))/(LN(2)/25)*Calculateur!V148*Calculateur!X148*VLOOKUP('Données projet'!$B$9,Paramètres!$A$1:$I$88,3,0)*0.475*44/12</f>
        <v>4.9979737594393612</v>
      </c>
      <c r="AB148" s="23">
        <f>EXP(-LN(2)/2)*AB147+(1-EXP(-LN(2)/2))/(LN(2)/2)*V148*Y148*VLOOKUP('Données projet'!$B$9,Paramètres!$A$1:$I$88,3,0)*0.475*44/12</f>
        <v>1.443803666416207E-10</v>
      </c>
      <c r="AC148" s="24">
        <f t="shared" si="111"/>
        <v>41.35625405855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147.1675182177155</v>
      </c>
      <c r="AO148" s="60">
        <f t="shared" si="144"/>
        <v>115.86489547584461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51.749499135004356</v>
      </c>
      <c r="AV148" s="23">
        <f>EXP(-LN(2)/25)*AV147+(1-EXP(-LN(2)/25))/(LN(2)/25)*Calculateur!AQ148*Calculateur!AS148*VLOOKUP('Données projet'!$B$10,Paramètres!$A$1:$I$88,3,0)*0.475*44/12</f>
        <v>7.0468549815319941</v>
      </c>
      <c r="AW148" s="23">
        <f>EXP(-LN(2)/2)*AW147+(1-EXP(-LN(2)/2))/(LN(2)/2)*AQ148*AT148*VLOOKUP('Données projet'!$B$10,Paramètres!$A$1:$I$88,3,0)*0.475*44/12</f>
        <v>1.2133287186451145E-7</v>
      </c>
      <c r="AX148" s="23">
        <f t="shared" si="114"/>
        <v>58.796354237869224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-1.4210854715202004E-13</v>
      </c>
      <c r="BE148" s="14">
        <f>BD148*VLOOKUP('Données projet'!$B$11,Paramètres!$A$1:$I$88,3,0)*VLOOKUP('Données projet'!$B$11,Paramètres!$A$1:$I$88,5,0)</f>
        <v>-1.4409806681214833E-13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166.48525819448878</v>
      </c>
      <c r="BJ148" s="60">
        <f t="shared" si="146"/>
        <v>61.876502626609977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95.905298792802071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95.905298792802071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0" t="e">
        <f t="shared" si="119"/>
        <v>#N/A</v>
      </c>
      <c r="CD148" s="60" t="e">
        <f ca="1">AVERAGE(OFFSET($CC$3,0,0,'Données projet'!$E$12+1,1))-AVERAGE(OFFSET($H$3,0,0,'Données projet'!$E$12+1,1))</f>
        <v>#N/A</v>
      </c>
      <c r="CE148" s="60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0" t="e">
        <f t="shared" si="122"/>
        <v>#N/A</v>
      </c>
      <c r="CY148" s="60" t="e">
        <f ca="1">AVERAGE(OFFSET($CX$3,0,0,'Données projet'!$E$13+1,1))-AVERAGE(OFFSET($H$3,0,0,'Données projet'!$E$13+1,1))</f>
        <v>#N/A</v>
      </c>
      <c r="CZ148" s="60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-5.6843418860808015E-13</v>
      </c>
      <c r="O149" s="14">
        <f>N149*VLOOKUP('Données projet'!$B$9,Paramètres!$A$1:$I$88,3,0)*VLOOKUP('Données projet'!$B$9,Paramètres!$A$1:$I$88,5,0)</f>
        <v>-3.39923644787632E-13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222.57099967987045</v>
      </c>
      <c r="T149" s="60">
        <f t="shared" si="142"/>
        <v>221.49027090502796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35.645316598664778</v>
      </c>
      <c r="AA149" s="23">
        <f>EXP(-LN(2)/25)*AA148+(1-EXP(-LN(2)/25))/(LN(2)/25)*Calculateur!V149*Calculateur!X149*VLOOKUP('Données projet'!$B$9,Paramètres!$A$1:$I$88,3,0)*0.475*44/12</f>
        <v>4.8613039041554744</v>
      </c>
      <c r="AB149" s="23">
        <f>EXP(-LN(2)/2)*AB148+(1-EXP(-LN(2)/2))/(LN(2)/2)*V149*Y149*VLOOKUP('Données projet'!$B$9,Paramètres!$A$1:$I$88,3,0)*0.475*44/12</f>
        <v>1.0209233632249E-10</v>
      </c>
      <c r="AC149" s="24">
        <f t="shared" si="111"/>
        <v>40.506620502922345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147.1675182177155</v>
      </c>
      <c r="AO149" s="60">
        <f t="shared" si="144"/>
        <v>115.86489547584461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50.734723021044701</v>
      </c>
      <c r="AV149" s="23">
        <f>EXP(-LN(2)/25)*AV148+(1-EXP(-LN(2)/25))/(LN(2)/25)*Calculateur!AQ149*Calculateur!AS149*VLOOKUP('Données projet'!$B$10,Paramètres!$A$1:$I$88,3,0)*0.475*44/12</f>
        <v>6.8541583614840036</v>
      </c>
      <c r="AW149" s="23">
        <f>EXP(-LN(2)/2)*AW148+(1-EXP(-LN(2)/2))/(LN(2)/2)*AQ149*AT149*VLOOKUP('Données projet'!$B$10,Paramètres!$A$1:$I$88,3,0)*0.475*44/12</f>
        <v>8.5795296476234504E-8</v>
      </c>
      <c r="AX149" s="23">
        <f t="shared" si="114"/>
        <v>57.588881468324004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-1.4210854715202004E-13</v>
      </c>
      <c r="BE149" s="14">
        <f>BD149*VLOOKUP('Données projet'!$B$11,Paramètres!$A$1:$I$88,3,0)*VLOOKUP('Données projet'!$B$11,Paramètres!$A$1:$I$88,5,0)</f>
        <v>-1.4409806681214833E-13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166.48525819448878</v>
      </c>
      <c r="BJ149" s="60">
        <f t="shared" si="146"/>
        <v>61.876502626609977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94.024654379931448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94.024654379931448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0" t="e">
        <f t="shared" si="119"/>
        <v>#N/A</v>
      </c>
      <c r="CD149" s="60" t="e">
        <f ca="1">AVERAGE(OFFSET($CC$3,0,0,'Données projet'!$E$12+1,1))-AVERAGE(OFFSET($H$3,0,0,'Données projet'!$E$12+1,1))</f>
        <v>#N/A</v>
      </c>
      <c r="CE149" s="60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0" t="e">
        <f t="shared" si="122"/>
        <v>#N/A</v>
      </c>
      <c r="CY149" s="60" t="e">
        <f ca="1">AVERAGE(OFFSET($CX$3,0,0,'Données projet'!$E$13+1,1))-AVERAGE(OFFSET($H$3,0,0,'Données projet'!$E$13+1,1))</f>
        <v>#N/A</v>
      </c>
      <c r="CZ149" s="60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-5.6843418860808015E-13</v>
      </c>
      <c r="O150" s="14">
        <f>N150*VLOOKUP('Données projet'!$B$9,Paramètres!$A$1:$I$88,3,0)*VLOOKUP('Données projet'!$B$9,Paramètres!$A$1:$I$88,5,0)</f>
        <v>-3.39923644787632E-13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222.57099967987045</v>
      </c>
      <c r="T150" s="60">
        <f t="shared" si="142"/>
        <v>221.49027090502796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34.946333681661294</v>
      </c>
      <c r="AA150" s="23">
        <f>EXP(-LN(2)/25)*AA149+(1-EXP(-LN(2)/25))/(LN(2)/25)*Calculateur!V150*Calculateur!X150*VLOOKUP('Données projet'!$B$9,Paramètres!$A$1:$I$88,3,0)*0.475*44/12</f>
        <v>4.728371293251481</v>
      </c>
      <c r="AB150" s="23">
        <f>EXP(-LN(2)/2)*AB149+(1-EXP(-LN(2)/2))/(LN(2)/2)*V150*Y150*VLOOKUP('Données projet'!$B$9,Paramètres!$A$1:$I$88,3,0)*0.475*44/12</f>
        <v>7.219018332081035E-11</v>
      </c>
      <c r="AC150" s="24">
        <f t="shared" si="111"/>
        <v>39.674704974984962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147.1675182177155</v>
      </c>
      <c r="AO150" s="60">
        <f t="shared" si="144"/>
        <v>115.86489547584461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49.739846047727482</v>
      </c>
      <c r="AV150" s="23">
        <f>EXP(-LN(2)/25)*AV149+(1-EXP(-LN(2)/25))/(LN(2)/25)*Calculateur!AQ150*Calculateur!AS150*VLOOKUP('Données projet'!$B$10,Paramètres!$A$1:$I$88,3,0)*0.475*44/12</f>
        <v>6.6667310406447005</v>
      </c>
      <c r="AW150" s="23">
        <f>EXP(-LN(2)/2)*AW149+(1-EXP(-LN(2)/2))/(LN(2)/2)*AQ150*AT150*VLOOKUP('Données projet'!$B$10,Paramètres!$A$1:$I$88,3,0)*0.475*44/12</f>
        <v>6.0666435932255723E-8</v>
      </c>
      <c r="AX150" s="23">
        <f t="shared" si="114"/>
        <v>56.406577149038618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-1.4210854715202004E-13</v>
      </c>
      <c r="BE150" s="14">
        <f>BD150*VLOOKUP('Données projet'!$B$11,Paramètres!$A$1:$I$88,3,0)*VLOOKUP('Données projet'!$B$11,Paramètres!$A$1:$I$88,5,0)</f>
        <v>-1.4409806681214833E-13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166.48525819448878</v>
      </c>
      <c r="BJ150" s="60">
        <f t="shared" si="146"/>
        <v>61.876502626609977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92.180888256917385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92.180888256917385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0" t="e">
        <f t="shared" si="119"/>
        <v>#N/A</v>
      </c>
      <c r="CD150" s="60" t="e">
        <f ca="1">AVERAGE(OFFSET($CC$3,0,0,'Données projet'!$E$12+1,1))-AVERAGE(OFFSET($H$3,0,0,'Données projet'!$E$12+1,1))</f>
        <v>#N/A</v>
      </c>
      <c r="CE150" s="60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0" t="e">
        <f t="shared" si="122"/>
        <v>#N/A</v>
      </c>
      <c r="CY150" s="60" t="e">
        <f ca="1">AVERAGE(OFFSET($CX$3,0,0,'Données projet'!$E$13+1,1))-AVERAGE(OFFSET($H$3,0,0,'Données projet'!$E$13+1,1))</f>
        <v>#N/A</v>
      </c>
      <c r="CZ150" s="60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-5.6843418860808015E-13</v>
      </c>
      <c r="O151" s="14">
        <f>N151*VLOOKUP('Données projet'!$B$9,Paramètres!$A$1:$I$88,3,0)*VLOOKUP('Données projet'!$B$9,Paramètres!$A$1:$I$88,5,0)</f>
        <v>-3.39923644787632E-13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222.57099967987045</v>
      </c>
      <c r="T151" s="60">
        <f t="shared" si="142"/>
        <v>221.49027090502796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34.261057393322766</v>
      </c>
      <c r="AA151" s="23">
        <f>EXP(-LN(2)/25)*AA150+(1-EXP(-LN(2)/25))/(LN(2)/25)*Calculateur!V151*Calculateur!X151*VLOOKUP('Données projet'!$B$9,Paramètres!$A$1:$I$88,3,0)*0.475*44/12</f>
        <v>4.5990737315832799</v>
      </c>
      <c r="AB151" s="23">
        <f>EXP(-LN(2)/2)*AB150+(1-EXP(-LN(2)/2))/(LN(2)/2)*V151*Y151*VLOOKUP('Données projet'!$B$9,Paramètres!$A$1:$I$88,3,0)*0.475*44/12</f>
        <v>5.1046168161244998E-11</v>
      </c>
      <c r="AC151" s="24">
        <f t="shared" si="111"/>
        <v>38.860131124957093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147.1675182177155</v>
      </c>
      <c r="AO151" s="60">
        <f t="shared" si="144"/>
        <v>115.86489547584461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48.76447800504198</v>
      </c>
      <c r="AV151" s="23">
        <f>EXP(-LN(2)/25)*AV150+(1-EXP(-LN(2)/25))/(LN(2)/25)*Calculateur!AQ151*Calculateur!AS151*VLOOKUP('Données projet'!$B$10,Paramètres!$A$1:$I$88,3,0)*0.475*44/12</f>
        <v>6.4844289297501225</v>
      </c>
      <c r="AW151" s="23">
        <f>EXP(-LN(2)/2)*AW150+(1-EXP(-LN(2)/2))/(LN(2)/2)*AQ151*AT151*VLOOKUP('Données projet'!$B$10,Paramètres!$A$1:$I$88,3,0)*0.475*44/12</f>
        <v>4.2897648238117252E-8</v>
      </c>
      <c r="AX151" s="23">
        <f t="shared" si="114"/>
        <v>55.248906977689749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-1.4210854715202004E-13</v>
      </c>
      <c r="BE151" s="14">
        <f>BD151*VLOOKUP('Données projet'!$B$11,Paramètres!$A$1:$I$88,3,0)*VLOOKUP('Données projet'!$B$11,Paramètres!$A$1:$I$88,5,0)</f>
        <v>-1.4409806681214833E-13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166.48525819448878</v>
      </c>
      <c r="BJ151" s="60">
        <f t="shared" si="146"/>
        <v>61.876502626609977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90.373277262989333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90.373277262989333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0" t="e">
        <f t="shared" si="119"/>
        <v>#N/A</v>
      </c>
      <c r="CD151" s="60" t="e">
        <f ca="1">AVERAGE(OFFSET($CC$3,0,0,'Données projet'!$E$12+1,1))-AVERAGE(OFFSET($H$3,0,0,'Données projet'!$E$12+1,1))</f>
        <v>#N/A</v>
      </c>
      <c r="CE151" s="60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0" t="e">
        <f t="shared" si="122"/>
        <v>#N/A</v>
      </c>
      <c r="CY151" s="60" t="e">
        <f ca="1">AVERAGE(OFFSET($CX$3,0,0,'Données projet'!$E$13+1,1))-AVERAGE(OFFSET($H$3,0,0,'Données projet'!$E$13+1,1))</f>
        <v>#N/A</v>
      </c>
      <c r="CZ151" s="60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-5.6843418860808015E-13</v>
      </c>
      <c r="O152" s="14">
        <f>N152*VLOOKUP('Données projet'!$B$9,Paramètres!$A$1:$I$88,3,0)*VLOOKUP('Données projet'!$B$9,Paramètres!$A$1:$I$88,5,0)</f>
        <v>-3.39923644787632E-13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222.57099967987045</v>
      </c>
      <c r="T152" s="60">
        <f t="shared" si="142"/>
        <v>221.49027090502796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33.589218955021288</v>
      </c>
      <c r="AA152" s="23">
        <f>EXP(-LN(2)/25)*AA151+(1-EXP(-LN(2)/25))/(LN(2)/25)*Calculateur!V152*Calculateur!X152*VLOOKUP('Données projet'!$B$9,Paramètres!$A$1:$I$88,3,0)*0.475*44/12</f>
        <v>4.4733118185383587</v>
      </c>
      <c r="AB152" s="23">
        <f>EXP(-LN(2)/2)*AB151+(1-EXP(-LN(2)/2))/(LN(2)/2)*V152*Y152*VLOOKUP('Données projet'!$B$9,Paramètres!$A$1:$I$88,3,0)*0.475*44/12</f>
        <v>3.6095091660405175E-11</v>
      </c>
      <c r="AC152" s="24">
        <f t="shared" si="111"/>
        <v>38.062530773595739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147.1675182177155</v>
      </c>
      <c r="AO152" s="60">
        <f t="shared" si="144"/>
        <v>115.86489547584461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47.808236334757773</v>
      </c>
      <c r="AV152" s="23">
        <f>EXP(-LN(2)/25)*AV151+(1-EXP(-LN(2)/25))/(LN(2)/25)*Calculateur!AQ152*Calculateur!AS152*VLOOKUP('Données projet'!$B$10,Paramètres!$A$1:$I$88,3,0)*0.475*44/12</f>
        <v>6.3071118796648085</v>
      </c>
      <c r="AW152" s="23">
        <f>EXP(-LN(2)/2)*AW151+(1-EXP(-LN(2)/2))/(LN(2)/2)*AQ152*AT152*VLOOKUP('Données projet'!$B$10,Paramètres!$A$1:$I$88,3,0)*0.475*44/12</f>
        <v>3.0333217966127862E-8</v>
      </c>
      <c r="AX152" s="23">
        <f t="shared" si="114"/>
        <v>54.115348244755801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-1.4210854715202004E-13</v>
      </c>
      <c r="BE152" s="14">
        <f>BD152*VLOOKUP('Données projet'!$B$11,Paramètres!$A$1:$I$88,3,0)*VLOOKUP('Données projet'!$B$11,Paramètres!$A$1:$I$88,5,0)</f>
        <v>-1.4409806681214833E-13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166.48525819448878</v>
      </c>
      <c r="BJ152" s="60">
        <f t="shared" si="146"/>
        <v>61.876502626609977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88.601112418118376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88.601112418118376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0" t="e">
        <f t="shared" si="119"/>
        <v>#N/A</v>
      </c>
      <c r="CD152" s="60" t="e">
        <f ca="1">AVERAGE(OFFSET($CC$3,0,0,'Données projet'!$E$12+1,1))-AVERAGE(OFFSET($H$3,0,0,'Données projet'!$E$12+1,1))</f>
        <v>#N/A</v>
      </c>
      <c r="CE152" s="60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0" t="e">
        <f t="shared" si="122"/>
        <v>#N/A</v>
      </c>
      <c r="CY152" s="60" t="e">
        <f ca="1">AVERAGE(OFFSET($CX$3,0,0,'Données projet'!$E$13+1,1))-AVERAGE(OFFSET($H$3,0,0,'Données projet'!$E$13+1,1))</f>
        <v>#N/A</v>
      </c>
      <c r="CZ152" s="60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-5.6843418860808015E-13</v>
      </c>
      <c r="O153" s="14">
        <f>N153*VLOOKUP('Données projet'!$B$9,Paramètres!$A$1:$I$88,3,0)*VLOOKUP('Données projet'!$B$9,Paramètres!$A$1:$I$88,5,0)</f>
        <v>-3.39923644787632E-13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222.57099967987045</v>
      </c>
      <c r="T153" s="60">
        <f t="shared" si="142"/>
        <v>221.49027090502796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32.930554858713919</v>
      </c>
      <c r="AA153" s="23">
        <f>EXP(-LN(2)/25)*AA152+(1-EXP(-LN(2)/25))/(LN(2)/25)*Calculateur!V153*Calculateur!X153*VLOOKUP('Données projet'!$B$9,Paramètres!$A$1:$I$88,3,0)*0.475*44/12</f>
        <v>4.3509888716191822</v>
      </c>
      <c r="AB153" s="23">
        <f>EXP(-LN(2)/2)*AB152+(1-EXP(-LN(2)/2))/(LN(2)/2)*V153*Y153*VLOOKUP('Données projet'!$B$9,Paramètres!$A$1:$I$88,3,0)*0.475*44/12</f>
        <v>2.5523084080622499E-11</v>
      </c>
      <c r="AC153" s="24">
        <f t="shared" si="111"/>
        <v>37.281543730358621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147.1675182177155</v>
      </c>
      <c r="AO153" s="60">
        <f t="shared" si="144"/>
        <v>115.86489547584461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46.870745980378011</v>
      </c>
      <c r="AV153" s="23">
        <f>EXP(-LN(2)/25)*AV152+(1-EXP(-LN(2)/25))/(LN(2)/25)*Calculateur!AQ153*Calculateur!AS153*VLOOKUP('Données projet'!$B$10,Paramètres!$A$1:$I$88,3,0)*0.475*44/12</f>
        <v>6.1346435736387752</v>
      </c>
      <c r="AW153" s="23">
        <f>EXP(-LN(2)/2)*AW152+(1-EXP(-LN(2)/2))/(LN(2)/2)*AQ153*AT153*VLOOKUP('Données projet'!$B$10,Paramètres!$A$1:$I$88,3,0)*0.475*44/12</f>
        <v>2.1448824119058626E-8</v>
      </c>
      <c r="AX153" s="23">
        <f t="shared" si="114"/>
        <v>53.005389575465614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-1.4210854715202004E-13</v>
      </c>
      <c r="BE153" s="14">
        <f>BD153*VLOOKUP('Données projet'!$B$11,Paramètres!$A$1:$I$88,3,0)*VLOOKUP('Données projet'!$B$11,Paramètres!$A$1:$I$88,5,0)</f>
        <v>-1.4409806681214833E-13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166.48525819448878</v>
      </c>
      <c r="BJ153" s="60">
        <f t="shared" si="146"/>
        <v>61.876502626609977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86.863698644941508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86.863698644941508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0" t="e">
        <f t="shared" si="119"/>
        <v>#N/A</v>
      </c>
      <c r="CD153" s="60" t="e">
        <f ca="1">AVERAGE(OFFSET($CC$3,0,0,'Données projet'!$E$12+1,1))-AVERAGE(OFFSET($H$3,0,0,'Données projet'!$E$12+1,1))</f>
        <v>#N/A</v>
      </c>
      <c r="CE153" s="60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0" t="e">
        <f t="shared" si="122"/>
        <v>#N/A</v>
      </c>
      <c r="CY153" s="60" t="e">
        <f ca="1">AVERAGE(OFFSET($CX$3,0,0,'Données projet'!$E$13+1,1))-AVERAGE(OFFSET($H$3,0,0,'Données projet'!$E$13+1,1))</f>
        <v>#N/A</v>
      </c>
      <c r="CZ153" s="60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-5.6843418860808015E-13</v>
      </c>
      <c r="O154" s="14">
        <f>N154*VLOOKUP('Données projet'!$B$9,Paramètres!$A$1:$I$88,3,0)*VLOOKUP('Données projet'!$B$9,Paramètres!$A$1:$I$88,5,0)</f>
        <v>-3.39923644787632E-13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222.57099967987045</v>
      </c>
      <c r="T154" s="60">
        <f t="shared" si="142"/>
        <v>221.49027090502796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32.284806763589707</v>
      </c>
      <c r="AA154" s="23">
        <f>EXP(-LN(2)/25)*AA153+(1-EXP(-LN(2)/25))/(LN(2)/25)*Calculateur!V154*Calculateur!X154*VLOOKUP('Données projet'!$B$9,Paramètres!$A$1:$I$88,3,0)*0.475*44/12</f>
        <v>4.2320108521161952</v>
      </c>
      <c r="AB154" s="23">
        <f>EXP(-LN(2)/2)*AB153+(1-EXP(-LN(2)/2))/(LN(2)/2)*V154*Y154*VLOOKUP('Données projet'!$B$9,Paramètres!$A$1:$I$88,3,0)*0.475*44/12</f>
        <v>1.8047545830202587E-11</v>
      </c>
      <c r="AC154" s="24">
        <f t="shared" ref="AC154:AC203" si="163">SUM(Z154:AB154)</f>
        <v>36.516817615723951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147.1675182177155</v>
      </c>
      <c r="AO154" s="60">
        <f t="shared" si="144"/>
        <v>115.86489547584461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45.951639240034986</v>
      </c>
      <c r="AV154" s="23">
        <f>EXP(-LN(2)/25)*AV153+(1-EXP(-LN(2)/25))/(LN(2)/25)*Calculateur!AQ154*Calculateur!AS154*VLOOKUP('Données projet'!$B$10,Paramètres!$A$1:$I$88,3,0)*0.475*44/12</f>
        <v>5.9668914225107379</v>
      </c>
      <c r="AW154" s="23">
        <f>EXP(-LN(2)/2)*AW153+(1-EXP(-LN(2)/2))/(LN(2)/2)*AQ154*AT154*VLOOKUP('Données projet'!$B$10,Paramètres!$A$1:$I$88,3,0)*0.475*44/12</f>
        <v>1.5166608983063931E-8</v>
      </c>
      <c r="AX154" s="23">
        <f t="shared" ref="AX154:AX203" si="166">SUM(AU154:AW154)</f>
        <v>51.918530677712326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-1.4210854715202004E-13</v>
      </c>
      <c r="BE154" s="14">
        <f>BD154*VLOOKUP('Données projet'!$B$11,Paramètres!$A$1:$I$88,3,0)*VLOOKUP('Données projet'!$B$11,Paramètres!$A$1:$I$88,5,0)</f>
        <v>-1.4409806681214833E-13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166.48525819448878</v>
      </c>
      <c r="BJ154" s="60">
        <f t="shared" si="146"/>
        <v>61.876502626609977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85.160354496138879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85.160354496138879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0" t="e">
        <f t="shared" si="119"/>
        <v>#N/A</v>
      </c>
      <c r="CD154" s="60" t="e">
        <f ca="1">AVERAGE(OFFSET($CC$3,0,0,'Données projet'!$E$12+1,1))-AVERAGE(OFFSET($H$3,0,0,'Données projet'!$E$12+1,1))</f>
        <v>#N/A</v>
      </c>
      <c r="CE154" s="60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0" t="e">
        <f t="shared" si="122"/>
        <v>#N/A</v>
      </c>
      <c r="CY154" s="60" t="e">
        <f ca="1">AVERAGE(OFFSET($CX$3,0,0,'Données projet'!$E$13+1,1))-AVERAGE(OFFSET($H$3,0,0,'Données projet'!$E$13+1,1))</f>
        <v>#N/A</v>
      </c>
      <c r="CZ154" s="60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-5.6843418860808015E-13</v>
      </c>
      <c r="O155" s="14">
        <f>N155*VLOOKUP('Données projet'!$B$9,Paramètres!$A$1:$I$88,3,0)*VLOOKUP('Données projet'!$B$9,Paramètres!$A$1:$I$88,5,0)</f>
        <v>-3.39923644787632E-13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222.57099967987045</v>
      </c>
      <c r="T155" s="60">
        <f t="shared" si="142"/>
        <v>221.49027090502796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31.651721394743436</v>
      </c>
      <c r="AA155" s="23">
        <f>EXP(-LN(2)/25)*AA154+(1-EXP(-LN(2)/25))/(LN(2)/25)*Calculateur!V155*Calculateur!X155*VLOOKUP('Données projet'!$B$9,Paramètres!$A$1:$I$88,3,0)*0.475*44/12</f>
        <v>4.1162862928132995</v>
      </c>
      <c r="AB155" s="23">
        <f>EXP(-LN(2)/2)*AB154+(1-EXP(-LN(2)/2))/(LN(2)/2)*V155*Y155*VLOOKUP('Données projet'!$B$9,Paramètres!$A$1:$I$88,3,0)*0.475*44/12</f>
        <v>1.2761542040311249E-11</v>
      </c>
      <c r="AC155" s="24">
        <f t="shared" si="163"/>
        <v>35.768007687569494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147.1675182177155</v>
      </c>
      <c r="AO155" s="60">
        <f t="shared" si="144"/>
        <v>115.86489547584461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45.050555622270331</v>
      </c>
      <c r="AV155" s="23">
        <f>EXP(-LN(2)/25)*AV154+(1-EXP(-LN(2)/25))/(LN(2)/25)*Calculateur!AQ155*Calculateur!AS155*VLOOKUP('Données projet'!$B$10,Paramètres!$A$1:$I$88,3,0)*0.475*44/12</f>
        <v>5.8037264627769991</v>
      </c>
      <c r="AW155" s="23">
        <f>EXP(-LN(2)/2)*AW154+(1-EXP(-LN(2)/2))/(LN(2)/2)*AQ155*AT155*VLOOKUP('Données projet'!$B$10,Paramètres!$A$1:$I$88,3,0)*0.475*44/12</f>
        <v>1.0724412059529313E-8</v>
      </c>
      <c r="AX155" s="23">
        <f t="shared" si="166"/>
        <v>50.854282095771744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-1.4210854715202004E-13</v>
      </c>
      <c r="BE155" s="14">
        <f>BD155*VLOOKUP('Données projet'!$B$11,Paramètres!$A$1:$I$88,3,0)*VLOOKUP('Données projet'!$B$11,Paramètres!$A$1:$I$88,5,0)</f>
        <v>-1.4409806681214833E-13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166.48525819448878</v>
      </c>
      <c r="BJ155" s="60">
        <f t="shared" si="146"/>
        <v>61.876502626609977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83.490411887156924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83.490411887156924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0" t="e">
        <f t="shared" si="119"/>
        <v>#N/A</v>
      </c>
      <c r="CD155" s="60" t="e">
        <f ca="1">AVERAGE(OFFSET($CC$3,0,0,'Données projet'!$E$12+1,1))-AVERAGE(OFFSET($H$3,0,0,'Données projet'!$E$12+1,1))</f>
        <v>#N/A</v>
      </c>
      <c r="CE155" s="60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0" t="e">
        <f t="shared" si="122"/>
        <v>#N/A</v>
      </c>
      <c r="CY155" s="60" t="e">
        <f ca="1">AVERAGE(OFFSET($CX$3,0,0,'Données projet'!$E$13+1,1))-AVERAGE(OFFSET($H$3,0,0,'Données projet'!$E$13+1,1))</f>
        <v>#N/A</v>
      </c>
      <c r="CZ155" s="60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-5.6843418860808015E-13</v>
      </c>
      <c r="O156" s="14">
        <f>N156*VLOOKUP('Données projet'!$B$9,Paramètres!$A$1:$I$88,3,0)*VLOOKUP('Données projet'!$B$9,Paramètres!$A$1:$I$88,5,0)</f>
        <v>-3.39923644787632E-13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222.57099967987045</v>
      </c>
      <c r="T156" s="60">
        <f t="shared" si="142"/>
        <v>221.49027090502796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31.031050443836293</v>
      </c>
      <c r="AA156" s="23">
        <f>EXP(-LN(2)/25)*AA155+(1-EXP(-LN(2)/25))/(LN(2)/25)*Calculateur!V156*Calculateur!X156*VLOOKUP('Données projet'!$B$9,Paramètres!$A$1:$I$88,3,0)*0.475*44/12</f>
        <v>4.0037262276702315</v>
      </c>
      <c r="AB156" s="23">
        <f>EXP(-LN(2)/2)*AB155+(1-EXP(-LN(2)/2))/(LN(2)/2)*V156*Y156*VLOOKUP('Données projet'!$B$9,Paramètres!$A$1:$I$88,3,0)*0.475*44/12</f>
        <v>9.0237729151012937E-12</v>
      </c>
      <c r="AC156" s="24">
        <f t="shared" si="163"/>
        <v>35.034776671515544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147.1675182177155</v>
      </c>
      <c r="AO156" s="60">
        <f t="shared" si="144"/>
        <v>115.86489547584461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44.167141704643299</v>
      </c>
      <c r="AV156" s="23">
        <f>EXP(-LN(2)/25)*AV155+(1-EXP(-LN(2)/25))/(LN(2)/25)*Calculateur!AQ156*Calculateur!AS156*VLOOKUP('Données projet'!$B$10,Paramètres!$A$1:$I$88,3,0)*0.475*44/12</f>
        <v>5.6450232574476518</v>
      </c>
      <c r="AW156" s="23">
        <f>EXP(-LN(2)/2)*AW155+(1-EXP(-LN(2)/2))/(LN(2)/2)*AQ156*AT156*VLOOKUP('Données projet'!$B$10,Paramètres!$A$1:$I$88,3,0)*0.475*44/12</f>
        <v>7.5833044915319654E-9</v>
      </c>
      <c r="AX156" s="23">
        <f t="shared" si="166"/>
        <v>49.812164969674257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-1.4210854715202004E-13</v>
      </c>
      <c r="BE156" s="14">
        <f>BD156*VLOOKUP('Données projet'!$B$11,Paramètres!$A$1:$I$88,3,0)*VLOOKUP('Données projet'!$B$11,Paramètres!$A$1:$I$88,5,0)</f>
        <v>-1.4409806681214833E-13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166.48525819448878</v>
      </c>
      <c r="BJ156" s="60">
        <f t="shared" si="146"/>
        <v>61.876502626609977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81.853215834172687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81.853215834172687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0" t="e">
        <f t="shared" si="119"/>
        <v>#N/A</v>
      </c>
      <c r="CD156" s="60" t="e">
        <f ca="1">AVERAGE(OFFSET($CC$3,0,0,'Données projet'!$E$12+1,1))-AVERAGE(OFFSET($H$3,0,0,'Données projet'!$E$12+1,1))</f>
        <v>#N/A</v>
      </c>
      <c r="CE156" s="60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0" t="e">
        <f t="shared" si="122"/>
        <v>#N/A</v>
      </c>
      <c r="CY156" s="60" t="e">
        <f ca="1">AVERAGE(OFFSET($CX$3,0,0,'Données projet'!$E$13+1,1))-AVERAGE(OFFSET($H$3,0,0,'Données projet'!$E$13+1,1))</f>
        <v>#N/A</v>
      </c>
      <c r="CZ156" s="60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-5.6843418860808015E-13</v>
      </c>
      <c r="O157" s="14">
        <f>N157*VLOOKUP('Données projet'!$B$9,Paramètres!$A$1:$I$88,3,0)*VLOOKUP('Données projet'!$B$9,Paramètres!$A$1:$I$88,5,0)</f>
        <v>-3.39923644787632E-13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222.57099967987045</v>
      </c>
      <c r="T157" s="60">
        <f t="shared" si="142"/>
        <v>221.49027090502796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30.42255047170454</v>
      </c>
      <c r="AA157" s="23">
        <f>EXP(-LN(2)/25)*AA156+(1-EXP(-LN(2)/25))/(LN(2)/25)*Calculateur!V157*Calculateur!X157*VLOOKUP('Données projet'!$B$9,Paramètres!$A$1:$I$88,3,0)*0.475*44/12</f>
        <v>3.8942441234277774</v>
      </c>
      <c r="AB157" s="23">
        <f>EXP(-LN(2)/2)*AB156+(1-EXP(-LN(2)/2))/(LN(2)/2)*V157*Y157*VLOOKUP('Données projet'!$B$9,Paramètres!$A$1:$I$88,3,0)*0.475*44/12</f>
        <v>6.3807710201556247E-12</v>
      </c>
      <c r="AC157" s="24">
        <f t="shared" si="163"/>
        <v>34.316794595138695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147.1675182177155</v>
      </c>
      <c r="AO157" s="60">
        <f t="shared" si="144"/>
        <v>115.86489547584461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43.301050995111652</v>
      </c>
      <c r="AV157" s="23">
        <f>EXP(-LN(2)/25)*AV156+(1-EXP(-LN(2)/25))/(LN(2)/25)*Calculateur!AQ157*Calculateur!AS157*VLOOKUP('Données projet'!$B$10,Paramètres!$A$1:$I$88,3,0)*0.475*44/12</f>
        <v>5.4906597996138746</v>
      </c>
      <c r="AW157" s="23">
        <f>EXP(-LN(2)/2)*AW156+(1-EXP(-LN(2)/2))/(LN(2)/2)*AQ157*AT157*VLOOKUP('Données projet'!$B$10,Paramètres!$A$1:$I$88,3,0)*0.475*44/12</f>
        <v>5.3622060297646565E-9</v>
      </c>
      <c r="AX157" s="23">
        <f t="shared" si="166"/>
        <v>48.791710800087728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-1.4210854715202004E-13</v>
      </c>
      <c r="BE157" s="14">
        <f>BD157*VLOOKUP('Données projet'!$B$11,Paramètres!$A$1:$I$88,3,0)*VLOOKUP('Données projet'!$B$11,Paramètres!$A$1:$I$88,5,0)</f>
        <v>-1.4409806681214833E-13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166.48525819448878</v>
      </c>
      <c r="BJ157" s="60">
        <f t="shared" si="146"/>
        <v>61.876502626609977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80.248124197196489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80.248124197196489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0" t="e">
        <f t="shared" si="119"/>
        <v>#N/A</v>
      </c>
      <c r="CD157" s="60" t="e">
        <f ca="1">AVERAGE(OFFSET($CC$3,0,0,'Données projet'!$E$12+1,1))-AVERAGE(OFFSET($H$3,0,0,'Données projet'!$E$12+1,1))</f>
        <v>#N/A</v>
      </c>
      <c r="CE157" s="60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0" t="e">
        <f t="shared" si="122"/>
        <v>#N/A</v>
      </c>
      <c r="CY157" s="60" t="e">
        <f ca="1">AVERAGE(OFFSET($CX$3,0,0,'Données projet'!$E$13+1,1))-AVERAGE(OFFSET($H$3,0,0,'Données projet'!$E$13+1,1))</f>
        <v>#N/A</v>
      </c>
      <c r="CZ157" s="60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-5.6843418860808015E-13</v>
      </c>
      <c r="O158" s="14">
        <f>N158*VLOOKUP('Données projet'!$B$9,Paramètres!$A$1:$I$88,3,0)*VLOOKUP('Données projet'!$B$9,Paramètres!$A$1:$I$88,5,0)</f>
        <v>-3.39923644787632E-13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222.57099967987045</v>
      </c>
      <c r="T158" s="60">
        <f t="shared" si="142"/>
        <v>221.49027090502796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29.825982812877957</v>
      </c>
      <c r="AA158" s="23">
        <f>EXP(-LN(2)/25)*AA157+(1-EXP(-LN(2)/25))/(LN(2)/25)*Calculateur!V158*Calculateur!X158*VLOOKUP('Données projet'!$B$9,Paramètres!$A$1:$I$88,3,0)*0.475*44/12</f>
        <v>3.7877558130832467</v>
      </c>
      <c r="AB158" s="23">
        <f>EXP(-LN(2)/2)*AB157+(1-EXP(-LN(2)/2))/(LN(2)/2)*V158*Y158*VLOOKUP('Données projet'!$B$9,Paramètres!$A$1:$I$88,3,0)*0.475*44/12</f>
        <v>4.5118864575506468E-12</v>
      </c>
      <c r="AC158" s="24">
        <f t="shared" si="163"/>
        <v>33.613738625965716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147.1675182177155</v>
      </c>
      <c r="AO158" s="60">
        <f t="shared" si="144"/>
        <v>115.86489547584461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42.451943796130749</v>
      </c>
      <c r="AV158" s="23">
        <f>EXP(-LN(2)/25)*AV157+(1-EXP(-LN(2)/25))/(LN(2)/25)*Calculateur!AQ158*Calculateur!AS158*VLOOKUP('Données projet'!$B$10,Paramètres!$A$1:$I$88,3,0)*0.475*44/12</f>
        <v>5.3405174186521833</v>
      </c>
      <c r="AW158" s="23">
        <f>EXP(-LN(2)/2)*AW157+(1-EXP(-LN(2)/2))/(LN(2)/2)*AQ158*AT158*VLOOKUP('Données projet'!$B$10,Paramètres!$A$1:$I$88,3,0)*0.475*44/12</f>
        <v>3.7916522457659827E-9</v>
      </c>
      <c r="AX158" s="23">
        <f t="shared" si="166"/>
        <v>47.792461218574587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-1.4210854715202004E-13</v>
      </c>
      <c r="BE158" s="14">
        <f>BD158*VLOOKUP('Données projet'!$B$11,Paramètres!$A$1:$I$88,3,0)*VLOOKUP('Données projet'!$B$11,Paramètres!$A$1:$I$88,5,0)</f>
        <v>-1.4409806681214833E-13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166.48525819448878</v>
      </c>
      <c r="BJ158" s="60">
        <f t="shared" si="146"/>
        <v>61.876502626609977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78.674507428212152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78.674507428212152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0" t="e">
        <f t="shared" si="119"/>
        <v>#N/A</v>
      </c>
      <c r="CD158" s="60" t="e">
        <f ca="1">AVERAGE(OFFSET($CC$3,0,0,'Données projet'!$E$12+1,1))-AVERAGE(OFFSET($H$3,0,0,'Données projet'!$E$12+1,1))</f>
        <v>#N/A</v>
      </c>
      <c r="CE158" s="60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0" t="e">
        <f t="shared" si="122"/>
        <v>#N/A</v>
      </c>
      <c r="CY158" s="60" t="e">
        <f ca="1">AVERAGE(OFFSET($CX$3,0,0,'Données projet'!$E$13+1,1))-AVERAGE(OFFSET($H$3,0,0,'Données projet'!$E$13+1,1))</f>
        <v>#N/A</v>
      </c>
      <c r="CZ158" s="60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-5.6843418860808015E-13</v>
      </c>
      <c r="O159" s="14">
        <f>N159*VLOOKUP('Données projet'!$B$9,Paramètres!$A$1:$I$88,3,0)*VLOOKUP('Données projet'!$B$9,Paramètres!$A$1:$I$88,5,0)</f>
        <v>-3.39923644787632E-13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222.57099967987045</v>
      </c>
      <c r="T159" s="60">
        <f t="shared" si="142"/>
        <v>221.49027090502796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29.241113481970618</v>
      </c>
      <c r="AA159" s="23">
        <f>EXP(-LN(2)/25)*AA158+(1-EXP(-LN(2)/25))/(LN(2)/25)*Calculateur!V159*Calculateur!X159*VLOOKUP('Données projet'!$B$9,Paramètres!$A$1:$I$88,3,0)*0.475*44/12</f>
        <v>3.684179431185064</v>
      </c>
      <c r="AB159" s="23">
        <f>EXP(-LN(2)/2)*AB158+(1-EXP(-LN(2)/2))/(LN(2)/2)*V159*Y159*VLOOKUP('Données projet'!$B$9,Paramètres!$A$1:$I$88,3,0)*0.475*44/12</f>
        <v>3.1903855100778123E-12</v>
      </c>
      <c r="AC159" s="24">
        <f t="shared" si="163"/>
        <v>32.92529291315887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147.1675182177155</v>
      </c>
      <c r="AO159" s="60">
        <f t="shared" si="144"/>
        <v>115.86489547584461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41.619487071417609</v>
      </c>
      <c r="AV159" s="23">
        <f>EXP(-LN(2)/25)*AV158+(1-EXP(-LN(2)/25))/(LN(2)/25)*Calculateur!AQ159*Calculateur!AS159*VLOOKUP('Données projet'!$B$10,Paramètres!$A$1:$I$88,3,0)*0.475*44/12</f>
        <v>5.1944806889935347</v>
      </c>
      <c r="AW159" s="23">
        <f>EXP(-LN(2)/2)*AW158+(1-EXP(-LN(2)/2))/(LN(2)/2)*AQ159*AT159*VLOOKUP('Données projet'!$B$10,Paramètres!$A$1:$I$88,3,0)*0.475*44/12</f>
        <v>2.6811030148823282E-9</v>
      </c>
      <c r="AX159" s="23">
        <f t="shared" si="166"/>
        <v>46.813967763092251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-1.4210854715202004E-13</v>
      </c>
      <c r="BE159" s="14">
        <f>BD159*VLOOKUP('Données projet'!$B$11,Paramètres!$A$1:$I$88,3,0)*VLOOKUP('Données projet'!$B$11,Paramètres!$A$1:$I$88,5,0)</f>
        <v>-1.4409806681214833E-13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166.48525819448878</v>
      </c>
      <c r="BJ159" s="60">
        <f t="shared" si="146"/>
        <v>61.876502626609977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77.131748324256151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77.131748324256151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0" t="e">
        <f t="shared" si="119"/>
        <v>#N/A</v>
      </c>
      <c r="CD159" s="60" t="e">
        <f ca="1">AVERAGE(OFFSET($CC$3,0,0,'Données projet'!$E$12+1,1))-AVERAGE(OFFSET($H$3,0,0,'Données projet'!$E$12+1,1))</f>
        <v>#N/A</v>
      </c>
      <c r="CE159" s="60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0" t="e">
        <f t="shared" si="122"/>
        <v>#N/A</v>
      </c>
      <c r="CY159" s="60" t="e">
        <f ca="1">AVERAGE(OFFSET($CX$3,0,0,'Données projet'!$E$13+1,1))-AVERAGE(OFFSET($H$3,0,0,'Données projet'!$E$13+1,1))</f>
        <v>#N/A</v>
      </c>
      <c r="CZ159" s="60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-5.6843418860808015E-13</v>
      </c>
      <c r="O160" s="14">
        <f>N160*VLOOKUP('Données projet'!$B$9,Paramètres!$A$1:$I$88,3,0)*VLOOKUP('Données projet'!$B$9,Paramètres!$A$1:$I$88,5,0)</f>
        <v>-3.39923644787632E-13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222.57099967987045</v>
      </c>
      <c r="T160" s="60">
        <f t="shared" si="142"/>
        <v>221.49027090502796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28.667713081907308</v>
      </c>
      <c r="AA160" s="23">
        <f>EXP(-LN(2)/25)*AA159+(1-EXP(-LN(2)/25))/(LN(2)/25)*Calculateur!V160*Calculateur!X160*VLOOKUP('Données projet'!$B$9,Paramètres!$A$1:$I$88,3,0)*0.475*44/12</f>
        <v>3.5834353508967323</v>
      </c>
      <c r="AB160" s="23">
        <f>EXP(-LN(2)/2)*AB159+(1-EXP(-LN(2)/2))/(LN(2)/2)*V160*Y160*VLOOKUP('Données projet'!$B$9,Paramètres!$A$1:$I$88,3,0)*0.475*44/12</f>
        <v>2.2559432287753234E-12</v>
      </c>
      <c r="AC160" s="24">
        <f t="shared" si="163"/>
        <v>32.251148432806296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147.1675182177155</v>
      </c>
      <c r="AO160" s="60">
        <f t="shared" si="144"/>
        <v>115.86489547584461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40.803354315327624</v>
      </c>
      <c r="AV160" s="23">
        <f>EXP(-LN(2)/25)*AV159+(1-EXP(-LN(2)/25))/(LN(2)/25)*Calculateur!AQ160*Calculateur!AS160*VLOOKUP('Données projet'!$B$10,Paramètres!$A$1:$I$88,3,0)*0.475*44/12</f>
        <v>5.0524373413871393</v>
      </c>
      <c r="AW160" s="23">
        <f>EXP(-LN(2)/2)*AW159+(1-EXP(-LN(2)/2))/(LN(2)/2)*AQ160*AT160*VLOOKUP('Données projet'!$B$10,Paramètres!$A$1:$I$88,3,0)*0.475*44/12</f>
        <v>1.8958261228829913E-9</v>
      </c>
      <c r="AX160" s="23">
        <f t="shared" si="166"/>
        <v>45.855791658610592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-1.4210854715202004E-13</v>
      </c>
      <c r="BE160" s="14">
        <f>BD160*VLOOKUP('Données projet'!$B$11,Paramètres!$A$1:$I$88,3,0)*VLOOKUP('Données projet'!$B$11,Paramètres!$A$1:$I$88,5,0)</f>
        <v>-1.4409806681214833E-13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166.48525819448878</v>
      </c>
      <c r="BJ160" s="60">
        <f t="shared" si="146"/>
        <v>61.876502626609977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75.619241785338588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75.619241785338588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0" t="e">
        <f t="shared" si="119"/>
        <v>#N/A</v>
      </c>
      <c r="CD160" s="60" t="e">
        <f ca="1">AVERAGE(OFFSET($CC$3,0,0,'Données projet'!$E$12+1,1))-AVERAGE(OFFSET($H$3,0,0,'Données projet'!$E$12+1,1))</f>
        <v>#N/A</v>
      </c>
      <c r="CE160" s="60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0" t="e">
        <f t="shared" si="122"/>
        <v>#N/A</v>
      </c>
      <c r="CY160" s="60" t="e">
        <f ca="1">AVERAGE(OFFSET($CX$3,0,0,'Données projet'!$E$13+1,1))-AVERAGE(OFFSET($H$3,0,0,'Données projet'!$E$13+1,1))</f>
        <v>#N/A</v>
      </c>
      <c r="CZ160" s="60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-5.6843418860808015E-13</v>
      </c>
      <c r="O161" s="14">
        <f>N161*VLOOKUP('Données projet'!$B$9,Paramètres!$A$1:$I$88,3,0)*VLOOKUP('Données projet'!$B$9,Paramètres!$A$1:$I$88,5,0)</f>
        <v>-3.39923644787632E-13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222.57099967987045</v>
      </c>
      <c r="T161" s="60">
        <f t="shared" si="142"/>
        <v>221.49027090502796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28.105556713949529</v>
      </c>
      <c r="AA161" s="23">
        <f>EXP(-LN(2)/25)*AA160+(1-EXP(-LN(2)/25))/(LN(2)/25)*Calculateur!V161*Calculateur!X161*VLOOKUP('Données projet'!$B$9,Paramètres!$A$1:$I$88,3,0)*0.475*44/12</f>
        <v>3.4854461227817861</v>
      </c>
      <c r="AB161" s="23">
        <f>EXP(-LN(2)/2)*AB160+(1-EXP(-LN(2)/2))/(LN(2)/2)*V161*Y161*VLOOKUP('Données projet'!$B$9,Paramètres!$A$1:$I$88,3,0)*0.475*44/12</f>
        <v>1.5951927550389062E-12</v>
      </c>
      <c r="AC161" s="24">
        <f t="shared" si="163"/>
        <v>31.591002836732908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147.1675182177155</v>
      </c>
      <c r="AO161" s="60">
        <f t="shared" si="144"/>
        <v>115.86489547584461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40.003225424792738</v>
      </c>
      <c r="AV161" s="23">
        <f>EXP(-LN(2)/25)*AV160+(1-EXP(-LN(2)/25))/(LN(2)/25)*Calculateur!AQ161*Calculateur!AS161*VLOOKUP('Données projet'!$B$10,Paramètres!$A$1:$I$88,3,0)*0.475*44/12</f>
        <v>4.9142781765907753</v>
      </c>
      <c r="AW161" s="23">
        <f>EXP(-LN(2)/2)*AW160+(1-EXP(-LN(2)/2))/(LN(2)/2)*AQ161*AT161*VLOOKUP('Données projet'!$B$10,Paramètres!$A$1:$I$88,3,0)*0.475*44/12</f>
        <v>1.3405515074411641E-9</v>
      </c>
      <c r="AX161" s="23">
        <f t="shared" si="166"/>
        <v>44.917503602724068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-1.4210854715202004E-13</v>
      </c>
      <c r="BE161" s="14">
        <f>BD161*VLOOKUP('Données projet'!$B$11,Paramètres!$A$1:$I$88,3,0)*VLOOKUP('Données projet'!$B$11,Paramètres!$A$1:$I$88,5,0)</f>
        <v>-1.4409806681214833E-13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166.48525819448878</v>
      </c>
      <c r="BJ161" s="60">
        <f t="shared" si="146"/>
        <v>61.876502626609977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74.136394577111304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74.136394577111304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0" t="e">
        <f t="shared" si="119"/>
        <v>#N/A</v>
      </c>
      <c r="CD161" s="60" t="e">
        <f ca="1">AVERAGE(OFFSET($CC$3,0,0,'Données projet'!$E$12+1,1))-AVERAGE(OFFSET($H$3,0,0,'Données projet'!$E$12+1,1))</f>
        <v>#N/A</v>
      </c>
      <c r="CE161" s="60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0" t="e">
        <f t="shared" si="122"/>
        <v>#N/A</v>
      </c>
      <c r="CY161" s="60" t="e">
        <f ca="1">AVERAGE(OFFSET($CX$3,0,0,'Données projet'!$E$13+1,1))-AVERAGE(OFFSET($H$3,0,0,'Données projet'!$E$13+1,1))</f>
        <v>#N/A</v>
      </c>
      <c r="CZ161" s="60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-5.6843418860808015E-13</v>
      </c>
      <c r="O162" s="14">
        <f>N162*VLOOKUP('Données projet'!$B$9,Paramètres!$A$1:$I$88,3,0)*VLOOKUP('Données projet'!$B$9,Paramètres!$A$1:$I$88,5,0)</f>
        <v>-3.39923644787632E-13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222.57099967987045</v>
      </c>
      <c r="T162" s="60">
        <f t="shared" si="142"/>
        <v>221.49027090502796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27.554423889485875</v>
      </c>
      <c r="AA162" s="23">
        <f>EXP(-LN(2)/25)*AA161+(1-EXP(-LN(2)/25))/(LN(2)/25)*Calculateur!V162*Calculateur!X162*VLOOKUP('Données projet'!$B$9,Paramètres!$A$1:$I$88,3,0)*0.475*44/12</f>
        <v>3.3901364152626727</v>
      </c>
      <c r="AB162" s="23">
        <f>EXP(-LN(2)/2)*AB161+(1-EXP(-LN(2)/2))/(LN(2)/2)*V162*Y162*VLOOKUP('Données projet'!$B$9,Paramètres!$A$1:$I$88,3,0)*0.475*44/12</f>
        <v>1.1279716143876617E-12</v>
      </c>
      <c r="AC162" s="24">
        <f t="shared" si="163"/>
        <v>30.944560304749675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147.1675182177155</v>
      </c>
      <c r="AO162" s="60">
        <f t="shared" si="144"/>
        <v>115.86489547584461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39.218786573770807</v>
      </c>
      <c r="AV162" s="23">
        <f>EXP(-LN(2)/25)*AV161+(1-EXP(-LN(2)/25))/(LN(2)/25)*Calculateur!AQ162*Calculateur!AS162*VLOOKUP('Données projet'!$B$10,Paramètres!$A$1:$I$88,3,0)*0.475*44/12</f>
        <v>4.7798969814212429</v>
      </c>
      <c r="AW162" s="23">
        <f>EXP(-LN(2)/2)*AW161+(1-EXP(-LN(2)/2))/(LN(2)/2)*AQ162*AT162*VLOOKUP('Données projet'!$B$10,Paramètres!$A$1:$I$88,3,0)*0.475*44/12</f>
        <v>9.4791306144149567E-10</v>
      </c>
      <c r="AX162" s="23">
        <f t="shared" si="166"/>
        <v>43.998683556139966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-1.4210854715202004E-13</v>
      </c>
      <c r="BE162" s="14">
        <f>BD162*VLOOKUP('Données projet'!$B$11,Paramètres!$A$1:$I$88,3,0)*VLOOKUP('Données projet'!$B$11,Paramètres!$A$1:$I$88,5,0)</f>
        <v>-1.4409806681214833E-13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166.48525819448878</v>
      </c>
      <c r="BJ162" s="60">
        <f t="shared" si="146"/>
        <v>61.876502626609977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72.68262509818986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72.68262509818986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0" t="e">
        <f t="shared" si="119"/>
        <v>#N/A</v>
      </c>
      <c r="CD162" s="60" t="e">
        <f ca="1">AVERAGE(OFFSET($CC$3,0,0,'Données projet'!$E$12+1,1))-AVERAGE(OFFSET($H$3,0,0,'Données projet'!$E$12+1,1))</f>
        <v>#N/A</v>
      </c>
      <c r="CE162" s="60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0" t="e">
        <f t="shared" si="122"/>
        <v>#N/A</v>
      </c>
      <c r="CY162" s="60" t="e">
        <f ca="1">AVERAGE(OFFSET($CX$3,0,0,'Données projet'!$E$13+1,1))-AVERAGE(OFFSET($H$3,0,0,'Données projet'!$E$13+1,1))</f>
        <v>#N/A</v>
      </c>
      <c r="CZ162" s="60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-5.6843418860808015E-13</v>
      </c>
      <c r="O163" s="14">
        <f>N163*VLOOKUP('Données projet'!$B$9,Paramètres!$A$1:$I$88,3,0)*VLOOKUP('Données projet'!$B$9,Paramètres!$A$1:$I$88,5,0)</f>
        <v>-3.39923644787632E-13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222.57099967987045</v>
      </c>
      <c r="T163" s="60">
        <f t="shared" si="142"/>
        <v>221.49027090502796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27.014098443552122</v>
      </c>
      <c r="AA163" s="23">
        <f>EXP(-LN(2)/25)*AA162+(1-EXP(-LN(2)/25))/(LN(2)/25)*Calculateur!V163*Calculateur!X163*VLOOKUP('Données projet'!$B$9,Paramètres!$A$1:$I$88,3,0)*0.475*44/12</f>
        <v>3.2974329567077891</v>
      </c>
      <c r="AB163" s="23">
        <f>EXP(-LN(2)/2)*AB162+(1-EXP(-LN(2)/2))/(LN(2)/2)*V163*Y163*VLOOKUP('Données projet'!$B$9,Paramètres!$A$1:$I$88,3,0)*0.475*44/12</f>
        <v>7.9759637751945309E-13</v>
      </c>
      <c r="AC163" s="24">
        <f t="shared" si="163"/>
        <v>30.311531400260709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147.1675182177155</v>
      </c>
      <c r="AO163" s="60">
        <f t="shared" si="144"/>
        <v>115.86489547584461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38.449730090156962</v>
      </c>
      <c r="AV163" s="23">
        <f>EXP(-LN(2)/25)*AV162+(1-EXP(-LN(2)/25))/(LN(2)/25)*Calculateur!AQ163*Calculateur!AS163*VLOOKUP('Données projet'!$B$10,Paramètres!$A$1:$I$88,3,0)*0.475*44/12</f>
        <v>4.6491904471004215</v>
      </c>
      <c r="AW163" s="23">
        <f>EXP(-LN(2)/2)*AW162+(1-EXP(-LN(2)/2))/(LN(2)/2)*AQ163*AT163*VLOOKUP('Données projet'!$B$10,Paramètres!$A$1:$I$88,3,0)*0.475*44/12</f>
        <v>6.7027575372058206E-10</v>
      </c>
      <c r="AX163" s="23">
        <f t="shared" si="166"/>
        <v>43.098920537927661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-1.4210854715202004E-13</v>
      </c>
      <c r="BE163" s="14">
        <f>BD163*VLOOKUP('Données projet'!$B$11,Paramètres!$A$1:$I$88,3,0)*VLOOKUP('Données projet'!$B$11,Paramètres!$A$1:$I$88,5,0)</f>
        <v>-1.4409806681214833E-13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166.48525819448878</v>
      </c>
      <c r="BJ163" s="60">
        <f t="shared" si="146"/>
        <v>61.876502626609977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71.257363152038238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71.257363152038238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0" t="e">
        <f t="shared" si="119"/>
        <v>#N/A</v>
      </c>
      <c r="CD163" s="60" t="e">
        <f ca="1">AVERAGE(OFFSET($CC$3,0,0,'Données projet'!$E$12+1,1))-AVERAGE(OFFSET($H$3,0,0,'Données projet'!$E$12+1,1))</f>
        <v>#N/A</v>
      </c>
      <c r="CE163" s="60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0" t="e">
        <f t="shared" si="122"/>
        <v>#N/A</v>
      </c>
      <c r="CY163" s="60" t="e">
        <f ca="1">AVERAGE(OFFSET($CX$3,0,0,'Données projet'!$E$13+1,1))-AVERAGE(OFFSET($H$3,0,0,'Données projet'!$E$13+1,1))</f>
        <v>#N/A</v>
      </c>
      <c r="CZ163" s="60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-5.6843418860808015E-13</v>
      </c>
      <c r="O164" s="14">
        <f>N164*VLOOKUP('Données projet'!$B$9,Paramètres!$A$1:$I$88,3,0)*VLOOKUP('Données projet'!$B$9,Paramètres!$A$1:$I$88,5,0)</f>
        <v>-3.39923644787632E-13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222.57099967987045</v>
      </c>
      <c r="T164" s="60">
        <f t="shared" si="142"/>
        <v>221.49027090502796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26.48436845004715</v>
      </c>
      <c r="AA164" s="23">
        <f>EXP(-LN(2)/25)*AA163+(1-EXP(-LN(2)/25))/(LN(2)/25)*Calculateur!V164*Calculateur!X164*VLOOKUP('Données projet'!$B$9,Paramètres!$A$1:$I$88,3,0)*0.475*44/12</f>
        <v>3.2072644791021516</v>
      </c>
      <c r="AB164" s="23">
        <f>EXP(-LN(2)/2)*AB163+(1-EXP(-LN(2)/2))/(LN(2)/2)*V164*Y164*VLOOKUP('Données projet'!$B$9,Paramètres!$A$1:$I$88,3,0)*0.475*44/12</f>
        <v>5.6398580719383086E-13</v>
      </c>
      <c r="AC164" s="24">
        <f t="shared" si="163"/>
        <v>29.691632929149865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147.1675182177155</v>
      </c>
      <c r="AO164" s="60">
        <f t="shared" si="144"/>
        <v>115.86489547584461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37.695754335108646</v>
      </c>
      <c r="AV164" s="23">
        <f>EXP(-LN(2)/25)*AV163+(1-EXP(-LN(2)/25))/(LN(2)/25)*Calculateur!AQ164*Calculateur!AS164*VLOOKUP('Données projet'!$B$10,Paramètres!$A$1:$I$88,3,0)*0.475*44/12</f>
        <v>4.5220580898341609</v>
      </c>
      <c r="AW164" s="23">
        <f>EXP(-LN(2)/2)*AW163+(1-EXP(-LN(2)/2))/(LN(2)/2)*AQ164*AT164*VLOOKUP('Données projet'!$B$10,Paramètres!$A$1:$I$88,3,0)*0.475*44/12</f>
        <v>4.7395653072074784E-10</v>
      </c>
      <c r="AX164" s="23">
        <f t="shared" si="166"/>
        <v>42.21781242541676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-1.4210854715202004E-13</v>
      </c>
      <c r="BE164" s="14">
        <f>BD164*VLOOKUP('Données projet'!$B$11,Paramètres!$A$1:$I$88,3,0)*VLOOKUP('Données projet'!$B$11,Paramètres!$A$1:$I$88,5,0)</f>
        <v>-1.4409806681214833E-13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166.48525819448878</v>
      </c>
      <c r="BJ164" s="60">
        <f t="shared" si="146"/>
        <v>61.876502626609977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69.860049723326711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69.860049723326711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0" t="e">
        <f t="shared" si="119"/>
        <v>#N/A</v>
      </c>
      <c r="CD164" s="60" t="e">
        <f ca="1">AVERAGE(OFFSET($CC$3,0,0,'Données projet'!$E$12+1,1))-AVERAGE(OFFSET($H$3,0,0,'Données projet'!$E$12+1,1))</f>
        <v>#N/A</v>
      </c>
      <c r="CE164" s="60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0" t="e">
        <f t="shared" si="122"/>
        <v>#N/A</v>
      </c>
      <c r="CY164" s="60" t="e">
        <f ca="1">AVERAGE(OFFSET($CX$3,0,0,'Données projet'!$E$13+1,1))-AVERAGE(OFFSET($H$3,0,0,'Données projet'!$E$13+1,1))</f>
        <v>#N/A</v>
      </c>
      <c r="CZ164" s="60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-5.6843418860808015E-13</v>
      </c>
      <c r="O165" s="14">
        <f>N165*VLOOKUP('Données projet'!$B$9,Paramètres!$A$1:$I$88,3,0)*VLOOKUP('Données projet'!$B$9,Paramètres!$A$1:$I$88,5,0)</f>
        <v>-3.39923644787632E-13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222.57099967987045</v>
      </c>
      <c r="T165" s="60">
        <f t="shared" si="142"/>
        <v>221.49027090502796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25.965026138611417</v>
      </c>
      <c r="AA165" s="23">
        <f>EXP(-LN(2)/25)*AA164+(1-EXP(-LN(2)/25))/(LN(2)/25)*Calculateur!V165*Calculateur!X165*VLOOKUP('Données projet'!$B$9,Paramètres!$A$1:$I$88,3,0)*0.475*44/12</f>
        <v>3.1195616632583945</v>
      </c>
      <c r="AB165" s="23">
        <f>EXP(-LN(2)/2)*AB164+(1-EXP(-LN(2)/2))/(LN(2)/2)*V165*Y165*VLOOKUP('Données projet'!$B$9,Paramètres!$A$1:$I$88,3,0)*0.475*44/12</f>
        <v>3.9879818875972654E-13</v>
      </c>
      <c r="AC165" s="24">
        <f t="shared" si="163"/>
        <v>29.08458780187021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147.1675182177155</v>
      </c>
      <c r="AO165" s="60">
        <f t="shared" si="144"/>
        <v>115.86489547584461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36.956563584737026</v>
      </c>
      <c r="AV165" s="23">
        <f>EXP(-LN(2)/25)*AV164+(1-EXP(-LN(2)/25))/(LN(2)/25)*Calculateur!AQ165*Calculateur!AS165*VLOOKUP('Données projet'!$B$10,Paramètres!$A$1:$I$88,3,0)*0.475*44/12</f>
        <v>4.3984021735629462</v>
      </c>
      <c r="AW165" s="23">
        <f>EXP(-LN(2)/2)*AW164+(1-EXP(-LN(2)/2))/(LN(2)/2)*AQ165*AT165*VLOOKUP('Données projet'!$B$10,Paramètres!$A$1:$I$88,3,0)*0.475*44/12</f>
        <v>3.3513787686029103E-10</v>
      </c>
      <c r="AX165" s="23">
        <f t="shared" si="166"/>
        <v>41.354965758635103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-1.4210854715202004E-13</v>
      </c>
      <c r="BE165" s="14">
        <f>BD165*VLOOKUP('Données projet'!$B$11,Paramètres!$A$1:$I$88,3,0)*VLOOKUP('Données projet'!$B$11,Paramètres!$A$1:$I$88,5,0)</f>
        <v>-1.4409806681214833E-13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166.48525819448878</v>
      </c>
      <c r="BJ165" s="60">
        <f t="shared" si="146"/>
        <v>61.876502626609977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68.490136758675177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68.490136758675177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0" t="e">
        <f t="shared" si="119"/>
        <v>#N/A</v>
      </c>
      <c r="CD165" s="60" t="e">
        <f ca="1">AVERAGE(OFFSET($CC$3,0,0,'Données projet'!$E$12+1,1))-AVERAGE(OFFSET($H$3,0,0,'Données projet'!$E$12+1,1))</f>
        <v>#N/A</v>
      </c>
      <c r="CE165" s="60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0" t="e">
        <f t="shared" si="122"/>
        <v>#N/A</v>
      </c>
      <c r="CY165" s="60" t="e">
        <f ca="1">AVERAGE(OFFSET($CX$3,0,0,'Données projet'!$E$13+1,1))-AVERAGE(OFFSET($H$3,0,0,'Données projet'!$E$13+1,1))</f>
        <v>#N/A</v>
      </c>
      <c r="CZ165" s="60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-5.6843418860808015E-13</v>
      </c>
      <c r="O166" s="14">
        <f>N166*VLOOKUP('Données projet'!$B$9,Paramètres!$A$1:$I$88,3,0)*VLOOKUP('Données projet'!$B$9,Paramètres!$A$1:$I$88,5,0)</f>
        <v>-3.39923644787632E-13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222.57099967987045</v>
      </c>
      <c r="T166" s="60">
        <f t="shared" si="142"/>
        <v>221.49027090502796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25.455867813135409</v>
      </c>
      <c r="AA166" s="23">
        <f>EXP(-LN(2)/25)*AA165+(1-EXP(-LN(2)/25))/(LN(2)/25)*Calculateur!V166*Calculateur!X166*VLOOKUP('Données projet'!$B$9,Paramètres!$A$1:$I$88,3,0)*0.475*44/12</f>
        <v>3.0342570855259758</v>
      </c>
      <c r="AB166" s="23">
        <f>EXP(-LN(2)/2)*AB165+(1-EXP(-LN(2)/2))/(LN(2)/2)*V166*Y166*VLOOKUP('Données projet'!$B$9,Paramètres!$A$1:$I$88,3,0)*0.475*44/12</f>
        <v>2.8199290359691543E-13</v>
      </c>
      <c r="AC166" s="24">
        <f t="shared" si="163"/>
        <v>28.490124898661666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147.1675182177155</v>
      </c>
      <c r="AO166" s="60">
        <f t="shared" si="144"/>
        <v>115.86489547584461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36.231867914118354</v>
      </c>
      <c r="AV166" s="23">
        <f>EXP(-LN(2)/25)*AV165+(1-EXP(-LN(2)/25))/(LN(2)/25)*Calculateur!AQ166*Calculateur!AS166*VLOOKUP('Données projet'!$B$10,Paramètres!$A$1:$I$88,3,0)*0.475*44/12</f>
        <v>4.2781276348249495</v>
      </c>
      <c r="AW166" s="23">
        <f>EXP(-LN(2)/2)*AW165+(1-EXP(-LN(2)/2))/(LN(2)/2)*AQ166*AT166*VLOOKUP('Données projet'!$B$10,Paramètres!$A$1:$I$88,3,0)*0.475*44/12</f>
        <v>2.3697826536037392E-10</v>
      </c>
      <c r="AX166" s="23">
        <f t="shared" si="166"/>
        <v>40.509995549180282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-1.4210854715202004E-13</v>
      </c>
      <c r="BE166" s="14">
        <f>BD166*VLOOKUP('Données projet'!$B$11,Paramètres!$A$1:$I$88,3,0)*VLOOKUP('Données projet'!$B$11,Paramètres!$A$1:$I$88,5,0)</f>
        <v>-1.4409806681214833E-13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166.48525819448878</v>
      </c>
      <c r="BJ166" s="60">
        <f t="shared" si="146"/>
        <v>61.876502626609977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67.147086951696053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67.147086951696053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0" t="e">
        <f t="shared" si="119"/>
        <v>#N/A</v>
      </c>
      <c r="CD166" s="60" t="e">
        <f ca="1">AVERAGE(OFFSET($CC$3,0,0,'Données projet'!$E$12+1,1))-AVERAGE(OFFSET($H$3,0,0,'Données projet'!$E$12+1,1))</f>
        <v>#N/A</v>
      </c>
      <c r="CE166" s="60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0" t="e">
        <f t="shared" si="122"/>
        <v>#N/A</v>
      </c>
      <c r="CY166" s="60" t="e">
        <f ca="1">AVERAGE(OFFSET($CX$3,0,0,'Données projet'!$E$13+1,1))-AVERAGE(OFFSET($H$3,0,0,'Données projet'!$E$13+1,1))</f>
        <v>#N/A</v>
      </c>
      <c r="CZ166" s="60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-5.6843418860808015E-13</v>
      </c>
      <c r="O167" s="14">
        <f>N167*VLOOKUP('Données projet'!$B$9,Paramètres!$A$1:$I$88,3,0)*VLOOKUP('Données projet'!$B$9,Paramètres!$A$1:$I$88,5,0)</f>
        <v>-3.39923644787632E-13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222.57099967987045</v>
      </c>
      <c r="T167" s="60">
        <f t="shared" si="142"/>
        <v>221.49027090502796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24.956693771866071</v>
      </c>
      <c r="AA167" s="23">
        <f>EXP(-LN(2)/25)*AA166+(1-EXP(-LN(2)/25))/(LN(2)/25)*Calculateur!V167*Calculateur!X167*VLOOKUP('Données projet'!$B$9,Paramètres!$A$1:$I$88,3,0)*0.475*44/12</f>
        <v>2.9512851659576227</v>
      </c>
      <c r="AB167" s="23">
        <f>EXP(-LN(2)/2)*AB166+(1-EXP(-LN(2)/2))/(LN(2)/2)*V167*Y167*VLOOKUP('Données projet'!$B$9,Paramètres!$A$1:$I$88,3,0)*0.475*44/12</f>
        <v>1.9939909437986327E-13</v>
      </c>
      <c r="AC167" s="24">
        <f t="shared" si="163"/>
        <v>27.907978937823891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147.1675182177155</v>
      </c>
      <c r="AO167" s="60">
        <f t="shared" si="144"/>
        <v>115.86489547584461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35.521383083579799</v>
      </c>
      <c r="AV167" s="23">
        <f>EXP(-LN(2)/25)*AV166+(1-EXP(-LN(2)/25))/(LN(2)/25)*Calculateur!AQ167*Calculateur!AS167*VLOOKUP('Données projet'!$B$10,Paramètres!$A$1:$I$88,3,0)*0.475*44/12</f>
        <v>4.1611420096737071</v>
      </c>
      <c r="AW167" s="23">
        <f>EXP(-LN(2)/2)*AW166+(1-EXP(-LN(2)/2))/(LN(2)/2)*AQ167*AT167*VLOOKUP('Données projet'!$B$10,Paramètres!$A$1:$I$88,3,0)*0.475*44/12</f>
        <v>1.6756893843014552E-10</v>
      </c>
      <c r="AX167" s="23">
        <f t="shared" si="166"/>
        <v>39.68252509342107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-1.4210854715202004E-13</v>
      </c>
      <c r="BE167" s="14">
        <f>BD167*VLOOKUP('Données projet'!$B$11,Paramètres!$A$1:$I$88,3,0)*VLOOKUP('Données projet'!$B$11,Paramètres!$A$1:$I$88,5,0)</f>
        <v>-1.4409806681214833E-13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166.48525819448878</v>
      </c>
      <c r="BJ167" s="60">
        <f t="shared" si="146"/>
        <v>61.876502626609977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65.830373532252295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65.830373532252295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0" t="e">
        <f t="shared" si="119"/>
        <v>#N/A</v>
      </c>
      <c r="CD167" s="60" t="e">
        <f ca="1">AVERAGE(OFFSET($CC$3,0,0,'Données projet'!$E$12+1,1))-AVERAGE(OFFSET($H$3,0,0,'Données projet'!$E$12+1,1))</f>
        <v>#N/A</v>
      </c>
      <c r="CE167" s="60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0" t="e">
        <f t="shared" si="122"/>
        <v>#N/A</v>
      </c>
      <c r="CY167" s="60" t="e">
        <f ca="1">AVERAGE(OFFSET($CX$3,0,0,'Données projet'!$E$13+1,1))-AVERAGE(OFFSET($H$3,0,0,'Données projet'!$E$13+1,1))</f>
        <v>#N/A</v>
      </c>
      <c r="CZ167" s="60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-5.6843418860808015E-13</v>
      </c>
      <c r="O168" s="14">
        <f>N168*VLOOKUP('Données projet'!$B$9,Paramètres!$A$1:$I$88,3,0)*VLOOKUP('Données projet'!$B$9,Paramètres!$A$1:$I$88,5,0)</f>
        <v>-3.39923644787632E-13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222.57099967987045</v>
      </c>
      <c r="T168" s="60">
        <f t="shared" si="142"/>
        <v>221.49027090502796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24.467308229079922</v>
      </c>
      <c r="AA168" s="23">
        <f>EXP(-LN(2)/25)*AA167+(1-EXP(-LN(2)/25))/(LN(2)/25)*Calculateur!V168*Calculateur!X168*VLOOKUP('Données projet'!$B$9,Paramètres!$A$1:$I$88,3,0)*0.475*44/12</f>
        <v>2.8705821178931701</v>
      </c>
      <c r="AB168" s="23">
        <f>EXP(-LN(2)/2)*AB167+(1-EXP(-LN(2)/2))/(LN(2)/2)*V168*Y168*VLOOKUP('Données projet'!$B$9,Paramètres!$A$1:$I$88,3,0)*0.475*44/12</f>
        <v>1.4099645179845771E-13</v>
      </c>
      <c r="AC168" s="24">
        <f t="shared" si="163"/>
        <v>27.337890346973236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147.1675182177155</v>
      </c>
      <c r="AO168" s="60">
        <f t="shared" si="144"/>
        <v>115.86489547584461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34.824830427215147</v>
      </c>
      <c r="AV168" s="23">
        <f>EXP(-LN(2)/25)*AV167+(1-EXP(-LN(2)/25))/(LN(2)/25)*Calculateur!AQ168*Calculateur!AS168*VLOOKUP('Données projet'!$B$10,Paramètres!$A$1:$I$88,3,0)*0.475*44/12</f>
        <v>4.0473553625942316</v>
      </c>
      <c r="AW168" s="23">
        <f>EXP(-LN(2)/2)*AW167+(1-EXP(-LN(2)/2))/(LN(2)/2)*AQ168*AT168*VLOOKUP('Données projet'!$B$10,Paramètres!$A$1:$I$88,3,0)*0.475*44/12</f>
        <v>1.1848913268018696E-10</v>
      </c>
      <c r="AX168" s="23">
        <f t="shared" si="166"/>
        <v>38.872185789927869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-1.4210854715202004E-13</v>
      </c>
      <c r="BE168" s="14">
        <f>BD168*VLOOKUP('Données projet'!$B$11,Paramètres!$A$1:$I$88,3,0)*VLOOKUP('Données projet'!$B$11,Paramètres!$A$1:$I$88,5,0)</f>
        <v>-1.4409806681214833E-13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166.48525819448878</v>
      </c>
      <c r="BJ168" s="60">
        <f t="shared" si="146"/>
        <v>61.876502626609977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64.539480059847946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64.539480059847946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0" t="e">
        <f t="shared" si="119"/>
        <v>#N/A</v>
      </c>
      <c r="CD168" s="60" t="e">
        <f ca="1">AVERAGE(OFFSET($CC$3,0,0,'Données projet'!$E$12+1,1))-AVERAGE(OFFSET($H$3,0,0,'Données projet'!$E$12+1,1))</f>
        <v>#N/A</v>
      </c>
      <c r="CE168" s="60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0" t="e">
        <f t="shared" si="122"/>
        <v>#N/A</v>
      </c>
      <c r="CY168" s="60" t="e">
        <f ca="1">AVERAGE(OFFSET($CX$3,0,0,'Données projet'!$E$13+1,1))-AVERAGE(OFFSET($H$3,0,0,'Données projet'!$E$13+1,1))</f>
        <v>#N/A</v>
      </c>
      <c r="CZ168" s="60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-5.6843418860808015E-13</v>
      </c>
      <c r="O169" s="14">
        <f>N169*VLOOKUP('Données projet'!$B$9,Paramètres!$A$1:$I$88,3,0)*VLOOKUP('Données projet'!$B$9,Paramètres!$A$1:$I$88,5,0)</f>
        <v>-3.39923644787632E-13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222.57099967987045</v>
      </c>
      <c r="T169" s="60">
        <f t="shared" si="142"/>
        <v>221.49027090502796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23.987519238292101</v>
      </c>
      <c r="AA169" s="23">
        <f>EXP(-LN(2)/25)*AA168+(1-EXP(-LN(2)/25))/(LN(2)/25)*Calculateur!V169*Calculateur!X169*VLOOKUP('Données projet'!$B$9,Paramètres!$A$1:$I$88,3,0)*0.475*44/12</f>
        <v>2.7920858989220285</v>
      </c>
      <c r="AB169" s="23">
        <f>EXP(-LN(2)/2)*AB168+(1-EXP(-LN(2)/2))/(LN(2)/2)*V169*Y169*VLOOKUP('Données projet'!$B$9,Paramètres!$A$1:$I$88,3,0)*0.475*44/12</f>
        <v>9.9699547189931636E-14</v>
      </c>
      <c r="AC169" s="24">
        <f t="shared" si="163"/>
        <v>26.779605137214229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147.1675182177155</v>
      </c>
      <c r="AO169" s="60">
        <f t="shared" si="144"/>
        <v>115.86489547584461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34.141936743586641</v>
      </c>
      <c r="AV169" s="23">
        <f>EXP(-LN(2)/25)*AV168+(1-EXP(-LN(2)/25))/(LN(2)/25)*Calculateur!AQ169*Calculateur!AS169*VLOOKUP('Données projet'!$B$10,Paramètres!$A$1:$I$88,3,0)*0.475*44/12</f>
        <v>3.9366802173629241</v>
      </c>
      <c r="AW169" s="23">
        <f>EXP(-LN(2)/2)*AW168+(1-EXP(-LN(2)/2))/(LN(2)/2)*AQ169*AT169*VLOOKUP('Données projet'!$B$10,Paramètres!$A$1:$I$88,3,0)*0.475*44/12</f>
        <v>8.3784469215072758E-11</v>
      </c>
      <c r="AX169" s="23">
        <f t="shared" si="166"/>
        <v>38.078616961033354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-1.4210854715202004E-13</v>
      </c>
      <c r="BE169" s="14">
        <f>BD169*VLOOKUP('Données projet'!$B$11,Paramètres!$A$1:$I$88,3,0)*VLOOKUP('Données projet'!$B$11,Paramètres!$A$1:$I$88,5,0)</f>
        <v>-1.4409806681214833E-13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166.48525819448878</v>
      </c>
      <c r="BJ169" s="60">
        <f t="shared" si="146"/>
        <v>61.876502626609977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63.273900221070171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63.273900221070171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0" t="e">
        <f t="shared" si="119"/>
        <v>#N/A</v>
      </c>
      <c r="CD169" s="60" t="e">
        <f ca="1">AVERAGE(OFFSET($CC$3,0,0,'Données projet'!$E$12+1,1))-AVERAGE(OFFSET($H$3,0,0,'Données projet'!$E$12+1,1))</f>
        <v>#N/A</v>
      </c>
      <c r="CE169" s="60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0" t="e">
        <f t="shared" si="122"/>
        <v>#N/A</v>
      </c>
      <c r="CY169" s="60" t="e">
        <f ca="1">AVERAGE(OFFSET($CX$3,0,0,'Données projet'!$E$13+1,1))-AVERAGE(OFFSET($H$3,0,0,'Données projet'!$E$13+1,1))</f>
        <v>#N/A</v>
      </c>
      <c r="CZ169" s="60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-5.6843418860808015E-13</v>
      </c>
      <c r="O170" s="14">
        <f>N170*VLOOKUP('Données projet'!$B$9,Paramètres!$A$1:$I$88,3,0)*VLOOKUP('Données projet'!$B$9,Paramètres!$A$1:$I$88,5,0)</f>
        <v>-3.39923644787632E-13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222.57099967987045</v>
      </c>
      <c r="T170" s="60">
        <f t="shared" si="142"/>
        <v>221.49027090502796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23.517138616971245</v>
      </c>
      <c r="AA170" s="23">
        <f>EXP(-LN(2)/25)*AA169+(1-EXP(-LN(2)/25))/(LN(2)/25)*Calculateur!V170*Calculateur!X170*VLOOKUP('Données projet'!$B$9,Paramètres!$A$1:$I$88,3,0)*0.475*44/12</f>
        <v>2.7157361631865897</v>
      </c>
      <c r="AB170" s="23">
        <f>EXP(-LN(2)/2)*AB169+(1-EXP(-LN(2)/2))/(LN(2)/2)*V170*Y170*VLOOKUP('Données projet'!$B$9,Paramètres!$A$1:$I$88,3,0)*0.475*44/12</f>
        <v>7.0498225899228857E-14</v>
      </c>
      <c r="AC170" s="24">
        <f t="shared" si="163"/>
        <v>26.232874780157907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147.1675182177155</v>
      </c>
      <c r="AO170" s="60">
        <f t="shared" si="144"/>
        <v>115.86489547584461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33.47243418857007</v>
      </c>
      <c r="AV170" s="23">
        <f>EXP(-LN(2)/25)*AV169+(1-EXP(-LN(2)/25))/(LN(2)/25)*Calculateur!AQ170*Calculateur!AS170*VLOOKUP('Données projet'!$B$10,Paramètres!$A$1:$I$88,3,0)*0.475*44/12</f>
        <v>3.8290314897981195</v>
      </c>
      <c r="AW170" s="23">
        <f>EXP(-LN(2)/2)*AW169+(1-EXP(-LN(2)/2))/(LN(2)/2)*AQ170*AT170*VLOOKUP('Données projet'!$B$10,Paramètres!$A$1:$I$88,3,0)*0.475*44/12</f>
        <v>5.924456634009348E-11</v>
      </c>
      <c r="AX170" s="23">
        <f t="shared" si="166"/>
        <v>37.301465678427434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-1.4210854715202004E-13</v>
      </c>
      <c r="BE170" s="14">
        <f>BD170*VLOOKUP('Données projet'!$B$11,Paramètres!$A$1:$I$88,3,0)*VLOOKUP('Données projet'!$B$11,Paramètres!$A$1:$I$88,5,0)</f>
        <v>-1.4409806681214833E-13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166.48525819448878</v>
      </c>
      <c r="BJ170" s="60">
        <f t="shared" si="146"/>
        <v>61.876502626609977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62.033137631003349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62.033137631003349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0" t="e">
        <f t="shared" si="119"/>
        <v>#N/A</v>
      </c>
      <c r="CD170" s="60" t="e">
        <f ca="1">AVERAGE(OFFSET($CC$3,0,0,'Données projet'!$E$12+1,1))-AVERAGE(OFFSET($H$3,0,0,'Données projet'!$E$12+1,1))</f>
        <v>#N/A</v>
      </c>
      <c r="CE170" s="60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0" t="e">
        <f t="shared" si="122"/>
        <v>#N/A</v>
      </c>
      <c r="CY170" s="60" t="e">
        <f ca="1">AVERAGE(OFFSET($CX$3,0,0,'Données projet'!$E$13+1,1))-AVERAGE(OFFSET($H$3,0,0,'Données projet'!$E$13+1,1))</f>
        <v>#N/A</v>
      </c>
      <c r="CZ170" s="60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-5.6843418860808015E-13</v>
      </c>
      <c r="O171" s="14">
        <f>N171*VLOOKUP('Données projet'!$B$9,Paramètres!$A$1:$I$88,3,0)*VLOOKUP('Données projet'!$B$9,Paramètres!$A$1:$I$88,5,0)</f>
        <v>-3.39923644787632E-13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222.57099967987045</v>
      </c>
      <c r="T171" s="60">
        <f t="shared" si="142"/>
        <v>221.49027090502796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23.055981872730641</v>
      </c>
      <c r="AA171" s="23">
        <f>EXP(-LN(2)/25)*AA170+(1-EXP(-LN(2)/25))/(LN(2)/25)*Calculateur!V171*Calculateur!X171*VLOOKUP('Données projet'!$B$9,Paramètres!$A$1:$I$88,3,0)*0.475*44/12</f>
        <v>2.6414742149898944</v>
      </c>
      <c r="AB171" s="23">
        <f>EXP(-LN(2)/2)*AB170+(1-EXP(-LN(2)/2))/(LN(2)/2)*V171*Y171*VLOOKUP('Données projet'!$B$9,Paramètres!$A$1:$I$88,3,0)*0.475*44/12</f>
        <v>4.9849773594965818E-14</v>
      </c>
      <c r="AC171" s="24">
        <f t="shared" si="163"/>
        <v>25.697456087720585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147.1675182177155</v>
      </c>
      <c r="AO171" s="60">
        <f t="shared" si="144"/>
        <v>115.86489547584461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32.816060170301135</v>
      </c>
      <c r="AV171" s="23">
        <f>EXP(-LN(2)/25)*AV170+(1-EXP(-LN(2)/25))/(LN(2)/25)*Calculateur!AQ171*Calculateur!AS171*VLOOKUP('Données projet'!$B$10,Paramètres!$A$1:$I$88,3,0)*0.475*44/12</f>
        <v>3.7243264223495753</v>
      </c>
      <c r="AW171" s="23">
        <f>EXP(-LN(2)/2)*AW170+(1-EXP(-LN(2)/2))/(LN(2)/2)*AQ171*AT171*VLOOKUP('Données projet'!$B$10,Paramètres!$A$1:$I$88,3,0)*0.475*44/12</f>
        <v>4.1892234607536379E-11</v>
      </c>
      <c r="AX171" s="23">
        <f t="shared" si="166"/>
        <v>36.540386592692606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-1.4210854715202004E-13</v>
      </c>
      <c r="BE171" s="14">
        <f>BD171*VLOOKUP('Données projet'!$B$11,Paramètres!$A$1:$I$88,3,0)*VLOOKUP('Données projet'!$B$11,Paramètres!$A$1:$I$88,5,0)</f>
        <v>-1.4409806681214833E-13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166.48525819448878</v>
      </c>
      <c r="BJ171" s="60">
        <f t="shared" si="146"/>
        <v>61.876502626609977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60.816705638537286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60.816705638537286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0" t="e">
        <f t="shared" si="119"/>
        <v>#N/A</v>
      </c>
      <c r="CD171" s="60" t="e">
        <f ca="1">AVERAGE(OFFSET($CC$3,0,0,'Données projet'!$E$12+1,1))-AVERAGE(OFFSET($H$3,0,0,'Données projet'!$E$12+1,1))</f>
        <v>#N/A</v>
      </c>
      <c r="CE171" s="60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0" t="e">
        <f t="shared" si="122"/>
        <v>#N/A</v>
      </c>
      <c r="CY171" s="60" t="e">
        <f ca="1">AVERAGE(OFFSET($CX$3,0,0,'Données projet'!$E$13+1,1))-AVERAGE(OFFSET($H$3,0,0,'Données projet'!$E$13+1,1))</f>
        <v>#N/A</v>
      </c>
      <c r="CZ171" s="60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-5.6843418860808015E-13</v>
      </c>
      <c r="O172" s="14">
        <f>N172*VLOOKUP('Données projet'!$B$9,Paramètres!$A$1:$I$88,3,0)*VLOOKUP('Données projet'!$B$9,Paramètres!$A$1:$I$88,5,0)</f>
        <v>-3.39923644787632E-13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222.57099967987045</v>
      </c>
      <c r="T172" s="60">
        <f t="shared" si="142"/>
        <v>221.49027090502796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22.603868130966752</v>
      </c>
      <c r="AA172" s="23">
        <f>EXP(-LN(2)/25)*AA171+(1-EXP(-LN(2)/25))/(LN(2)/25)*Calculateur!V172*Calculateur!X172*VLOOKUP('Données projet'!$B$9,Paramètres!$A$1:$I$88,3,0)*0.475*44/12</f>
        <v>2.5692429636719041</v>
      </c>
      <c r="AB172" s="23">
        <f>EXP(-LN(2)/2)*AB171+(1-EXP(-LN(2)/2))/(LN(2)/2)*V172*Y172*VLOOKUP('Données projet'!$B$9,Paramètres!$A$1:$I$88,3,0)*0.475*44/12</f>
        <v>3.5249112949614428E-14</v>
      </c>
      <c r="AC172" s="24">
        <f t="shared" si="163"/>
        <v>25.173111094638692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147.1675182177155</v>
      </c>
      <c r="AO172" s="60">
        <f t="shared" si="144"/>
        <v>115.86489547584461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32.172557246181839</v>
      </c>
      <c r="AV172" s="23">
        <f>EXP(-LN(2)/25)*AV171+(1-EXP(-LN(2)/25))/(LN(2)/25)*Calculateur!AQ172*Calculateur!AS172*VLOOKUP('Données projet'!$B$10,Paramètres!$A$1:$I$88,3,0)*0.475*44/12</f>
        <v>3.6224845204766116</v>
      </c>
      <c r="AW172" s="23">
        <f>EXP(-LN(2)/2)*AW171+(1-EXP(-LN(2)/2))/(LN(2)/2)*AQ172*AT172*VLOOKUP('Données projet'!$B$10,Paramètres!$A$1:$I$88,3,0)*0.475*44/12</f>
        <v>2.962228317004674E-11</v>
      </c>
      <c r="AX172" s="23">
        <f t="shared" si="166"/>
        <v>35.795041766688072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-1.4210854715202004E-13</v>
      </c>
      <c r="BE172" s="14">
        <f>BD172*VLOOKUP('Données projet'!$B$11,Paramètres!$A$1:$I$88,3,0)*VLOOKUP('Données projet'!$B$11,Paramètres!$A$1:$I$88,5,0)</f>
        <v>-1.4409806681214833E-13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166.48525819448878</v>
      </c>
      <c r="BJ172" s="60">
        <f t="shared" si="146"/>
        <v>61.876502626609977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59.624127135493232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59.624127135493232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0" t="e">
        <f t="shared" si="119"/>
        <v>#N/A</v>
      </c>
      <c r="CD172" s="60" t="e">
        <f ca="1">AVERAGE(OFFSET($CC$3,0,0,'Données projet'!$E$12+1,1))-AVERAGE(OFFSET($H$3,0,0,'Données projet'!$E$12+1,1))</f>
        <v>#N/A</v>
      </c>
      <c r="CE172" s="60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0" t="e">
        <f t="shared" si="122"/>
        <v>#N/A</v>
      </c>
      <c r="CY172" s="60" t="e">
        <f ca="1">AVERAGE(OFFSET($CX$3,0,0,'Données projet'!$E$13+1,1))-AVERAGE(OFFSET($H$3,0,0,'Données projet'!$E$13+1,1))</f>
        <v>#N/A</v>
      </c>
      <c r="CZ172" s="60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-5.6843418860808015E-13</v>
      </c>
      <c r="O173" s="14">
        <f>N173*VLOOKUP('Données projet'!$B$9,Paramètres!$A$1:$I$88,3,0)*VLOOKUP('Données projet'!$B$9,Paramètres!$A$1:$I$88,5,0)</f>
        <v>-3.39923644787632E-13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222.57099967987045</v>
      </c>
      <c r="T173" s="60">
        <f t="shared" si="142"/>
        <v>221.49027090502796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22.160620063916703</v>
      </c>
      <c r="AA173" s="23">
        <f>EXP(-LN(2)/25)*AA172+(1-EXP(-LN(2)/25))/(LN(2)/25)*Calculateur!V173*Calculateur!X173*VLOOKUP('Données projet'!$B$9,Paramètres!$A$1:$I$88,3,0)*0.475*44/12</f>
        <v>2.4989868797196806</v>
      </c>
      <c r="AB173" s="23">
        <f>EXP(-LN(2)/2)*AB172+(1-EXP(-LN(2)/2))/(LN(2)/2)*V173*Y173*VLOOKUP('Données projet'!$B$9,Paramètres!$A$1:$I$88,3,0)*0.475*44/12</f>
        <v>2.4924886797482909E-14</v>
      </c>
      <c r="AC173" s="24">
        <f t="shared" si="163"/>
        <v>24.659606943636408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147.1675182177155</v>
      </c>
      <c r="AO173" s="60">
        <f t="shared" si="144"/>
        <v>115.86489547584461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31.54167302190649</v>
      </c>
      <c r="AV173" s="23">
        <f>EXP(-LN(2)/25)*AV172+(1-EXP(-LN(2)/25))/(LN(2)/25)*Calculateur!AQ173*Calculateur!AS173*VLOOKUP('Données projet'!$B$10,Paramètres!$A$1:$I$88,3,0)*0.475*44/12</f>
        <v>3.523427490765997</v>
      </c>
      <c r="AW173" s="23">
        <f>EXP(-LN(2)/2)*AW172+(1-EXP(-LN(2)/2))/(LN(2)/2)*AQ173*AT173*VLOOKUP('Données projet'!$B$10,Paramètres!$A$1:$I$88,3,0)*0.475*44/12</f>
        <v>2.0946117303768189E-11</v>
      </c>
      <c r="AX173" s="23">
        <f t="shared" si="166"/>
        <v>35.065100512693434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-1.4210854715202004E-13</v>
      </c>
      <c r="BE173" s="14">
        <f>BD173*VLOOKUP('Données projet'!$B$11,Paramètres!$A$1:$I$88,3,0)*VLOOKUP('Données projet'!$B$11,Paramètres!$A$1:$I$88,5,0)</f>
        <v>-1.4409806681214833E-13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166.48525819448878</v>
      </c>
      <c r="BJ173" s="60">
        <f t="shared" si="146"/>
        <v>61.876502626609977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58.454934369492804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58.454934369492804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0" t="e">
        <f t="shared" si="119"/>
        <v>#N/A</v>
      </c>
      <c r="CD173" s="60" t="e">
        <f ca="1">AVERAGE(OFFSET($CC$3,0,0,'Données projet'!$E$12+1,1))-AVERAGE(OFFSET($H$3,0,0,'Données projet'!$E$12+1,1))</f>
        <v>#N/A</v>
      </c>
      <c r="CE173" s="60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0" t="e">
        <f t="shared" si="122"/>
        <v>#N/A</v>
      </c>
      <c r="CY173" s="60" t="e">
        <f ca="1">AVERAGE(OFFSET($CX$3,0,0,'Données projet'!$E$13+1,1))-AVERAGE(OFFSET($H$3,0,0,'Données projet'!$E$13+1,1))</f>
        <v>#N/A</v>
      </c>
      <c r="CZ173" s="60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-5.6843418860808015E-13</v>
      </c>
      <c r="O174" s="14">
        <f>N174*VLOOKUP('Données projet'!$B$9,Paramètres!$A$1:$I$88,3,0)*VLOOKUP('Données projet'!$B$9,Paramètres!$A$1:$I$88,5,0)</f>
        <v>-3.39923644787632E-13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222.57099967987045</v>
      </c>
      <c r="T174" s="60">
        <f t="shared" si="142"/>
        <v>221.49027090502796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21.726063821106877</v>
      </c>
      <c r="AA174" s="23">
        <f>EXP(-LN(2)/25)*AA173+(1-EXP(-LN(2)/25))/(LN(2)/25)*Calculateur!V174*Calculateur!X174*VLOOKUP('Données projet'!$B$9,Paramètres!$A$1:$I$88,3,0)*0.475*44/12</f>
        <v>2.4306519520777372</v>
      </c>
      <c r="AB174" s="23">
        <f>EXP(-LN(2)/2)*AB173+(1-EXP(-LN(2)/2))/(LN(2)/2)*V174*Y174*VLOOKUP('Données projet'!$B$9,Paramètres!$A$1:$I$88,3,0)*0.475*44/12</f>
        <v>1.7624556474807214E-14</v>
      </c>
      <c r="AC174" s="24">
        <f t="shared" si="163"/>
        <v>24.156715773184633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147.1675182177155</v>
      </c>
      <c r="AO174" s="60">
        <f t="shared" si="144"/>
        <v>115.86489547584461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30.9231600524678</v>
      </c>
      <c r="AV174" s="23">
        <f>EXP(-LN(2)/25)*AV173+(1-EXP(-LN(2)/25))/(LN(2)/25)*Calculateur!AQ174*Calculateur!AS174*VLOOKUP('Données projet'!$B$10,Paramètres!$A$1:$I$88,3,0)*0.475*44/12</f>
        <v>3.4270791807420018</v>
      </c>
      <c r="AW174" s="23">
        <f>EXP(-LN(2)/2)*AW173+(1-EXP(-LN(2)/2))/(LN(2)/2)*AQ174*AT174*VLOOKUP('Données projet'!$B$10,Paramètres!$A$1:$I$88,3,0)*0.475*44/12</f>
        <v>1.481114158502337E-11</v>
      </c>
      <c r="AX174" s="23">
        <f t="shared" si="166"/>
        <v>34.350239233224613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-1.4210854715202004E-13</v>
      </c>
      <c r="BE174" s="14">
        <f>BD174*VLOOKUP('Données projet'!$B$11,Paramètres!$A$1:$I$88,3,0)*VLOOKUP('Données projet'!$B$11,Paramètres!$A$1:$I$88,5,0)</f>
        <v>-1.4409806681214833E-13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166.48525819448878</v>
      </c>
      <c r="BJ174" s="60">
        <f t="shared" si="146"/>
        <v>61.876502626609977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57.308668760496474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57.308668760496474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0" t="e">
        <f t="shared" si="119"/>
        <v>#N/A</v>
      </c>
      <c r="CD174" s="60" t="e">
        <f ca="1">AVERAGE(OFFSET($CC$3,0,0,'Données projet'!$E$12+1,1))-AVERAGE(OFFSET($H$3,0,0,'Données projet'!$E$12+1,1))</f>
        <v>#N/A</v>
      </c>
      <c r="CE174" s="60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0" t="e">
        <f t="shared" si="122"/>
        <v>#N/A</v>
      </c>
      <c r="CY174" s="60" t="e">
        <f ca="1">AVERAGE(OFFSET($CX$3,0,0,'Données projet'!$E$13+1,1))-AVERAGE(OFFSET($H$3,0,0,'Données projet'!$E$13+1,1))</f>
        <v>#N/A</v>
      </c>
      <c r="CZ174" s="60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-5.6843418860808015E-13</v>
      </c>
      <c r="O175" s="14">
        <f>N175*VLOOKUP('Données projet'!$B$9,Paramètres!$A$1:$I$88,3,0)*VLOOKUP('Données projet'!$B$9,Paramètres!$A$1:$I$88,5,0)</f>
        <v>-3.39923644787632E-13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222.57099967987045</v>
      </c>
      <c r="T175" s="60">
        <f t="shared" si="142"/>
        <v>221.49027090502796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21.300028961165417</v>
      </c>
      <c r="AA175" s="23">
        <f>EXP(-LN(2)/25)*AA174+(1-EXP(-LN(2)/25))/(LN(2)/25)*Calculateur!V175*Calculateur!X175*VLOOKUP('Données projet'!$B$9,Paramètres!$A$1:$I$88,3,0)*0.475*44/12</f>
        <v>2.3641856466257405</v>
      </c>
      <c r="AB175" s="23">
        <f>EXP(-LN(2)/2)*AB174+(1-EXP(-LN(2)/2))/(LN(2)/2)*V175*Y175*VLOOKUP('Données projet'!$B$9,Paramètres!$A$1:$I$88,3,0)*0.475*44/12</f>
        <v>1.2462443398741454E-14</v>
      </c>
      <c r="AC175" s="24">
        <f t="shared" si="163"/>
        <v>23.664214607791173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147.1675182177155</v>
      </c>
      <c r="AO175" s="60">
        <f t="shared" si="144"/>
        <v>115.86489547584461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30.316775745104142</v>
      </c>
      <c r="AV175" s="23">
        <f>EXP(-LN(2)/25)*AV174+(1-EXP(-LN(2)/25))/(LN(2)/25)*Calculateur!AQ175*Calculateur!AS175*VLOOKUP('Données projet'!$B$10,Paramètres!$A$1:$I$88,3,0)*0.475*44/12</f>
        <v>3.3333655203223502</v>
      </c>
      <c r="AW175" s="23">
        <f>EXP(-LN(2)/2)*AW174+(1-EXP(-LN(2)/2))/(LN(2)/2)*AQ175*AT175*VLOOKUP('Données projet'!$B$10,Paramètres!$A$1:$I$88,3,0)*0.475*44/12</f>
        <v>1.0473058651884095E-11</v>
      </c>
      <c r="AX175" s="23">
        <f t="shared" si="166"/>
        <v>33.650141265436964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-1.4210854715202004E-13</v>
      </c>
      <c r="BE175" s="14">
        <f>BD175*VLOOKUP('Données projet'!$B$11,Paramètres!$A$1:$I$88,3,0)*VLOOKUP('Données projet'!$B$11,Paramètres!$A$1:$I$88,5,0)</f>
        <v>-1.4409806681214833E-13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166.48525819448878</v>
      </c>
      <c r="BJ175" s="60">
        <f t="shared" si="146"/>
        <v>61.876502626609977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56.184880720939582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56.184880720939582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0" t="e">
        <f t="shared" si="119"/>
        <v>#N/A</v>
      </c>
      <c r="CD175" s="60" t="e">
        <f ca="1">AVERAGE(OFFSET($CC$3,0,0,'Données projet'!$E$12+1,1))-AVERAGE(OFFSET($H$3,0,0,'Données projet'!$E$12+1,1))</f>
        <v>#N/A</v>
      </c>
      <c r="CE175" s="60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0" t="e">
        <f t="shared" si="122"/>
        <v>#N/A</v>
      </c>
      <c r="CY175" s="60" t="e">
        <f ca="1">AVERAGE(OFFSET($CX$3,0,0,'Données projet'!$E$13+1,1))-AVERAGE(OFFSET($H$3,0,0,'Données projet'!$E$13+1,1))</f>
        <v>#N/A</v>
      </c>
      <c r="CZ175" s="60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-5.6843418860808015E-13</v>
      </c>
      <c r="O176" s="14">
        <f>N176*VLOOKUP('Données projet'!$B$9,Paramètres!$A$1:$I$88,3,0)*VLOOKUP('Données projet'!$B$9,Paramètres!$A$1:$I$88,5,0)</f>
        <v>-3.39923644787632E-13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222.57099967987045</v>
      </c>
      <c r="T176" s="60">
        <f t="shared" si="142"/>
        <v>221.49027090502796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20.882348384971802</v>
      </c>
      <c r="AA176" s="23">
        <f>EXP(-LN(2)/25)*AA175+(1-EXP(-LN(2)/25))/(LN(2)/25)*Calculateur!V176*Calculateur!X176*VLOOKUP('Données projet'!$B$9,Paramètres!$A$1:$I$88,3,0)*0.475*44/12</f>
        <v>2.29953686579164</v>
      </c>
      <c r="AB176" s="23">
        <f>EXP(-LN(2)/2)*AB175+(1-EXP(-LN(2)/2))/(LN(2)/2)*V176*Y176*VLOOKUP('Données projet'!$B$9,Paramètres!$A$1:$I$88,3,0)*0.475*44/12</f>
        <v>8.8122782374036071E-15</v>
      </c>
      <c r="AC176" s="24">
        <f t="shared" si="163"/>
        <v>23.18188525076345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147.1675182177155</v>
      </c>
      <c r="AO176" s="60">
        <f t="shared" si="144"/>
        <v>115.86489547584461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29.722282264149978</v>
      </c>
      <c r="AV176" s="23">
        <f>EXP(-LN(2)/25)*AV175+(1-EXP(-LN(2)/25))/(LN(2)/25)*Calculateur!AQ176*Calculateur!AS176*VLOOKUP('Données projet'!$B$10,Paramètres!$A$1:$I$88,3,0)*0.475*44/12</f>
        <v>3.2422144648750613</v>
      </c>
      <c r="AW176" s="23">
        <f>EXP(-LN(2)/2)*AW175+(1-EXP(-LN(2)/2))/(LN(2)/2)*AQ176*AT176*VLOOKUP('Données projet'!$B$10,Paramètres!$A$1:$I$88,3,0)*0.475*44/12</f>
        <v>7.4055707925116849E-12</v>
      </c>
      <c r="AX176" s="23">
        <f t="shared" si="166"/>
        <v>32.96449672903244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-1.4210854715202004E-13</v>
      </c>
      <c r="BE176" s="14">
        <f>BD176*VLOOKUP('Données projet'!$B$11,Paramètres!$A$1:$I$88,3,0)*VLOOKUP('Données projet'!$B$11,Paramètres!$A$1:$I$88,5,0)</f>
        <v>-1.4409806681214833E-13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166.48525819448878</v>
      </c>
      <c r="BJ176" s="60">
        <f t="shared" si="146"/>
        <v>61.876502626609977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55.083129479395375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55.083129479395375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0" t="e">
        <f t="shared" si="119"/>
        <v>#N/A</v>
      </c>
      <c r="CD176" s="60" t="e">
        <f ca="1">AVERAGE(OFFSET($CC$3,0,0,'Données projet'!$E$12+1,1))-AVERAGE(OFFSET($H$3,0,0,'Données projet'!$E$12+1,1))</f>
        <v>#N/A</v>
      </c>
      <c r="CE176" s="60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0" t="e">
        <f t="shared" si="122"/>
        <v>#N/A</v>
      </c>
      <c r="CY176" s="60" t="e">
        <f ca="1">AVERAGE(OFFSET($CX$3,0,0,'Données projet'!$E$13+1,1))-AVERAGE(OFFSET($H$3,0,0,'Données projet'!$E$13+1,1))</f>
        <v>#N/A</v>
      </c>
      <c r="CZ176" s="60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-5.6843418860808015E-13</v>
      </c>
      <c r="O177" s="14">
        <f>N177*VLOOKUP('Données projet'!$B$9,Paramètres!$A$1:$I$88,3,0)*VLOOKUP('Données projet'!$B$9,Paramètres!$A$1:$I$88,5,0)</f>
        <v>-3.39923644787632E-13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222.57099967987045</v>
      </c>
      <c r="T177" s="60">
        <f t="shared" si="142"/>
        <v>221.49027090502796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20.472858270117349</v>
      </c>
      <c r="AA177" s="23">
        <f>EXP(-LN(2)/25)*AA176+(1-EXP(-LN(2)/25))/(LN(2)/25)*Calculateur!V177*Calculateur!X177*VLOOKUP('Données projet'!$B$9,Paramètres!$A$1:$I$88,3,0)*0.475*44/12</f>
        <v>2.2366559092691793</v>
      </c>
      <c r="AB177" s="23">
        <f>EXP(-LN(2)/2)*AB176+(1-EXP(-LN(2)/2))/(LN(2)/2)*V177*Y177*VLOOKUP('Données projet'!$B$9,Paramètres!$A$1:$I$88,3,0)*0.475*44/12</f>
        <v>6.2312216993707272E-15</v>
      </c>
      <c r="AC177" s="24">
        <f t="shared" si="163"/>
        <v>22.709514179386534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147.1675182177155</v>
      </c>
      <c r="AO177" s="60">
        <f t="shared" si="144"/>
        <v>115.86489547584461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29.139446437752106</v>
      </c>
      <c r="AV177" s="23">
        <f>EXP(-LN(2)/25)*AV176+(1-EXP(-LN(2)/25))/(LN(2)/25)*Calculateur!AQ177*Calculateur!AS177*VLOOKUP('Données projet'!$B$10,Paramètres!$A$1:$I$88,3,0)*0.475*44/12</f>
        <v>3.1535559398324042</v>
      </c>
      <c r="AW177" s="23">
        <f>EXP(-LN(2)/2)*AW176+(1-EXP(-LN(2)/2))/(LN(2)/2)*AQ177*AT177*VLOOKUP('Données projet'!$B$10,Paramètres!$A$1:$I$88,3,0)*0.475*44/12</f>
        <v>5.2365293259420474E-12</v>
      </c>
      <c r="AX177" s="23">
        <f t="shared" si="166"/>
        <v>32.293002377589744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-1.4210854715202004E-13</v>
      </c>
      <c r="BE177" s="14">
        <f>BD177*VLOOKUP('Données projet'!$B$11,Paramètres!$A$1:$I$88,3,0)*VLOOKUP('Données projet'!$B$11,Paramètres!$A$1:$I$88,5,0)</f>
        <v>-1.4409806681214833E-13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166.48525819448878</v>
      </c>
      <c r="BJ177" s="60">
        <f t="shared" si="146"/>
        <v>61.876502626609977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54.002982907695944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54.002982907695944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0" t="e">
        <f t="shared" si="119"/>
        <v>#N/A</v>
      </c>
      <c r="CD177" s="60" t="e">
        <f ca="1">AVERAGE(OFFSET($CC$3,0,0,'Données projet'!$E$12+1,1))-AVERAGE(OFFSET($H$3,0,0,'Données projet'!$E$12+1,1))</f>
        <v>#N/A</v>
      </c>
      <c r="CE177" s="60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0" t="e">
        <f t="shared" si="122"/>
        <v>#N/A</v>
      </c>
      <c r="CY177" s="60" t="e">
        <f ca="1">AVERAGE(OFFSET($CX$3,0,0,'Données projet'!$E$13+1,1))-AVERAGE(OFFSET($H$3,0,0,'Données projet'!$E$13+1,1))</f>
        <v>#N/A</v>
      </c>
      <c r="CZ177" s="60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-5.6843418860808015E-13</v>
      </c>
      <c r="O178" s="14">
        <f>N178*VLOOKUP('Données projet'!$B$9,Paramètres!$A$1:$I$88,3,0)*VLOOKUP('Données projet'!$B$9,Paramètres!$A$1:$I$88,5,0)</f>
        <v>-3.39923644787632E-13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222.57099967987045</v>
      </c>
      <c r="T178" s="60">
        <f t="shared" si="142"/>
        <v>221.49027090502796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20.071398006650885</v>
      </c>
      <c r="AA178" s="23">
        <f>EXP(-LN(2)/25)*AA177+(1-EXP(-LN(2)/25))/(LN(2)/25)*Calculateur!V178*Calculateur!X178*VLOOKUP('Données projet'!$B$9,Paramètres!$A$1:$I$88,3,0)*0.475*44/12</f>
        <v>2.1754944358095911</v>
      </c>
      <c r="AB178" s="23">
        <f>EXP(-LN(2)/2)*AB177+(1-EXP(-LN(2)/2))/(LN(2)/2)*V178*Y178*VLOOKUP('Données projet'!$B$9,Paramètres!$A$1:$I$88,3,0)*0.475*44/12</f>
        <v>4.4061391187018036E-15</v>
      </c>
      <c r="AC178" s="24">
        <f t="shared" si="163"/>
        <v>22.246892442460478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147.1675182177155</v>
      </c>
      <c r="AO178" s="60">
        <f t="shared" si="144"/>
        <v>115.86489547584461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28.568039666415146</v>
      </c>
      <c r="AV178" s="23">
        <f>EXP(-LN(2)/25)*AV177+(1-EXP(-LN(2)/25))/(LN(2)/25)*Calculateur!AQ178*Calculateur!AS178*VLOOKUP('Données projet'!$B$10,Paramètres!$A$1:$I$88,3,0)*0.475*44/12</f>
        <v>3.0673217868193876</v>
      </c>
      <c r="AW178" s="23">
        <f>EXP(-LN(2)/2)*AW177+(1-EXP(-LN(2)/2))/(LN(2)/2)*AQ178*AT178*VLOOKUP('Données projet'!$B$10,Paramètres!$A$1:$I$88,3,0)*0.475*44/12</f>
        <v>3.7027853962558425E-12</v>
      </c>
      <c r="AX178" s="23">
        <f t="shared" si="166"/>
        <v>31.635361453238236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-1.4210854715202004E-13</v>
      </c>
      <c r="BE178" s="14">
        <f>BD178*VLOOKUP('Données projet'!$B$11,Paramètres!$A$1:$I$88,3,0)*VLOOKUP('Données projet'!$B$11,Paramètres!$A$1:$I$88,5,0)</f>
        <v>-1.4409806681214833E-13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166.48525819448878</v>
      </c>
      <c r="BJ178" s="60">
        <f t="shared" si="146"/>
        <v>61.876502626609977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52.944017351443186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52.944017351443186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0" t="e">
        <f t="shared" si="119"/>
        <v>#N/A</v>
      </c>
      <c r="CD178" s="60" t="e">
        <f ca="1">AVERAGE(OFFSET($CC$3,0,0,'Données projet'!$E$12+1,1))-AVERAGE(OFFSET($H$3,0,0,'Données projet'!$E$12+1,1))</f>
        <v>#N/A</v>
      </c>
      <c r="CE178" s="60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0" t="e">
        <f t="shared" si="122"/>
        <v>#N/A</v>
      </c>
      <c r="CY178" s="60" t="e">
        <f ca="1">AVERAGE(OFFSET($CX$3,0,0,'Données projet'!$E$13+1,1))-AVERAGE(OFFSET($H$3,0,0,'Données projet'!$E$13+1,1))</f>
        <v>#N/A</v>
      </c>
      <c r="CZ178" s="60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-5.6843418860808015E-13</v>
      </c>
      <c r="O179" s="14">
        <f>N179*VLOOKUP('Données projet'!$B$9,Paramètres!$A$1:$I$88,3,0)*VLOOKUP('Données projet'!$B$9,Paramètres!$A$1:$I$88,5,0)</f>
        <v>-3.39923644787632E-13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222.57099967987045</v>
      </c>
      <c r="T179" s="60">
        <f t="shared" si="142"/>
        <v>221.49027090502796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19.677810134084414</v>
      </c>
      <c r="AA179" s="23">
        <f>EXP(-LN(2)/25)*AA178+(1-EXP(-LN(2)/25))/(LN(2)/25)*Calculateur!V179*Calculateur!X179*VLOOKUP('Données projet'!$B$9,Paramètres!$A$1:$I$88,3,0)*0.475*44/12</f>
        <v>2.1160054260580976</v>
      </c>
      <c r="AB179" s="23">
        <f>EXP(-LN(2)/2)*AB178+(1-EXP(-LN(2)/2))/(LN(2)/2)*V179*Y179*VLOOKUP('Données projet'!$B$9,Paramètres!$A$1:$I$88,3,0)*0.475*44/12</f>
        <v>3.1156108496853636E-15</v>
      </c>
      <c r="AC179" s="24">
        <f t="shared" si="163"/>
        <v>21.793815560142516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147.1675182177155</v>
      </c>
      <c r="AO179" s="60">
        <f t="shared" si="144"/>
        <v>115.86489547584461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28.007837833340385</v>
      </c>
      <c r="AV179" s="23">
        <f>EXP(-LN(2)/25)*AV178+(1-EXP(-LN(2)/25))/(LN(2)/25)*Calculateur!AQ179*Calculateur!AS179*VLOOKUP('Données projet'!$B$10,Paramètres!$A$1:$I$88,3,0)*0.475*44/12</f>
        <v>2.9834457112553689</v>
      </c>
      <c r="AW179" s="23">
        <f>EXP(-LN(2)/2)*AW178+(1-EXP(-LN(2)/2))/(LN(2)/2)*AQ179*AT179*VLOOKUP('Données projet'!$B$10,Paramètres!$A$1:$I$88,3,0)*0.475*44/12</f>
        <v>2.6182646629710237E-12</v>
      </c>
      <c r="AX179" s="23">
        <f t="shared" si="166"/>
        <v>30.991283544598371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-1.4210854715202004E-13</v>
      </c>
      <c r="BE179" s="14">
        <f>BD179*VLOOKUP('Données projet'!$B$11,Paramètres!$A$1:$I$88,3,0)*VLOOKUP('Données projet'!$B$11,Paramètres!$A$1:$I$88,5,0)</f>
        <v>-1.4409806681214833E-13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166.48525819448878</v>
      </c>
      <c r="BJ179" s="60">
        <f t="shared" si="146"/>
        <v>61.876502626609977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51.905817463843334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51.905817463843334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0" t="e">
        <f t="shared" si="119"/>
        <v>#N/A</v>
      </c>
      <c r="CD179" s="60" t="e">
        <f ca="1">AVERAGE(OFFSET($CC$3,0,0,'Données projet'!$E$12+1,1))-AVERAGE(OFFSET($H$3,0,0,'Données projet'!$E$12+1,1))</f>
        <v>#N/A</v>
      </c>
      <c r="CE179" s="60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0" t="e">
        <f t="shared" si="122"/>
        <v>#N/A</v>
      </c>
      <c r="CY179" s="60" t="e">
        <f ca="1">AVERAGE(OFFSET($CX$3,0,0,'Données projet'!$E$13+1,1))-AVERAGE(OFFSET($H$3,0,0,'Données projet'!$E$13+1,1))</f>
        <v>#N/A</v>
      </c>
      <c r="CZ179" s="60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-5.6843418860808015E-13</v>
      </c>
      <c r="O180" s="14">
        <f>N180*VLOOKUP('Données projet'!$B$9,Paramètres!$A$1:$I$88,3,0)*VLOOKUP('Données projet'!$B$9,Paramètres!$A$1:$I$88,5,0)</f>
        <v>-3.39923644787632E-13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222.57099967987045</v>
      </c>
      <c r="T180" s="60">
        <f t="shared" si="142"/>
        <v>221.49027090502796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19.291940279634073</v>
      </c>
      <c r="AA180" s="23">
        <f>EXP(-LN(2)/25)*AA179+(1-EXP(-LN(2)/25))/(LN(2)/25)*Calculateur!V180*Calculateur!X180*VLOOKUP('Données projet'!$B$9,Paramètres!$A$1:$I$88,3,0)*0.475*44/12</f>
        <v>2.0581431464066497</v>
      </c>
      <c r="AB180" s="23">
        <f>EXP(-LN(2)/2)*AB179+(1-EXP(-LN(2)/2))/(LN(2)/2)*V180*Y180*VLOOKUP('Données projet'!$B$9,Paramètres!$A$1:$I$88,3,0)*0.475*44/12</f>
        <v>2.2030695593509018E-15</v>
      </c>
      <c r="AC180" s="24">
        <f t="shared" si="163"/>
        <v>21.350083426040726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147.1675182177155</v>
      </c>
      <c r="AO180" s="60">
        <f t="shared" si="144"/>
        <v>115.86489547584461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27.458621216522843</v>
      </c>
      <c r="AV180" s="23">
        <f>EXP(-LN(2)/25)*AV179+(1-EXP(-LN(2)/25))/(LN(2)/25)*Calculateur!AQ180*Calculateur!AS180*VLOOKUP('Données projet'!$B$10,Paramètres!$A$1:$I$88,3,0)*0.475*44/12</f>
        <v>2.9018632313884996</v>
      </c>
      <c r="AW180" s="23">
        <f>EXP(-LN(2)/2)*AW179+(1-EXP(-LN(2)/2))/(LN(2)/2)*AQ180*AT180*VLOOKUP('Données projet'!$B$10,Paramètres!$A$1:$I$88,3,0)*0.475*44/12</f>
        <v>1.8513926981279212E-12</v>
      </c>
      <c r="AX180" s="23">
        <f t="shared" si="166"/>
        <v>30.360484447913194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-1.4210854715202004E-13</v>
      </c>
      <c r="BE180" s="14">
        <f>BD180*VLOOKUP('Données projet'!$B$11,Paramètres!$A$1:$I$88,3,0)*VLOOKUP('Données projet'!$B$11,Paramètres!$A$1:$I$88,5,0)</f>
        <v>-1.4409806681214833E-13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166.48525819448878</v>
      </c>
      <c r="BJ180" s="60">
        <f t="shared" si="146"/>
        <v>61.876502626609977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50.887976042799913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50.887976042799913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0" t="e">
        <f t="shared" si="119"/>
        <v>#N/A</v>
      </c>
      <c r="CD180" s="60" t="e">
        <f ca="1">AVERAGE(OFFSET($CC$3,0,0,'Données projet'!$E$12+1,1))-AVERAGE(OFFSET($H$3,0,0,'Données projet'!$E$12+1,1))</f>
        <v>#N/A</v>
      </c>
      <c r="CE180" s="60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0" t="e">
        <f t="shared" si="122"/>
        <v>#N/A</v>
      </c>
      <c r="CY180" s="60" t="e">
        <f ca="1">AVERAGE(OFFSET($CX$3,0,0,'Données projet'!$E$13+1,1))-AVERAGE(OFFSET($H$3,0,0,'Données projet'!$E$13+1,1))</f>
        <v>#N/A</v>
      </c>
      <c r="CZ180" s="60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-5.6843418860808015E-13</v>
      </c>
      <c r="O181" s="14">
        <f>N181*VLOOKUP('Données projet'!$B$9,Paramètres!$A$1:$I$88,3,0)*VLOOKUP('Données projet'!$B$9,Paramètres!$A$1:$I$88,5,0)</f>
        <v>-3.39923644787632E-13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222.57099967987045</v>
      </c>
      <c r="T181" s="60">
        <f t="shared" si="142"/>
        <v>221.49027090502796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18.913637097672133</v>
      </c>
      <c r="AA181" s="23">
        <f>EXP(-LN(2)/25)*AA180+(1-EXP(-LN(2)/25))/(LN(2)/25)*Calculateur!V181*Calculateur!X181*VLOOKUP('Données projet'!$B$9,Paramètres!$A$1:$I$88,3,0)*0.475*44/12</f>
        <v>2.0018631138351157</v>
      </c>
      <c r="AB181" s="23">
        <f>EXP(-LN(2)/2)*AB180+(1-EXP(-LN(2)/2))/(LN(2)/2)*V181*Y181*VLOOKUP('Données projet'!$B$9,Paramètres!$A$1:$I$88,3,0)*0.475*44/12</f>
        <v>1.5578054248426818E-15</v>
      </c>
      <c r="AC181" s="24">
        <f t="shared" si="163"/>
        <v>20.915500211507251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147.1675182177155</v>
      </c>
      <c r="AO181" s="60">
        <f t="shared" si="144"/>
        <v>115.86489547584461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26.920174402572034</v>
      </c>
      <c r="AV181" s="23">
        <f>EXP(-LN(2)/25)*AV180+(1-EXP(-LN(2)/25))/(LN(2)/25)*Calculateur!AQ181*Calculateur!AS181*VLOOKUP('Données projet'!$B$10,Paramètres!$A$1:$I$88,3,0)*0.475*44/12</f>
        <v>2.8225116287238259</v>
      </c>
      <c r="AW181" s="23">
        <f>EXP(-LN(2)/2)*AW180+(1-EXP(-LN(2)/2))/(LN(2)/2)*AQ181*AT181*VLOOKUP('Données projet'!$B$10,Paramètres!$A$1:$I$88,3,0)*0.475*44/12</f>
        <v>1.3091323314855118E-12</v>
      </c>
      <c r="AX181" s="23">
        <f t="shared" si="166"/>
        <v>29.742686031297168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-1.4210854715202004E-13</v>
      </c>
      <c r="BE181" s="14">
        <f>BD181*VLOOKUP('Données projet'!$B$11,Paramètres!$A$1:$I$88,3,0)*VLOOKUP('Données projet'!$B$11,Paramètres!$A$1:$I$88,5,0)</f>
        <v>-1.4409806681214833E-13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166.48525819448878</v>
      </c>
      <c r="BJ181" s="60">
        <f t="shared" si="146"/>
        <v>61.876502626609977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49.890093871201188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49.890093871201188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0" t="e">
        <f t="shared" si="119"/>
        <v>#N/A</v>
      </c>
      <c r="CD181" s="60" t="e">
        <f ca="1">AVERAGE(OFFSET($CC$3,0,0,'Données projet'!$E$12+1,1))-AVERAGE(OFFSET($H$3,0,0,'Données projet'!$E$12+1,1))</f>
        <v>#N/A</v>
      </c>
      <c r="CE181" s="60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0" t="e">
        <f t="shared" si="122"/>
        <v>#N/A</v>
      </c>
      <c r="CY181" s="60" t="e">
        <f ca="1">AVERAGE(OFFSET($CX$3,0,0,'Données projet'!$E$13+1,1))-AVERAGE(OFFSET($H$3,0,0,'Données projet'!$E$13+1,1))</f>
        <v>#N/A</v>
      </c>
      <c r="CZ181" s="60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-5.6843418860808015E-13</v>
      </c>
      <c r="O182" s="14">
        <f>N182*VLOOKUP('Données projet'!$B$9,Paramètres!$A$1:$I$88,3,0)*VLOOKUP('Données projet'!$B$9,Paramètres!$A$1:$I$88,5,0)</f>
        <v>-3.39923644787632E-13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222.57099967987045</v>
      </c>
      <c r="T182" s="60">
        <f t="shared" si="142"/>
        <v>221.49027090502796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18.542752210366309</v>
      </c>
      <c r="AA182" s="23">
        <f>EXP(-LN(2)/25)*AA181+(1-EXP(-LN(2)/25))/(LN(2)/25)*Calculateur!V182*Calculateur!X182*VLOOKUP('Données projet'!$B$9,Paramètres!$A$1:$I$88,3,0)*0.475*44/12</f>
        <v>1.9471220617138887</v>
      </c>
      <c r="AB182" s="23">
        <f>EXP(-LN(2)/2)*AB181+(1-EXP(-LN(2)/2))/(LN(2)/2)*V182*Y182*VLOOKUP('Données projet'!$B$9,Paramètres!$A$1:$I$88,3,0)*0.475*44/12</f>
        <v>1.1015347796754509E-15</v>
      </c>
      <c r="AC182" s="24">
        <f t="shared" si="163"/>
        <v>20.489874272080197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147.1675182177155</v>
      </c>
      <c r="AO182" s="60">
        <f t="shared" si="144"/>
        <v>115.86489547584461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26.392286202222671</v>
      </c>
      <c r="AV182" s="23">
        <f>EXP(-LN(2)/25)*AV181+(1-EXP(-LN(2)/25))/(LN(2)/25)*Calculateur!AQ182*Calculateur!AS182*VLOOKUP('Données projet'!$B$10,Paramètres!$A$1:$I$88,3,0)*0.475*44/12</f>
        <v>2.7453298998069373</v>
      </c>
      <c r="AW182" s="23">
        <f>EXP(-LN(2)/2)*AW181+(1-EXP(-LN(2)/2))/(LN(2)/2)*AQ182*AT182*VLOOKUP('Données projet'!$B$10,Paramètres!$A$1:$I$88,3,0)*0.475*44/12</f>
        <v>9.2569634906396062E-13</v>
      </c>
      <c r="AX182" s="23">
        <f t="shared" si="166"/>
        <v>29.137616102030535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-1.4210854715202004E-13</v>
      </c>
      <c r="BE182" s="14">
        <f>BD182*VLOOKUP('Données projet'!$B$11,Paramètres!$A$1:$I$88,3,0)*VLOOKUP('Données projet'!$B$11,Paramètres!$A$1:$I$88,5,0)</f>
        <v>-1.4409806681214833E-13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166.48525819448878</v>
      </c>
      <c r="BJ182" s="60">
        <f t="shared" si="146"/>
        <v>61.876502626609977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48.911779560339482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48.911779560339482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0" t="e">
        <f t="shared" si="119"/>
        <v>#N/A</v>
      </c>
      <c r="CD182" s="60" t="e">
        <f ca="1">AVERAGE(OFFSET($CC$3,0,0,'Données projet'!$E$12+1,1))-AVERAGE(OFFSET($H$3,0,0,'Données projet'!$E$12+1,1))</f>
        <v>#N/A</v>
      </c>
      <c r="CE182" s="60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0" t="e">
        <f t="shared" si="122"/>
        <v>#N/A</v>
      </c>
      <c r="CY182" s="60" t="e">
        <f ca="1">AVERAGE(OFFSET($CX$3,0,0,'Données projet'!$E$13+1,1))-AVERAGE(OFFSET($H$3,0,0,'Données projet'!$E$13+1,1))</f>
        <v>#N/A</v>
      </c>
      <c r="CZ182" s="60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-5.6843418860808015E-13</v>
      </c>
      <c r="O183" s="14">
        <f>N183*VLOOKUP('Données projet'!$B$9,Paramètres!$A$1:$I$88,3,0)*VLOOKUP('Données projet'!$B$9,Paramètres!$A$1:$I$88,5,0)</f>
        <v>-3.39923644787632E-13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222.57099967987045</v>
      </c>
      <c r="T183" s="60">
        <f t="shared" si="142"/>
        <v>221.49027090502796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18.179140149483107</v>
      </c>
      <c r="AA183" s="23">
        <f>EXP(-LN(2)/25)*AA182+(1-EXP(-LN(2)/25))/(LN(2)/25)*Calculateur!V183*Calculateur!X183*VLOOKUP('Données projet'!$B$9,Paramètres!$A$1:$I$88,3,0)*0.475*44/12</f>
        <v>1.8938779065416234</v>
      </c>
      <c r="AB183" s="23">
        <f>EXP(-LN(2)/2)*AB182+(1-EXP(-LN(2)/2))/(LN(2)/2)*V183*Y183*VLOOKUP('Données projet'!$B$9,Paramètres!$A$1:$I$88,3,0)*0.475*44/12</f>
        <v>7.789027124213409E-16</v>
      </c>
      <c r="AC183" s="24">
        <f t="shared" si="163"/>
        <v>20.073018056024729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147.1675182177155</v>
      </c>
      <c r="AO183" s="60">
        <f t="shared" si="144"/>
        <v>115.86489547584461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25.87474956750215</v>
      </c>
      <c r="AV183" s="23">
        <f>EXP(-LN(2)/25)*AV182+(1-EXP(-LN(2)/25))/(LN(2)/25)*Calculateur!AQ183*Calculateur!AS183*VLOOKUP('Données projet'!$B$10,Paramètres!$A$1:$I$88,3,0)*0.475*44/12</f>
        <v>2.6702587093260917</v>
      </c>
      <c r="AW183" s="23">
        <f>EXP(-LN(2)/2)*AW182+(1-EXP(-LN(2)/2))/(LN(2)/2)*AQ183*AT183*VLOOKUP('Données projet'!$B$10,Paramètres!$A$1:$I$88,3,0)*0.475*44/12</f>
        <v>6.5456616574275592E-13</v>
      </c>
      <c r="AX183" s="23">
        <f t="shared" si="166"/>
        <v>28.545008276828895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-1.4210854715202004E-13</v>
      </c>
      <c r="BE183" s="14">
        <f>BD183*VLOOKUP('Données projet'!$B$11,Paramètres!$A$1:$I$88,3,0)*VLOOKUP('Données projet'!$B$11,Paramètres!$A$1:$I$88,5,0)</f>
        <v>-1.4409806681214833E-13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166.48525819448878</v>
      </c>
      <c r="BJ183" s="60">
        <f t="shared" si="146"/>
        <v>61.876502626609977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47.952649396400972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47.952649396400972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0" t="e">
        <f t="shared" si="119"/>
        <v>#N/A</v>
      </c>
      <c r="CD183" s="60" t="e">
        <f ca="1">AVERAGE(OFFSET($CC$3,0,0,'Données projet'!$E$12+1,1))-AVERAGE(OFFSET($H$3,0,0,'Données projet'!$E$12+1,1))</f>
        <v>#N/A</v>
      </c>
      <c r="CE183" s="60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0" t="e">
        <f t="shared" si="122"/>
        <v>#N/A</v>
      </c>
      <c r="CY183" s="60" t="e">
        <f ca="1">AVERAGE(OFFSET($CX$3,0,0,'Données projet'!$E$13+1,1))-AVERAGE(OFFSET($H$3,0,0,'Données projet'!$E$13+1,1))</f>
        <v>#N/A</v>
      </c>
      <c r="CZ183" s="60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-5.6843418860808015E-13</v>
      </c>
      <c r="O184" s="14">
        <f>N184*VLOOKUP('Données projet'!$B$9,Paramètres!$A$1:$I$88,3,0)*VLOOKUP('Données projet'!$B$9,Paramètres!$A$1:$I$88,5,0)</f>
        <v>-3.39923644787632E-13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222.57099967987045</v>
      </c>
      <c r="T184" s="60">
        <f t="shared" si="142"/>
        <v>221.49027090502796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17.822658299332367</v>
      </c>
      <c r="AA184" s="23">
        <f>EXP(-LN(2)/25)*AA183+(1-EXP(-LN(2)/25))/(LN(2)/25)*Calculateur!V184*Calculateur!X184*VLOOKUP('Données projet'!$B$9,Paramètres!$A$1:$I$88,3,0)*0.475*44/12</f>
        <v>1.842089715592532</v>
      </c>
      <c r="AB184" s="23">
        <f>EXP(-LN(2)/2)*AB183+(1-EXP(-LN(2)/2))/(LN(2)/2)*V184*Y184*VLOOKUP('Données projet'!$B$9,Paramètres!$A$1:$I$88,3,0)*0.475*44/12</f>
        <v>5.5076738983772545E-16</v>
      </c>
      <c r="AC184" s="24">
        <f t="shared" si="163"/>
        <v>19.6647480149249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147.1675182177155</v>
      </c>
      <c r="AO184" s="60">
        <f t="shared" si="144"/>
        <v>115.86489547584461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25.367361510522322</v>
      </c>
      <c r="AV184" s="23">
        <f>EXP(-LN(2)/25)*AV183+(1-EXP(-LN(2)/25))/(LN(2)/25)*Calculateur!AQ184*Calculateur!AS184*VLOOKUP('Données projet'!$B$10,Paramètres!$A$1:$I$88,3,0)*0.475*44/12</f>
        <v>2.5972403444967673</v>
      </c>
      <c r="AW184" s="23">
        <f>EXP(-LN(2)/2)*AW183+(1-EXP(-LN(2)/2))/(LN(2)/2)*AQ184*AT184*VLOOKUP('Données projet'!$B$10,Paramètres!$A$1:$I$88,3,0)*0.475*44/12</f>
        <v>4.6284817453198031E-13</v>
      </c>
      <c r="AX184" s="23">
        <f t="shared" si="166"/>
        <v>27.964601855019552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-1.4210854715202004E-13</v>
      </c>
      <c r="BE184" s="14">
        <f>BD184*VLOOKUP('Données projet'!$B$11,Paramètres!$A$1:$I$88,3,0)*VLOOKUP('Données projet'!$B$11,Paramètres!$A$1:$I$88,5,0)</f>
        <v>-1.4409806681214833E-13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166.48525819448878</v>
      </c>
      <c r="BJ184" s="60">
        <f t="shared" si="146"/>
        <v>61.876502626609977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47.01232718996566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47.01232718996566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0" t="e">
        <f t="shared" si="119"/>
        <v>#N/A</v>
      </c>
      <c r="CD184" s="60" t="e">
        <f ca="1">AVERAGE(OFFSET($CC$3,0,0,'Données projet'!$E$12+1,1))-AVERAGE(OFFSET($H$3,0,0,'Données projet'!$E$12+1,1))</f>
        <v>#N/A</v>
      </c>
      <c r="CE184" s="60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0" t="e">
        <f t="shared" si="122"/>
        <v>#N/A</v>
      </c>
      <c r="CY184" s="60" t="e">
        <f ca="1">AVERAGE(OFFSET($CX$3,0,0,'Données projet'!$E$13+1,1))-AVERAGE(OFFSET($H$3,0,0,'Données projet'!$E$13+1,1))</f>
        <v>#N/A</v>
      </c>
      <c r="CZ184" s="60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-5.6843418860808015E-13</v>
      </c>
      <c r="O185" s="14">
        <f>N185*VLOOKUP('Données projet'!$B$9,Paramètres!$A$1:$I$88,3,0)*VLOOKUP('Données projet'!$B$9,Paramètres!$A$1:$I$88,5,0)</f>
        <v>-3.39923644787632E-13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222.57099967987045</v>
      </c>
      <c r="T185" s="60">
        <f t="shared" si="142"/>
        <v>221.49027090502796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17.473166840830626</v>
      </c>
      <c r="AA185" s="23">
        <f>EXP(-LN(2)/25)*AA184+(1-EXP(-LN(2)/25))/(LN(2)/25)*Calculateur!V185*Calculateur!X185*VLOOKUP('Données projet'!$B$9,Paramètres!$A$1:$I$88,3,0)*0.475*44/12</f>
        <v>1.7917176754483661</v>
      </c>
      <c r="AB185" s="23">
        <f>EXP(-LN(2)/2)*AB184+(1-EXP(-LN(2)/2))/(LN(2)/2)*V185*Y185*VLOOKUP('Données projet'!$B$9,Paramètres!$A$1:$I$88,3,0)*0.475*44/12</f>
        <v>3.8945135621067045E-16</v>
      </c>
      <c r="AC185" s="24">
        <f t="shared" si="163"/>
        <v>19.264884516278993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147.1675182177155</v>
      </c>
      <c r="AO185" s="60">
        <f t="shared" si="144"/>
        <v>115.86489547584461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24.869923023863713</v>
      </c>
      <c r="AV185" s="23">
        <f>EXP(-LN(2)/25)*AV184+(1-EXP(-LN(2)/25))/(LN(2)/25)*Calculateur!AQ185*Calculateur!AS185*VLOOKUP('Données projet'!$B$10,Paramètres!$A$1:$I$88,3,0)*0.475*44/12</f>
        <v>2.5262186706935696</v>
      </c>
      <c r="AW185" s="23">
        <f>EXP(-LN(2)/2)*AW184+(1-EXP(-LN(2)/2))/(LN(2)/2)*AQ185*AT185*VLOOKUP('Données projet'!$B$10,Paramètres!$A$1:$I$88,3,0)*0.475*44/12</f>
        <v>3.2728308287137796E-13</v>
      </c>
      <c r="AX185" s="23">
        <f t="shared" si="166"/>
        <v>27.39614169455761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-1.4210854715202004E-13</v>
      </c>
      <c r="BE185" s="14">
        <f>BD185*VLOOKUP('Données projet'!$B$11,Paramètres!$A$1:$I$88,3,0)*VLOOKUP('Données projet'!$B$11,Paramètres!$A$1:$I$88,5,0)</f>
        <v>-1.4409806681214833E-13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166.48525819448878</v>
      </c>
      <c r="BJ185" s="60">
        <f t="shared" si="146"/>
        <v>61.876502626609977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46.090444128458628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46.090444128458628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0" t="e">
        <f t="shared" si="119"/>
        <v>#N/A</v>
      </c>
      <c r="CD185" s="60" t="e">
        <f ca="1">AVERAGE(OFFSET($CC$3,0,0,'Données projet'!$E$12+1,1))-AVERAGE(OFFSET($H$3,0,0,'Données projet'!$E$12+1,1))</f>
        <v>#N/A</v>
      </c>
      <c r="CE185" s="60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0" t="e">
        <f t="shared" si="122"/>
        <v>#N/A</v>
      </c>
      <c r="CY185" s="60" t="e">
        <f ca="1">AVERAGE(OFFSET($CX$3,0,0,'Données projet'!$E$13+1,1))-AVERAGE(OFFSET($H$3,0,0,'Données projet'!$E$13+1,1))</f>
        <v>#N/A</v>
      </c>
      <c r="CZ185" s="60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-5.6843418860808015E-13</v>
      </c>
      <c r="O186" s="14">
        <f>N186*VLOOKUP('Données projet'!$B$9,Paramètres!$A$1:$I$88,3,0)*VLOOKUP('Données projet'!$B$9,Paramètres!$A$1:$I$88,5,0)</f>
        <v>-3.39923644787632E-13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222.57099967987045</v>
      </c>
      <c r="T186" s="60">
        <f t="shared" si="142"/>
        <v>221.49027090502796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17.130528696661361</v>
      </c>
      <c r="AA186" s="23">
        <f>EXP(-LN(2)/25)*AA185+(1-EXP(-LN(2)/25))/(LN(2)/25)*Calculateur!V186*Calculateur!X186*VLOOKUP('Données projet'!$B$9,Paramètres!$A$1:$I$88,3,0)*0.475*44/12</f>
        <v>1.7427230613908931</v>
      </c>
      <c r="AB186" s="23">
        <f>EXP(-LN(2)/2)*AB185+(1-EXP(-LN(2)/2))/(LN(2)/2)*V186*Y186*VLOOKUP('Données projet'!$B$9,Paramètres!$A$1:$I$88,3,0)*0.475*44/12</f>
        <v>2.7538369491886272E-16</v>
      </c>
      <c r="AC186" s="24">
        <f t="shared" si="163"/>
        <v>18.873251758052255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147.1675182177155</v>
      </c>
      <c r="AO186" s="60">
        <f t="shared" si="144"/>
        <v>115.86489547584461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24.382239002520961</v>
      </c>
      <c r="AV186" s="23">
        <f>EXP(-LN(2)/25)*AV185+(1-EXP(-LN(2)/25))/(LN(2)/25)*Calculateur!AQ186*Calculateur!AS186*VLOOKUP('Données projet'!$B$10,Paramètres!$A$1:$I$88,3,0)*0.475*44/12</f>
        <v>2.4571390882953876</v>
      </c>
      <c r="AW186" s="23">
        <f>EXP(-LN(2)/2)*AW185+(1-EXP(-LN(2)/2))/(LN(2)/2)*AQ186*AT186*VLOOKUP('Données projet'!$B$10,Paramètres!$A$1:$I$88,3,0)*0.475*44/12</f>
        <v>2.3142408726599015E-13</v>
      </c>
      <c r="AX186" s="23">
        <f t="shared" si="166"/>
        <v>26.839378090816581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-1.4210854715202004E-13</v>
      </c>
      <c r="BE186" s="14">
        <f>BD186*VLOOKUP('Données projet'!$B$11,Paramètres!$A$1:$I$88,3,0)*VLOOKUP('Données projet'!$B$11,Paramètres!$A$1:$I$88,5,0)</f>
        <v>-1.4409806681214833E-13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166.48525819448878</v>
      </c>
      <c r="BJ186" s="60">
        <f t="shared" si="146"/>
        <v>61.876502626609977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45.186638631494603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45.186638631494603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0" t="e">
        <f t="shared" si="119"/>
        <v>#N/A</v>
      </c>
      <c r="CD186" s="60" t="e">
        <f ca="1">AVERAGE(OFFSET($CC$3,0,0,'Données projet'!$E$12+1,1))-AVERAGE(OFFSET($H$3,0,0,'Données projet'!$E$12+1,1))</f>
        <v>#N/A</v>
      </c>
      <c r="CE186" s="60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0" t="e">
        <f t="shared" si="122"/>
        <v>#N/A</v>
      </c>
      <c r="CY186" s="60" t="e">
        <f ca="1">AVERAGE(OFFSET($CX$3,0,0,'Données projet'!$E$13+1,1))-AVERAGE(OFFSET($H$3,0,0,'Données projet'!$E$13+1,1))</f>
        <v>#N/A</v>
      </c>
      <c r="CZ186" s="60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-5.6843418860808015E-13</v>
      </c>
      <c r="O187" s="14">
        <f>N187*VLOOKUP('Données projet'!$B$9,Paramètres!$A$1:$I$88,3,0)*VLOOKUP('Données projet'!$B$9,Paramètres!$A$1:$I$88,5,0)</f>
        <v>-3.39923644787632E-13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222.57099967987045</v>
      </c>
      <c r="T187" s="60">
        <f t="shared" si="142"/>
        <v>221.49027090502796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16.794609477510626</v>
      </c>
      <c r="AA187" s="23">
        <f>EXP(-LN(2)/25)*AA186+(1-EXP(-LN(2)/25))/(LN(2)/25)*Calculateur!V187*Calculateur!X187*VLOOKUP('Données projet'!$B$9,Paramètres!$A$1:$I$88,3,0)*0.475*44/12</f>
        <v>1.6950682076313364</v>
      </c>
      <c r="AB187" s="23">
        <f>EXP(-LN(2)/2)*AB186+(1-EXP(-LN(2)/2))/(LN(2)/2)*V187*Y187*VLOOKUP('Données projet'!$B$9,Paramètres!$A$1:$I$88,3,0)*0.475*44/12</f>
        <v>1.9472567810533523E-16</v>
      </c>
      <c r="AC187" s="24">
        <f t="shared" si="163"/>
        <v>18.489677685141963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147.1675182177155</v>
      </c>
      <c r="AO187" s="60">
        <f t="shared" si="144"/>
        <v>115.86489547584461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23.904118167378858</v>
      </c>
      <c r="AV187" s="23">
        <f>EXP(-LN(2)/25)*AV186+(1-EXP(-LN(2)/25))/(LN(2)/25)*Calculateur!AQ187*Calculateur!AS187*VLOOKUP('Données projet'!$B$10,Paramètres!$A$1:$I$88,3,0)*0.475*44/12</f>
        <v>2.3899484907106214</v>
      </c>
      <c r="AW187" s="23">
        <f>EXP(-LN(2)/2)*AW186+(1-EXP(-LN(2)/2))/(LN(2)/2)*AQ187*AT187*VLOOKUP('Données projet'!$B$10,Paramètres!$A$1:$I$88,3,0)*0.475*44/12</f>
        <v>1.6364154143568898E-13</v>
      </c>
      <c r="AX187" s="23">
        <f t="shared" si="166"/>
        <v>26.294066658089644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-1.4210854715202004E-13</v>
      </c>
      <c r="BE187" s="14">
        <f>BD187*VLOOKUP('Données projet'!$B$11,Paramètres!$A$1:$I$88,3,0)*VLOOKUP('Données projet'!$B$11,Paramètres!$A$1:$I$88,5,0)</f>
        <v>-1.4409806681214833E-13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166.48525819448878</v>
      </c>
      <c r="BJ187" s="60">
        <f t="shared" si="146"/>
        <v>61.876502626609977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44.300556209059124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44.300556209059124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0" t="e">
        <f t="shared" si="119"/>
        <v>#N/A</v>
      </c>
      <c r="CD187" s="60" t="e">
        <f ca="1">AVERAGE(OFFSET($CC$3,0,0,'Données projet'!$E$12+1,1))-AVERAGE(OFFSET($H$3,0,0,'Données projet'!$E$12+1,1))</f>
        <v>#N/A</v>
      </c>
      <c r="CE187" s="60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0" t="e">
        <f t="shared" si="122"/>
        <v>#N/A</v>
      </c>
      <c r="CY187" s="60" t="e">
        <f ca="1">AVERAGE(OFFSET($CX$3,0,0,'Données projet'!$E$13+1,1))-AVERAGE(OFFSET($H$3,0,0,'Données projet'!$E$13+1,1))</f>
        <v>#N/A</v>
      </c>
      <c r="CZ187" s="60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-5.6843418860808015E-13</v>
      </c>
      <c r="O188" s="14">
        <f>N188*VLOOKUP('Données projet'!$B$9,Paramètres!$A$1:$I$88,3,0)*VLOOKUP('Données projet'!$B$9,Paramètres!$A$1:$I$88,5,0)</f>
        <v>-3.39923644787632E-13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222.57099967987045</v>
      </c>
      <c r="T188" s="60">
        <f t="shared" si="142"/>
        <v>221.49027090502796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16.465277429356941</v>
      </c>
      <c r="AA188" s="23">
        <f>EXP(-LN(2)/25)*AA187+(1-EXP(-LN(2)/25))/(LN(2)/25)*Calculateur!V188*Calculateur!X188*VLOOKUP('Données projet'!$B$9,Paramètres!$A$1:$I$88,3,0)*0.475*44/12</f>
        <v>1.6487164783538946</v>
      </c>
      <c r="AB188" s="23">
        <f>EXP(-LN(2)/2)*AB187+(1-EXP(-LN(2)/2))/(LN(2)/2)*V188*Y188*VLOOKUP('Données projet'!$B$9,Paramètres!$A$1:$I$88,3,0)*0.475*44/12</f>
        <v>1.3769184745943136E-16</v>
      </c>
      <c r="AC188" s="24">
        <f t="shared" si="163"/>
        <v>18.113993907710835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147.1675182177155</v>
      </c>
      <c r="AO188" s="60">
        <f t="shared" si="144"/>
        <v>115.86489547584461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23.435372990188977</v>
      </c>
      <c r="AV188" s="23">
        <f>EXP(-LN(2)/25)*AV187+(1-EXP(-LN(2)/25))/(LN(2)/25)*Calculateur!AQ188*Calculateur!AS188*VLOOKUP('Données projet'!$B$10,Paramètres!$A$1:$I$88,3,0)*0.475*44/12</f>
        <v>2.3245952235502108</v>
      </c>
      <c r="AW188" s="23">
        <f>EXP(-LN(2)/2)*AW187+(1-EXP(-LN(2)/2))/(LN(2)/2)*AQ188*AT188*VLOOKUP('Données projet'!$B$10,Paramètres!$A$1:$I$88,3,0)*0.475*44/12</f>
        <v>1.1571204363299508E-13</v>
      </c>
      <c r="AX188" s="23">
        <f t="shared" si="166"/>
        <v>25.759968213739306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-1.4210854715202004E-13</v>
      </c>
      <c r="BE188" s="14">
        <f>BD188*VLOOKUP('Données projet'!$B$11,Paramètres!$A$1:$I$88,3,0)*VLOOKUP('Données projet'!$B$11,Paramètres!$A$1:$I$88,5,0)</f>
        <v>-1.4409806681214833E-13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166.48525819448878</v>
      </c>
      <c r="BJ188" s="60">
        <f t="shared" si="146"/>
        <v>61.876502626609977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43.43184932247069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43.43184932247069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0" t="e">
        <f t="shared" si="119"/>
        <v>#N/A</v>
      </c>
      <c r="CD188" s="60" t="e">
        <f ca="1">AVERAGE(OFFSET($CC$3,0,0,'Données projet'!$E$12+1,1))-AVERAGE(OFFSET($H$3,0,0,'Données projet'!$E$12+1,1))</f>
        <v>#N/A</v>
      </c>
      <c r="CE188" s="60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0" t="e">
        <f t="shared" si="122"/>
        <v>#N/A</v>
      </c>
      <c r="CY188" s="60" t="e">
        <f ca="1">AVERAGE(OFFSET($CX$3,0,0,'Données projet'!$E$13+1,1))-AVERAGE(OFFSET($H$3,0,0,'Données projet'!$E$13+1,1))</f>
        <v>#N/A</v>
      </c>
      <c r="CZ188" s="60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-5.6843418860808015E-13</v>
      </c>
      <c r="O189" s="14">
        <f>N189*VLOOKUP('Données projet'!$B$9,Paramètres!$A$1:$I$88,3,0)*VLOOKUP('Données projet'!$B$9,Paramètres!$A$1:$I$88,5,0)</f>
        <v>-3.39923644787632E-13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222.57099967987045</v>
      </c>
      <c r="T189" s="60">
        <f t="shared" si="142"/>
        <v>221.49027090502796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16.142403381794836</v>
      </c>
      <c r="AA189" s="23">
        <f>EXP(-LN(2)/25)*AA188+(1-EXP(-LN(2)/25))/(LN(2)/25)*Calculateur!V189*Calculateur!X189*VLOOKUP('Données projet'!$B$9,Paramètres!$A$1:$I$88,3,0)*0.475*44/12</f>
        <v>1.6036322395510758</v>
      </c>
      <c r="AB189" s="23">
        <f>EXP(-LN(2)/2)*AB188+(1-EXP(-LN(2)/2))/(LN(2)/2)*V189*Y189*VLOOKUP('Données projet'!$B$9,Paramètres!$A$1:$I$88,3,0)*0.475*44/12</f>
        <v>9.7362839052667613E-17</v>
      </c>
      <c r="AC189" s="24">
        <f t="shared" si="163"/>
        <v>17.746035621345911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147.1675182177155</v>
      </c>
      <c r="AO189" s="60">
        <f t="shared" si="144"/>
        <v>115.86489547584461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22.975819620017464</v>
      </c>
      <c r="AV189" s="23">
        <f>EXP(-LN(2)/25)*AV188+(1-EXP(-LN(2)/25))/(LN(2)/25)*Calculateur!AQ189*Calculateur!AS189*VLOOKUP('Données projet'!$B$10,Paramètres!$A$1:$I$88,3,0)*0.475*44/12</f>
        <v>2.2610290449170805</v>
      </c>
      <c r="AW189" s="23">
        <f>EXP(-LN(2)/2)*AW188+(1-EXP(-LN(2)/2))/(LN(2)/2)*AQ189*AT189*VLOOKUP('Données projet'!$B$10,Paramètres!$A$1:$I$88,3,0)*0.475*44/12</f>
        <v>8.182077071784449E-14</v>
      </c>
      <c r="AX189" s="23">
        <f t="shared" si="166"/>
        <v>25.236848664934627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-1.4210854715202004E-13</v>
      </c>
      <c r="BE189" s="14">
        <f>BD189*VLOOKUP('Données projet'!$B$11,Paramètres!$A$1:$I$88,3,0)*VLOOKUP('Données projet'!$B$11,Paramètres!$A$1:$I$88,5,0)</f>
        <v>-1.4409806681214833E-13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166.48525819448878</v>
      </c>
      <c r="BJ189" s="60">
        <f t="shared" si="146"/>
        <v>61.876502626609977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42.580177248069376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42.580177248069376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0" t="e">
        <f t="shared" si="119"/>
        <v>#N/A</v>
      </c>
      <c r="CD189" s="60" t="e">
        <f ca="1">AVERAGE(OFFSET($CC$3,0,0,'Données projet'!$E$12+1,1))-AVERAGE(OFFSET($H$3,0,0,'Données projet'!$E$12+1,1))</f>
        <v>#N/A</v>
      </c>
      <c r="CE189" s="60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0" t="e">
        <f t="shared" si="122"/>
        <v>#N/A</v>
      </c>
      <c r="CY189" s="60" t="e">
        <f ca="1">AVERAGE(OFFSET($CX$3,0,0,'Données projet'!$E$13+1,1))-AVERAGE(OFFSET($H$3,0,0,'Données projet'!$E$13+1,1))</f>
        <v>#N/A</v>
      </c>
      <c r="CZ189" s="60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-5.6843418860808015E-13</v>
      </c>
      <c r="O190" s="14">
        <f>N190*VLOOKUP('Données projet'!$B$9,Paramètres!$A$1:$I$88,3,0)*VLOOKUP('Données projet'!$B$9,Paramètres!$A$1:$I$88,5,0)</f>
        <v>-3.39923644787632E-13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222.57099967987045</v>
      </c>
      <c r="T190" s="60">
        <f t="shared" si="142"/>
        <v>221.49027090502796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15.8258606973717</v>
      </c>
      <c r="AA190" s="23">
        <f>EXP(-LN(2)/25)*AA189+(1-EXP(-LN(2)/25))/(LN(2)/25)*Calculateur!V190*Calculateur!X190*VLOOKUP('Données projet'!$B$9,Paramètres!$A$1:$I$88,3,0)*0.475*44/12</f>
        <v>1.5597808316291972</v>
      </c>
      <c r="AB190" s="23">
        <f>EXP(-LN(2)/2)*AB189+(1-EXP(-LN(2)/2))/(LN(2)/2)*V190*Y190*VLOOKUP('Données projet'!$B$9,Paramètres!$A$1:$I$88,3,0)*0.475*44/12</f>
        <v>6.8845923729715681E-17</v>
      </c>
      <c r="AC190" s="24">
        <f t="shared" si="163"/>
        <v>17.385641529000896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147.1675182177155</v>
      </c>
      <c r="AO190" s="60">
        <f t="shared" si="144"/>
        <v>115.86489547584461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22.525277811135137</v>
      </c>
      <c r="AV190" s="23">
        <f>EXP(-LN(2)/25)*AV189+(1-EXP(-LN(2)/25))/(LN(2)/25)*Calculateur!AQ190*Calculateur!AS190*VLOOKUP('Données projet'!$B$10,Paramètres!$A$1:$I$88,3,0)*0.475*44/12</f>
        <v>2.1992010867814731</v>
      </c>
      <c r="AW190" s="23">
        <f>EXP(-LN(2)/2)*AW189+(1-EXP(-LN(2)/2))/(LN(2)/2)*AQ190*AT190*VLOOKUP('Données projet'!$B$10,Paramètres!$A$1:$I$88,3,0)*0.475*44/12</f>
        <v>5.7856021816497539E-14</v>
      </c>
      <c r="AX190" s="23">
        <f t="shared" si="166"/>
        <v>24.724478897916669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-1.4210854715202004E-13</v>
      </c>
      <c r="BE190" s="14">
        <f>BD190*VLOOKUP('Données projet'!$B$11,Paramètres!$A$1:$I$88,3,0)*VLOOKUP('Données projet'!$B$11,Paramètres!$A$1:$I$88,5,0)</f>
        <v>-1.4409806681214833E-13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166.48525819448878</v>
      </c>
      <c r="BJ190" s="60">
        <f t="shared" si="146"/>
        <v>61.876502626609977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41.745205943578398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41.745205943578398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0" t="e">
        <f t="shared" si="119"/>
        <v>#N/A</v>
      </c>
      <c r="CD190" s="60" t="e">
        <f ca="1">AVERAGE(OFFSET($CC$3,0,0,'Données projet'!$E$12+1,1))-AVERAGE(OFFSET($H$3,0,0,'Données projet'!$E$12+1,1))</f>
        <v>#N/A</v>
      </c>
      <c r="CE190" s="60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0" t="e">
        <f t="shared" si="122"/>
        <v>#N/A</v>
      </c>
      <c r="CY190" s="60" t="e">
        <f ca="1">AVERAGE(OFFSET($CX$3,0,0,'Données projet'!$E$13+1,1))-AVERAGE(OFFSET($H$3,0,0,'Données projet'!$E$13+1,1))</f>
        <v>#N/A</v>
      </c>
      <c r="CZ190" s="60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-5.6843418860808015E-13</v>
      </c>
      <c r="O191" s="14">
        <f>N191*VLOOKUP('Données projet'!$B$9,Paramètres!$A$1:$I$88,3,0)*VLOOKUP('Données projet'!$B$9,Paramètres!$A$1:$I$88,5,0)</f>
        <v>-3.39923644787632E-13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222.57099967987045</v>
      </c>
      <c r="T191" s="60">
        <f t="shared" si="142"/>
        <v>221.49027090502796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15.51552522191813</v>
      </c>
      <c r="AA191" s="23">
        <f>EXP(-LN(2)/25)*AA190+(1-EXP(-LN(2)/25))/(LN(2)/25)*Calculateur!V191*Calculateur!X191*VLOOKUP('Données projet'!$B$9,Paramètres!$A$1:$I$88,3,0)*0.475*44/12</f>
        <v>1.5171285427629879</v>
      </c>
      <c r="AB191" s="23">
        <f>EXP(-LN(2)/2)*AB190+(1-EXP(-LN(2)/2))/(LN(2)/2)*V191*Y191*VLOOKUP('Données projet'!$B$9,Paramètres!$A$1:$I$88,3,0)*0.475*44/12</f>
        <v>4.8681419526333807E-17</v>
      </c>
      <c r="AC191" s="24">
        <f t="shared" si="163"/>
        <v>17.032653764681118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147.1675182177155</v>
      </c>
      <c r="AO191" s="60">
        <f t="shared" si="144"/>
        <v>115.86489547584461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22.083570852321621</v>
      </c>
      <c r="AV191" s="23">
        <f>EXP(-LN(2)/25)*AV190+(1-EXP(-LN(2)/25))/(LN(2)/25)*Calculateur!AQ191*Calculateur!AS191*VLOOKUP('Données projet'!$B$10,Paramètres!$A$1:$I$88,3,0)*0.475*44/12</f>
        <v>2.1390638174124748</v>
      </c>
      <c r="AW191" s="23">
        <f>EXP(-LN(2)/2)*AW190+(1-EXP(-LN(2)/2))/(LN(2)/2)*AQ191*AT191*VLOOKUP('Données projet'!$B$10,Paramètres!$A$1:$I$88,3,0)*0.475*44/12</f>
        <v>4.0910385358922245E-14</v>
      </c>
      <c r="AX191" s="23">
        <f t="shared" si="166"/>
        <v>24.222634669734138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-1.4210854715202004E-13</v>
      </c>
      <c r="BE191" s="14">
        <f>BD191*VLOOKUP('Données projet'!$B$11,Paramètres!$A$1:$I$88,3,0)*VLOOKUP('Données projet'!$B$11,Paramètres!$A$1:$I$88,5,0)</f>
        <v>-1.4409806681214833E-13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166.48525819448878</v>
      </c>
      <c r="BJ191" s="60">
        <f t="shared" si="146"/>
        <v>61.876502626609977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40.92660791708628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40.92660791708628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0" t="e">
        <f t="shared" si="119"/>
        <v>#N/A</v>
      </c>
      <c r="CD191" s="60" t="e">
        <f ca="1">AVERAGE(OFFSET($CC$3,0,0,'Données projet'!$E$12+1,1))-AVERAGE(OFFSET($H$3,0,0,'Données projet'!$E$12+1,1))</f>
        <v>#N/A</v>
      </c>
      <c r="CE191" s="60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0" t="e">
        <f t="shared" si="122"/>
        <v>#N/A</v>
      </c>
      <c r="CY191" s="60" t="e">
        <f ca="1">AVERAGE(OFFSET($CX$3,0,0,'Données projet'!$E$13+1,1))-AVERAGE(OFFSET($H$3,0,0,'Données projet'!$E$13+1,1))</f>
        <v>#N/A</v>
      </c>
      <c r="CZ191" s="60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-5.6843418860808015E-13</v>
      </c>
      <c r="O192" s="14">
        <f>N192*VLOOKUP('Données projet'!$B$9,Paramètres!$A$1:$I$88,3,0)*VLOOKUP('Données projet'!$B$9,Paramètres!$A$1:$I$88,5,0)</f>
        <v>-3.39923644787632E-13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222.57099967987045</v>
      </c>
      <c r="T192" s="60">
        <f t="shared" si="142"/>
        <v>221.49027090502796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15.211275235852254</v>
      </c>
      <c r="AA192" s="23">
        <f>EXP(-LN(2)/25)*AA191+(1-EXP(-LN(2)/25))/(LN(2)/25)*Calculateur!V192*Calculateur!X192*VLOOKUP('Données projet'!$B$9,Paramètres!$A$1:$I$88,3,0)*0.475*44/12</f>
        <v>1.4756425829788113</v>
      </c>
      <c r="AB192" s="23">
        <f>EXP(-LN(2)/2)*AB191+(1-EXP(-LN(2)/2))/(LN(2)/2)*V192*Y192*VLOOKUP('Données projet'!$B$9,Paramètres!$A$1:$I$88,3,0)*0.475*44/12</f>
        <v>3.442296186485784E-17</v>
      </c>
      <c r="AC192" s="24">
        <f t="shared" si="163"/>
        <v>16.686917818831066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147.1675182177155</v>
      </c>
      <c r="AO192" s="60">
        <f t="shared" si="144"/>
        <v>115.86489547584461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21.650525497555797</v>
      </c>
      <c r="AV192" s="23">
        <f>EXP(-LN(2)/25)*AV191+(1-EXP(-LN(2)/25))/(LN(2)/25)*Calculateur!AQ192*Calculateur!AS192*VLOOKUP('Données projet'!$B$10,Paramètres!$A$1:$I$88,3,0)*0.475*44/12</f>
        <v>2.0805710048368535</v>
      </c>
      <c r="AW192" s="23">
        <f>EXP(-LN(2)/2)*AW191+(1-EXP(-LN(2)/2))/(LN(2)/2)*AQ192*AT192*VLOOKUP('Données projet'!$B$10,Paramètres!$A$1:$I$88,3,0)*0.475*44/12</f>
        <v>2.8928010908248769E-14</v>
      </c>
      <c r="AX192" s="23">
        <f t="shared" si="166"/>
        <v>23.731096502392681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-1.4210854715202004E-13</v>
      </c>
      <c r="BE192" s="14">
        <f>BD192*VLOOKUP('Données projet'!$B$11,Paramètres!$A$1:$I$88,3,0)*VLOOKUP('Données projet'!$B$11,Paramètres!$A$1:$I$88,5,0)</f>
        <v>-1.4409806681214833E-13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166.48525819448878</v>
      </c>
      <c r="BJ192" s="60">
        <f t="shared" si="146"/>
        <v>61.876502626609977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40.124062098598181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40.124062098598181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0" t="e">
        <f t="shared" si="119"/>
        <v>#N/A</v>
      </c>
      <c r="CD192" s="60" t="e">
        <f ca="1">AVERAGE(OFFSET($CC$3,0,0,'Données projet'!$E$12+1,1))-AVERAGE(OFFSET($H$3,0,0,'Données projet'!$E$12+1,1))</f>
        <v>#N/A</v>
      </c>
      <c r="CE192" s="60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0" t="e">
        <f t="shared" si="122"/>
        <v>#N/A</v>
      </c>
      <c r="CY192" s="60" t="e">
        <f ca="1">AVERAGE(OFFSET($CX$3,0,0,'Données projet'!$E$13+1,1))-AVERAGE(OFFSET($H$3,0,0,'Données projet'!$E$13+1,1))</f>
        <v>#N/A</v>
      </c>
      <c r="CZ192" s="60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-5.6843418860808015E-13</v>
      </c>
      <c r="O193" s="14">
        <f>N193*VLOOKUP('Données projet'!$B$9,Paramètres!$A$1:$I$88,3,0)*VLOOKUP('Données projet'!$B$9,Paramètres!$A$1:$I$88,5,0)</f>
        <v>-3.39923644787632E-13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222.57099967987045</v>
      </c>
      <c r="T193" s="60">
        <f t="shared" si="142"/>
        <v>221.49027090502796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14.912991406438962</v>
      </c>
      <c r="AA193" s="23">
        <f>EXP(-LN(2)/25)*AA192+(1-EXP(-LN(2)/25))/(LN(2)/25)*Calculateur!V193*Calculateur!X193*VLOOKUP('Données projet'!$B$9,Paramètres!$A$1:$I$88,3,0)*0.475*44/12</f>
        <v>1.435291058946585</v>
      </c>
      <c r="AB193" s="23">
        <f>EXP(-LN(2)/2)*AB192+(1-EXP(-LN(2)/2))/(LN(2)/2)*V193*Y193*VLOOKUP('Données projet'!$B$9,Paramètres!$A$1:$I$88,3,0)*0.475*44/12</f>
        <v>2.4340709763166903E-17</v>
      </c>
      <c r="AC193" s="24">
        <f t="shared" si="163"/>
        <v>16.348282465385548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147.1675182177155</v>
      </c>
      <c r="AO193" s="60">
        <f t="shared" si="144"/>
        <v>115.86489547584461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21.225971898065346</v>
      </c>
      <c r="AV193" s="23">
        <f>EXP(-LN(2)/25)*AV192+(1-EXP(-LN(2)/25))/(LN(2)/25)*Calculateur!AQ193*Calculateur!AS193*VLOOKUP('Données projet'!$B$10,Paramètres!$A$1:$I$88,3,0)*0.475*44/12</f>
        <v>2.0236776812971158</v>
      </c>
      <c r="AW193" s="23">
        <f>EXP(-LN(2)/2)*AW192+(1-EXP(-LN(2)/2))/(LN(2)/2)*AQ193*AT193*VLOOKUP('Données projet'!$B$10,Paramètres!$A$1:$I$88,3,0)*0.475*44/12</f>
        <v>2.0455192679461123E-14</v>
      </c>
      <c r="AX193" s="23">
        <f t="shared" si="166"/>
        <v>23.249649579362483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-1.4210854715202004E-13</v>
      </c>
      <c r="BE193" s="14">
        <f>BD193*VLOOKUP('Données projet'!$B$11,Paramètres!$A$1:$I$88,3,0)*VLOOKUP('Données projet'!$B$11,Paramètres!$A$1:$I$88,5,0)</f>
        <v>-1.4409806681214833E-13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166.48525819448878</v>
      </c>
      <c r="BJ193" s="60">
        <f t="shared" si="146"/>
        <v>61.876502626609977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39.337253714106019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39.337253714106019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0" t="e">
        <f t="shared" si="119"/>
        <v>#N/A</v>
      </c>
      <c r="CD193" s="60" t="e">
        <f ca="1">AVERAGE(OFFSET($CC$3,0,0,'Données projet'!$E$12+1,1))-AVERAGE(OFFSET($H$3,0,0,'Données projet'!$E$12+1,1))</f>
        <v>#N/A</v>
      </c>
      <c r="CE193" s="60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0" t="e">
        <f t="shared" si="122"/>
        <v>#N/A</v>
      </c>
      <c r="CY193" s="60" t="e">
        <f ca="1">AVERAGE(OFFSET($CX$3,0,0,'Données projet'!$E$13+1,1))-AVERAGE(OFFSET($H$3,0,0,'Données projet'!$E$13+1,1))</f>
        <v>#N/A</v>
      </c>
      <c r="CZ193" s="60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-5.6843418860808015E-13</v>
      </c>
      <c r="O194" s="14">
        <f>N194*VLOOKUP('Données projet'!$B$9,Paramètres!$A$1:$I$88,3,0)*VLOOKUP('Données projet'!$B$9,Paramètres!$A$1:$I$88,5,0)</f>
        <v>-3.39923644787632E-13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222.57099967987045</v>
      </c>
      <c r="T194" s="60">
        <f t="shared" si="142"/>
        <v>221.49027090502796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14.620556740985295</v>
      </c>
      <c r="AA194" s="23">
        <f>EXP(-LN(2)/25)*AA193+(1-EXP(-LN(2)/25))/(LN(2)/25)*Calculateur!V194*Calculateur!X194*VLOOKUP('Données projet'!$B$9,Paramètres!$A$1:$I$88,3,0)*0.475*44/12</f>
        <v>1.3960429494610143</v>
      </c>
      <c r="AB194" s="23">
        <f>EXP(-LN(2)/2)*AB193+(1-EXP(-LN(2)/2))/(LN(2)/2)*V194*Y194*VLOOKUP('Données projet'!$B$9,Paramètres!$A$1:$I$88,3,0)*0.475*44/12</f>
        <v>1.721148093242892E-17</v>
      </c>
      <c r="AC194" s="24">
        <f t="shared" si="163"/>
        <v>16.016599690446309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147.1675182177155</v>
      </c>
      <c r="AO194" s="60">
        <f t="shared" si="144"/>
        <v>115.86489547584461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20.809743535708776</v>
      </c>
      <c r="AV194" s="23">
        <f>EXP(-LN(2)/25)*AV193+(1-EXP(-LN(2)/25))/(LN(2)/25)*Calculateur!AQ194*Calculateur!AS194*VLOOKUP('Données projet'!$B$10,Paramètres!$A$1:$I$88,3,0)*0.475*44/12</f>
        <v>1.968340108681462</v>
      </c>
      <c r="AW194" s="23">
        <f>EXP(-LN(2)/2)*AW193+(1-EXP(-LN(2)/2))/(LN(2)/2)*AQ194*AT194*VLOOKUP('Données projet'!$B$10,Paramètres!$A$1:$I$88,3,0)*0.475*44/12</f>
        <v>1.4464005454124385E-14</v>
      </c>
      <c r="AX194" s="23">
        <f t="shared" si="166"/>
        <v>22.778083644390254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-1.4210854715202004E-13</v>
      </c>
      <c r="BE194" s="14">
        <f>BD194*VLOOKUP('Données projet'!$B$11,Paramètres!$A$1:$I$88,3,0)*VLOOKUP('Données projet'!$B$11,Paramètres!$A$1:$I$88,5,0)</f>
        <v>-1.4409806681214833E-13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166.48525819448878</v>
      </c>
      <c r="BJ194" s="60">
        <f t="shared" si="146"/>
        <v>61.876502626609977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38.565874162128019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38.565874162128019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0" t="e">
        <f t="shared" si="119"/>
        <v>#N/A</v>
      </c>
      <c r="CD194" s="60" t="e">
        <f ca="1">AVERAGE(OFFSET($CC$3,0,0,'Données projet'!$E$12+1,1))-AVERAGE(OFFSET($H$3,0,0,'Données projet'!$E$12+1,1))</f>
        <v>#N/A</v>
      </c>
      <c r="CE194" s="60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0" t="e">
        <f t="shared" si="122"/>
        <v>#N/A</v>
      </c>
      <c r="CY194" s="60" t="e">
        <f ca="1">AVERAGE(OFFSET($CX$3,0,0,'Données projet'!$E$13+1,1))-AVERAGE(OFFSET($H$3,0,0,'Données projet'!$E$13+1,1))</f>
        <v>#N/A</v>
      </c>
      <c r="CZ194" s="60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-5.6843418860808015E-13</v>
      </c>
      <c r="O195" s="14">
        <f>N195*VLOOKUP('Données projet'!$B$9,Paramètres!$A$1:$I$88,3,0)*VLOOKUP('Données projet'!$B$9,Paramètres!$A$1:$I$88,5,0)</f>
        <v>-3.39923644787632E-13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222.57099967987045</v>
      </c>
      <c r="T195" s="60">
        <f t="shared" si="142"/>
        <v>221.49027090502796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14.33385654095364</v>
      </c>
      <c r="AA195" s="23">
        <f>EXP(-LN(2)/25)*AA194+(1-EXP(-LN(2)/25))/(LN(2)/25)*Calculateur!V195*Calculateur!X195*VLOOKUP('Données projet'!$B$9,Paramètres!$A$1:$I$88,3,0)*0.475*44/12</f>
        <v>1.3578680815932949</v>
      </c>
      <c r="AB195" s="23">
        <f>EXP(-LN(2)/2)*AB194+(1-EXP(-LN(2)/2))/(LN(2)/2)*V195*Y195*VLOOKUP('Données projet'!$B$9,Paramètres!$A$1:$I$88,3,0)*0.475*44/12</f>
        <v>1.2170354881583452E-17</v>
      </c>
      <c r="AC195" s="24">
        <f t="shared" si="163"/>
        <v>15.691724622546936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147.1675182177155</v>
      </c>
      <c r="AO195" s="60">
        <f t="shared" si="144"/>
        <v>115.86489547584461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20.401677157663784</v>
      </c>
      <c r="AV195" s="23">
        <f>EXP(-LN(2)/25)*AV194+(1-EXP(-LN(2)/25))/(LN(2)/25)*Calculateur!AQ195*Calculateur!AS195*VLOOKUP('Données projet'!$B$10,Paramètres!$A$1:$I$88,3,0)*0.475*44/12</f>
        <v>1.9145157448990597</v>
      </c>
      <c r="AW195" s="23">
        <f>EXP(-LN(2)/2)*AW194+(1-EXP(-LN(2)/2))/(LN(2)/2)*AQ195*AT195*VLOOKUP('Données projet'!$B$10,Paramètres!$A$1:$I$88,3,0)*0.475*44/12</f>
        <v>1.0227596339730561E-14</v>
      </c>
      <c r="AX195" s="23">
        <f t="shared" si="166"/>
        <v>22.316192902562854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-1.4210854715202004E-13</v>
      </c>
      <c r="BE195" s="14">
        <f>BD195*VLOOKUP('Données projet'!$B$11,Paramètres!$A$1:$I$88,3,0)*VLOOKUP('Données projet'!$B$11,Paramètres!$A$1:$I$88,5,0)</f>
        <v>-1.4409806681214833E-13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166.48525819448878</v>
      </c>
      <c r="BJ195" s="60">
        <f t="shared" si="146"/>
        <v>61.876502626609977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37.809620892669237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37.809620892669237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0" t="e">
        <f t="shared" si="119"/>
        <v>#N/A</v>
      </c>
      <c r="CD195" s="60" t="e">
        <f ca="1">AVERAGE(OFFSET($CC$3,0,0,'Données projet'!$E$12+1,1))-AVERAGE(OFFSET($H$3,0,0,'Données projet'!$E$12+1,1))</f>
        <v>#N/A</v>
      </c>
      <c r="CE195" s="60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0" t="e">
        <f t="shared" si="122"/>
        <v>#N/A</v>
      </c>
      <c r="CY195" s="60" t="e">
        <f ca="1">AVERAGE(OFFSET($CX$3,0,0,'Données projet'!$E$13+1,1))-AVERAGE(OFFSET($H$3,0,0,'Données projet'!$E$13+1,1))</f>
        <v>#N/A</v>
      </c>
      <c r="CZ195" s="60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-5.6843418860808015E-13</v>
      </c>
      <c r="O196" s="14">
        <f>N196*VLOOKUP('Données projet'!$B$9,Paramètres!$A$1:$I$88,3,0)*VLOOKUP('Données projet'!$B$9,Paramètres!$A$1:$I$88,5,0)</f>
        <v>-3.39923644787632E-13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222.57099967987045</v>
      </c>
      <c r="T196" s="60">
        <f t="shared" si="142"/>
        <v>221.49027090502796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14.05277835697475</v>
      </c>
      <c r="AA196" s="23">
        <f>EXP(-LN(2)/25)*AA195+(1-EXP(-LN(2)/25))/(LN(2)/25)*Calculateur!V196*Calculateur!X196*VLOOKUP('Données projet'!$B$9,Paramètres!$A$1:$I$88,3,0)*0.475*44/12</f>
        <v>1.3207371074949472</v>
      </c>
      <c r="AB196" s="23">
        <f>EXP(-LN(2)/2)*AB195+(1-EXP(-LN(2)/2))/(LN(2)/2)*V196*Y196*VLOOKUP('Données projet'!$B$9,Paramètres!$A$1:$I$88,3,0)*0.475*44/12</f>
        <v>8.6057404662144601E-18</v>
      </c>
      <c r="AC196" s="24">
        <f t="shared" si="163"/>
        <v>15.373515464469698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147.1675182177155</v>
      </c>
      <c r="AO196" s="60">
        <f t="shared" si="144"/>
        <v>115.86489547584461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20.001612712396341</v>
      </c>
      <c r="AV196" s="23">
        <f>EXP(-LN(2)/25)*AV195+(1-EXP(-LN(2)/25))/(LN(2)/25)*Calculateur!AQ196*Calculateur!AS196*VLOOKUP('Données projet'!$B$10,Paramètres!$A$1:$I$88,3,0)*0.475*44/12</f>
        <v>1.8621632111747877</v>
      </c>
      <c r="AW196" s="23">
        <f>EXP(-LN(2)/2)*AW195+(1-EXP(-LN(2)/2))/(LN(2)/2)*AQ196*AT196*VLOOKUP('Données projet'!$B$10,Paramètres!$A$1:$I$88,3,0)*0.475*44/12</f>
        <v>7.2320027270621923E-15</v>
      </c>
      <c r="AX196" s="23">
        <f t="shared" si="166"/>
        <v>21.863775923571136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-1.4210854715202004E-13</v>
      </c>
      <c r="BE196" s="14">
        <f>BD196*VLOOKUP('Données projet'!$B$11,Paramètres!$A$1:$I$88,3,0)*VLOOKUP('Données projet'!$B$11,Paramètres!$A$1:$I$88,5,0)</f>
        <v>-1.4409806681214833E-13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166.48525819448878</v>
      </c>
      <c r="BJ196" s="60">
        <f t="shared" si="146"/>
        <v>61.876502626609977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37.068197288555595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37.068197288555595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0" t="e">
        <f t="shared" ref="CC196:CC203" si="195">CB196+(BT196+BU196)*44/12</f>
        <v>#N/A</v>
      </c>
      <c r="CD196" s="60" t="e">
        <f ca="1">AVERAGE(OFFSET($CC$3,0,0,'Données projet'!$E$12+1,1))-AVERAGE(OFFSET($H$3,0,0,'Données projet'!$E$12+1,1))</f>
        <v>#N/A</v>
      </c>
      <c r="CE196" s="60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0" t="e">
        <f t="shared" ref="CX196:CX203" si="196">CW196+(CO196+CP196)*44/12</f>
        <v>#N/A</v>
      </c>
      <c r="CY196" s="60" t="e">
        <f ca="1">AVERAGE(OFFSET($CX$3,0,0,'Données projet'!$E$13+1,1))-AVERAGE(OFFSET($H$3,0,0,'Données projet'!$E$13+1,1))</f>
        <v>#N/A</v>
      </c>
      <c r="CZ196" s="60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-5.6843418860808015E-13</v>
      </c>
      <c r="O197" s="14">
        <f>N197*VLOOKUP('Données projet'!$B$9,Paramètres!$A$1:$I$88,3,0)*VLOOKUP('Données projet'!$B$9,Paramètres!$A$1:$I$88,5,0)</f>
        <v>-3.39923644787632E-13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222.57099967987045</v>
      </c>
      <c r="T197" s="60">
        <f t="shared" ref="T197:T203" si="204">$T$3</f>
        <v>221.49027090502796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13.777211944742923</v>
      </c>
      <c r="AA197" s="23">
        <f>EXP(-LN(2)/25)*AA196+(1-EXP(-LN(2)/25))/(LN(2)/25)*Calculateur!V197*Calculateur!X197*VLOOKUP('Données projet'!$B$9,Paramètres!$A$1:$I$88,3,0)*0.475*44/12</f>
        <v>1.284621481835952</v>
      </c>
      <c r="AB197" s="23">
        <f>EXP(-LN(2)/2)*AB196+(1-EXP(-LN(2)/2))/(LN(2)/2)*V197*Y197*VLOOKUP('Données projet'!$B$9,Paramètres!$A$1:$I$88,3,0)*0.475*44/12</f>
        <v>6.0851774407917258E-18</v>
      </c>
      <c r="AC197" s="24">
        <f t="shared" si="163"/>
        <v>15.061833426578875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147.1675182177155</v>
      </c>
      <c r="AO197" s="60">
        <f t="shared" ref="AO197:AO203" si="205">$AO$3</f>
        <v>115.86489547584461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19.609393286885375</v>
      </c>
      <c r="AV197" s="23">
        <f>EXP(-LN(2)/25)*AV196+(1-EXP(-LN(2)/25))/(LN(2)/25)*Calculateur!AQ197*Calculateur!AS197*VLOOKUP('Données projet'!$B$10,Paramètres!$A$1:$I$88,3,0)*0.475*44/12</f>
        <v>1.8112422602383058</v>
      </c>
      <c r="AW197" s="23">
        <f>EXP(-LN(2)/2)*AW196+(1-EXP(-LN(2)/2))/(LN(2)/2)*AQ197*AT197*VLOOKUP('Données projet'!$B$10,Paramètres!$A$1:$I$88,3,0)*0.475*44/12</f>
        <v>5.1137981698652806E-15</v>
      </c>
      <c r="AX197" s="23">
        <f t="shared" si="166"/>
        <v>21.420635547123684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-1.4210854715202004E-13</v>
      </c>
      <c r="BE197" s="14">
        <f>BD197*VLOOKUP('Données projet'!$B$11,Paramètres!$A$1:$I$88,3,0)*VLOOKUP('Données projet'!$B$11,Paramètres!$A$1:$I$88,5,0)</f>
        <v>-1.4409806681214833E-13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166.48525819448878</v>
      </c>
      <c r="BJ197" s="60">
        <f t="shared" ref="BJ197:BJ203" si="206">$BJ$3</f>
        <v>61.876502626609977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36.341312549094873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36.341312549094873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0" t="e">
        <f t="shared" si="195"/>
        <v>#N/A</v>
      </c>
      <c r="CD197" s="60" t="e">
        <f ca="1">AVERAGE(OFFSET($CC$3,0,0,'Données projet'!$E$12+1,1))-AVERAGE(OFFSET($H$3,0,0,'Données projet'!$E$12+1,1))</f>
        <v>#N/A</v>
      </c>
      <c r="CE197" s="60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0" t="e">
        <f t="shared" si="196"/>
        <v>#N/A</v>
      </c>
      <c r="CY197" s="60" t="e">
        <f ca="1">AVERAGE(OFFSET($CX$3,0,0,'Données projet'!$E$13+1,1))-AVERAGE(OFFSET($H$3,0,0,'Données projet'!$E$13+1,1))</f>
        <v>#N/A</v>
      </c>
      <c r="CZ197" s="60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-5.6843418860808015E-13</v>
      </c>
      <c r="O198" s="14">
        <f>N198*VLOOKUP('Données projet'!$B$9,Paramètres!$A$1:$I$88,3,0)*VLOOKUP('Données projet'!$B$9,Paramètres!$A$1:$I$88,5,0)</f>
        <v>-3.39923644787632E-13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222.57099967987045</v>
      </c>
      <c r="T198" s="60">
        <f t="shared" si="204"/>
        <v>221.49027090502796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13.507049221776047</v>
      </c>
      <c r="AA198" s="23">
        <f>EXP(-LN(2)/25)*AA197+(1-EXP(-LN(2)/25))/(LN(2)/25)*Calculateur!V198*Calculateur!X198*VLOOKUP('Données projet'!$B$9,Paramètres!$A$1:$I$88,3,0)*0.475*44/12</f>
        <v>1.2494934398598403</v>
      </c>
      <c r="AB198" s="23">
        <f>EXP(-LN(2)/2)*AB197+(1-EXP(-LN(2)/2))/(LN(2)/2)*V198*Y198*VLOOKUP('Données projet'!$B$9,Paramètres!$A$1:$I$88,3,0)*0.475*44/12</f>
        <v>4.30287023310723E-18</v>
      </c>
      <c r="AC198" s="24">
        <f t="shared" si="163"/>
        <v>14.756542661635887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147.1675182177155</v>
      </c>
      <c r="AO198" s="60">
        <f t="shared" si="205"/>
        <v>115.86489547584461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19.224865045078452</v>
      </c>
      <c r="AV198" s="23">
        <f>EXP(-LN(2)/25)*AV197+(1-EXP(-LN(2)/25))/(LN(2)/25)*Calculateur!AQ198*Calculateur!AS198*VLOOKUP('Données projet'!$B$10,Paramètres!$A$1:$I$88,3,0)*0.475*44/12</f>
        <v>1.7617137453829985</v>
      </c>
      <c r="AW198" s="23">
        <f>EXP(-LN(2)/2)*AW197+(1-EXP(-LN(2)/2))/(LN(2)/2)*AQ198*AT198*VLOOKUP('Données projet'!$B$10,Paramètres!$A$1:$I$88,3,0)*0.475*44/12</f>
        <v>3.6160013635310962E-15</v>
      </c>
      <c r="AX198" s="23">
        <f t="shared" si="166"/>
        <v>20.986578790461454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-1.4210854715202004E-13</v>
      </c>
      <c r="BE198" s="14">
        <f>BD198*VLOOKUP('Données projet'!$B$11,Paramètres!$A$1:$I$88,3,0)*VLOOKUP('Données projet'!$B$11,Paramètres!$A$1:$I$88,5,0)</f>
        <v>-1.4409806681214833E-13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166.48525819448878</v>
      </c>
      <c r="BJ198" s="60">
        <f t="shared" si="206"/>
        <v>61.876502626609977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35.628681576019062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35.628681576019062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0" t="e">
        <f t="shared" si="195"/>
        <v>#N/A</v>
      </c>
      <c r="CD198" s="60" t="e">
        <f ca="1">AVERAGE(OFFSET($CC$3,0,0,'Données projet'!$E$12+1,1))-AVERAGE(OFFSET($H$3,0,0,'Données projet'!$E$12+1,1))</f>
        <v>#N/A</v>
      </c>
      <c r="CE198" s="60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0" t="e">
        <f t="shared" si="196"/>
        <v>#N/A</v>
      </c>
      <c r="CY198" s="60" t="e">
        <f ca="1">AVERAGE(OFFSET($CX$3,0,0,'Données projet'!$E$13+1,1))-AVERAGE(OFFSET($H$3,0,0,'Données projet'!$E$13+1,1))</f>
        <v>#N/A</v>
      </c>
      <c r="CZ198" s="60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-5.6843418860808015E-13</v>
      </c>
      <c r="O199" s="14">
        <f>N199*VLOOKUP('Données projet'!$B$9,Paramètres!$A$1:$I$88,3,0)*VLOOKUP('Données projet'!$B$9,Paramètres!$A$1:$I$88,5,0)</f>
        <v>-3.39923644787632E-13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222.57099967987045</v>
      </c>
      <c r="T199" s="60">
        <f t="shared" si="204"/>
        <v>221.49027090502796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13.242184225023561</v>
      </c>
      <c r="AA199" s="23">
        <f>EXP(-LN(2)/25)*AA198+(1-EXP(-LN(2)/25))/(LN(2)/25)*Calculateur!V199*Calculateur!X199*VLOOKUP('Données projet'!$B$9,Paramètres!$A$1:$I$88,3,0)*0.475*44/12</f>
        <v>1.2153259760388686</v>
      </c>
      <c r="AB199" s="23">
        <f>EXP(-LN(2)/2)*AB198+(1-EXP(-LN(2)/2))/(LN(2)/2)*V199*Y199*VLOOKUP('Données projet'!$B$9,Paramètres!$A$1:$I$88,3,0)*0.475*44/12</f>
        <v>3.0425887203958629E-18</v>
      </c>
      <c r="AC199" s="24">
        <f t="shared" si="163"/>
        <v>14.45751020106243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147.1675182177155</v>
      </c>
      <c r="AO199" s="60">
        <f t="shared" si="205"/>
        <v>115.86489547584461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18.847877167554294</v>
      </c>
      <c r="AV199" s="23">
        <f>EXP(-LN(2)/25)*AV198+(1-EXP(-LN(2)/25))/(LN(2)/25)*Calculateur!AQ199*Calculateur!AS199*VLOOKUP('Données projet'!$B$10,Paramètres!$A$1:$I$88,3,0)*0.475*44/12</f>
        <v>1.7135395903710009</v>
      </c>
      <c r="AW199" s="23">
        <f>EXP(-LN(2)/2)*AW198+(1-EXP(-LN(2)/2))/(LN(2)/2)*AQ199*AT199*VLOOKUP('Données projet'!$B$10,Paramètres!$A$1:$I$88,3,0)*0.475*44/12</f>
        <v>2.5568990849326403E-15</v>
      </c>
      <c r="AX199" s="23">
        <f t="shared" si="166"/>
        <v>20.561416757925297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-1.4210854715202004E-13</v>
      </c>
      <c r="BE199" s="14">
        <f>BD199*VLOOKUP('Données projet'!$B$11,Paramètres!$A$1:$I$88,3,0)*VLOOKUP('Données projet'!$B$11,Paramètres!$A$1:$I$88,5,0)</f>
        <v>-1.4409806681214833E-13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166.48525819448878</v>
      </c>
      <c r="BJ199" s="60">
        <f t="shared" si="206"/>
        <v>61.876502626609977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34.930024861663298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34.930024861663298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0" t="e">
        <f t="shared" si="195"/>
        <v>#N/A</v>
      </c>
      <c r="CD199" s="60" t="e">
        <f ca="1">AVERAGE(OFFSET($CC$3,0,0,'Données projet'!$E$12+1,1))-AVERAGE(OFFSET($H$3,0,0,'Données projet'!$E$12+1,1))</f>
        <v>#N/A</v>
      </c>
      <c r="CE199" s="60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0" t="e">
        <f t="shared" si="196"/>
        <v>#N/A</v>
      </c>
      <c r="CY199" s="60" t="e">
        <f ca="1">AVERAGE(OFFSET($CX$3,0,0,'Données projet'!$E$13+1,1))-AVERAGE(OFFSET($H$3,0,0,'Données projet'!$E$13+1,1))</f>
        <v>#N/A</v>
      </c>
      <c r="CZ199" s="60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-5.6843418860808015E-13</v>
      </c>
      <c r="O200" s="14">
        <f>N200*VLOOKUP('Données projet'!$B$9,Paramètres!$A$1:$I$88,3,0)*VLOOKUP('Données projet'!$B$9,Paramètres!$A$1:$I$88,5,0)</f>
        <v>-3.39923644787632E-13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222.57099967987045</v>
      </c>
      <c r="T200" s="60">
        <f t="shared" si="204"/>
        <v>221.49027090502796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12.982513069305694</v>
      </c>
      <c r="AA200" s="23">
        <f>EXP(-LN(2)/25)*AA199+(1-EXP(-LN(2)/25))/(LN(2)/25)*Calculateur!V200*Calculateur!X200*VLOOKUP('Données projet'!$B$9,Paramètres!$A$1:$I$88,3,0)*0.475*44/12</f>
        <v>1.1820928233128702</v>
      </c>
      <c r="AB200" s="23">
        <f>EXP(-LN(2)/2)*AB199+(1-EXP(-LN(2)/2))/(LN(2)/2)*V200*Y200*VLOOKUP('Données projet'!$B$9,Paramètres!$A$1:$I$88,3,0)*0.475*44/12</f>
        <v>2.151435116553615E-18</v>
      </c>
      <c r="AC200" s="24">
        <f t="shared" si="163"/>
        <v>14.164605892618564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147.1675182177155</v>
      </c>
      <c r="AO200" s="60">
        <f t="shared" si="205"/>
        <v>115.86489547584461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18.478281792368485</v>
      </c>
      <c r="AV200" s="23">
        <f>EXP(-LN(2)/25)*AV199+(1-EXP(-LN(2)/25))/(LN(2)/25)*Calculateur!AQ200*Calculateur!AS200*VLOOKUP('Données projet'!$B$10,Paramètres!$A$1:$I$88,3,0)*0.475*44/12</f>
        <v>1.6666827601611751</v>
      </c>
      <c r="AW200" s="23">
        <f>EXP(-LN(2)/2)*AW199+(1-EXP(-LN(2)/2))/(LN(2)/2)*AQ200*AT200*VLOOKUP('Données projet'!$B$10,Paramètres!$A$1:$I$88,3,0)*0.475*44/12</f>
        <v>1.8080006817655481E-15</v>
      </c>
      <c r="AX200" s="23">
        <f t="shared" si="166"/>
        <v>20.144964552529665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-1.4210854715202004E-13</v>
      </c>
      <c r="BE200" s="14">
        <f>BD200*VLOOKUP('Données projet'!$B$11,Paramètres!$A$1:$I$88,3,0)*VLOOKUP('Données projet'!$B$11,Paramètres!$A$1:$I$88,5,0)</f>
        <v>-1.4409806681214833E-13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166.48525819448878</v>
      </c>
      <c r="BJ200" s="60">
        <f t="shared" si="206"/>
        <v>61.876502626609977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34.245068379337532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34.245068379337532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0" t="e">
        <f t="shared" si="195"/>
        <v>#N/A</v>
      </c>
      <c r="CD200" s="60" t="e">
        <f ca="1">AVERAGE(OFFSET($CC$3,0,0,'Données projet'!$E$12+1,1))-AVERAGE(OFFSET($H$3,0,0,'Données projet'!$E$12+1,1))</f>
        <v>#N/A</v>
      </c>
      <c r="CE200" s="60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0" t="e">
        <f t="shared" si="196"/>
        <v>#N/A</v>
      </c>
      <c r="CY200" s="60" t="e">
        <f ca="1">AVERAGE(OFFSET($CX$3,0,0,'Données projet'!$E$13+1,1))-AVERAGE(OFFSET($H$3,0,0,'Données projet'!$E$13+1,1))</f>
        <v>#N/A</v>
      </c>
      <c r="CZ200" s="60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-5.6843418860808015E-13</v>
      </c>
      <c r="O201" s="14">
        <f>N201*VLOOKUP('Données projet'!$B$9,Paramètres!$A$1:$I$88,3,0)*VLOOKUP('Données projet'!$B$9,Paramètres!$A$1:$I$88,5,0)</f>
        <v>-3.39923644787632E-13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222.57099967987045</v>
      </c>
      <c r="T201" s="60">
        <f t="shared" si="204"/>
        <v>221.49027090502796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12.72793390656769</v>
      </c>
      <c r="AA201" s="23">
        <f>EXP(-LN(2)/25)*AA200+(1-EXP(-LN(2)/25))/(LN(2)/25)*Calculateur!V201*Calculateur!X201*VLOOKUP('Données projet'!$B$9,Paramètres!$A$1:$I$88,3,0)*0.475*44/12</f>
        <v>1.14976843289582</v>
      </c>
      <c r="AB201" s="23">
        <f>EXP(-LN(2)/2)*AB200+(1-EXP(-LN(2)/2))/(LN(2)/2)*V201*Y201*VLOOKUP('Données projet'!$B$9,Paramètres!$A$1:$I$88,3,0)*0.475*44/12</f>
        <v>1.5212943601979315E-18</v>
      </c>
      <c r="AC201" s="24">
        <f t="shared" si="163"/>
        <v>13.877702339463511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147.1675182177155</v>
      </c>
      <c r="AO201" s="60">
        <f t="shared" si="205"/>
        <v>115.86489547584461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18.115933957059148</v>
      </c>
      <c r="AV201" s="23">
        <f>EXP(-LN(2)/25)*AV200+(1-EXP(-LN(2)/25))/(LN(2)/25)*Calculateur!AQ201*Calculateur!AS201*VLOOKUP('Données projet'!$B$10,Paramètres!$A$1:$I$88,3,0)*0.475*44/12</f>
        <v>1.6211072324375306</v>
      </c>
      <c r="AW201" s="23">
        <f>EXP(-LN(2)/2)*AW200+(1-EXP(-LN(2)/2))/(LN(2)/2)*AQ201*AT201*VLOOKUP('Données projet'!$B$10,Paramètres!$A$1:$I$88,3,0)*0.475*44/12</f>
        <v>1.2784495424663202E-15</v>
      </c>
      <c r="AX201" s="23">
        <f t="shared" si="166"/>
        <v>19.737041189496679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-1.4210854715202004E-13</v>
      </c>
      <c r="BE201" s="14">
        <f>BD201*VLOOKUP('Données projet'!$B$11,Paramètres!$A$1:$I$88,3,0)*VLOOKUP('Données projet'!$B$11,Paramètres!$A$1:$I$88,5,0)</f>
        <v>-1.4409806681214833E-13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166.48525819448878</v>
      </c>
      <c r="BJ201" s="60">
        <f t="shared" si="206"/>
        <v>61.876502626609977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33.57354347584797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33.57354347584797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0" t="e">
        <f t="shared" si="195"/>
        <v>#N/A</v>
      </c>
      <c r="CD201" s="60" t="e">
        <f ca="1">AVERAGE(OFFSET($CC$3,0,0,'Données projet'!$E$12+1,1))-AVERAGE(OFFSET($H$3,0,0,'Données projet'!$E$12+1,1))</f>
        <v>#N/A</v>
      </c>
      <c r="CE201" s="60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0" t="e">
        <f t="shared" si="196"/>
        <v>#N/A</v>
      </c>
      <c r="CY201" s="60" t="e">
        <f ca="1">AVERAGE(OFFSET($CX$3,0,0,'Données projet'!$E$13+1,1))-AVERAGE(OFFSET($H$3,0,0,'Données projet'!$E$13+1,1))</f>
        <v>#N/A</v>
      </c>
      <c r="CZ201" s="60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-5.6843418860808015E-13</v>
      </c>
      <c r="O202" s="14">
        <f>N202*VLOOKUP('Données projet'!$B$9,Paramètres!$A$1:$I$88,3,0)*VLOOKUP('Données projet'!$B$9,Paramètres!$A$1:$I$88,5,0)</f>
        <v>-3.39923644787632E-13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222.57099967987045</v>
      </c>
      <c r="T202" s="60">
        <f t="shared" si="204"/>
        <v>221.49027090502796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12.478346885933021</v>
      </c>
      <c r="AA202" s="23">
        <f>EXP(-LN(2)/25)*AA201+(1-EXP(-LN(2)/25))/(LN(2)/25)*Calculateur!V202*Calculateur!X202*VLOOKUP('Données projet'!$B$9,Paramètres!$A$1:$I$88,3,0)*0.475*44/12</f>
        <v>1.1183279546345897</v>
      </c>
      <c r="AB202" s="23">
        <f>EXP(-LN(2)/2)*AB201+(1-EXP(-LN(2)/2))/(LN(2)/2)*V202*Y202*VLOOKUP('Données projet'!$B$9,Paramètres!$A$1:$I$88,3,0)*0.475*44/12</f>
        <v>1.0757175582768075E-18</v>
      </c>
      <c r="AC202" s="24">
        <f t="shared" si="163"/>
        <v>13.59667484056761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147.1675182177155</v>
      </c>
      <c r="AO202" s="60">
        <f t="shared" si="205"/>
        <v>115.86489547584461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17.760691541789871</v>
      </c>
      <c r="AV202" s="23">
        <f>EXP(-LN(2)/25)*AV201+(1-EXP(-LN(2)/25))/(LN(2)/25)*Calculateur!AQ202*Calculateur!AS202*VLOOKUP('Données projet'!$B$10,Paramètres!$A$1:$I$88,3,0)*0.475*44/12</f>
        <v>1.5767779699162021</v>
      </c>
      <c r="AW202" s="23">
        <f>EXP(-LN(2)/2)*AW201+(1-EXP(-LN(2)/2))/(LN(2)/2)*AQ202*AT202*VLOOKUP('Données projet'!$B$10,Paramètres!$A$1:$I$88,3,0)*0.475*44/12</f>
        <v>9.0400034088277404E-16</v>
      </c>
      <c r="AX202" s="23">
        <f t="shared" si="166"/>
        <v>19.337469511706072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-1.4210854715202004E-13</v>
      </c>
      <c r="BE202" s="14">
        <f>BD202*VLOOKUP('Données projet'!$B$11,Paramètres!$A$1:$I$88,3,0)*VLOOKUP('Données projet'!$B$11,Paramètres!$A$1:$I$88,5,0)</f>
        <v>-1.4409806681214833E-13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166.48525819448878</v>
      </c>
      <c r="BJ202" s="60">
        <f t="shared" si="206"/>
        <v>61.876502626609977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32.915186766126091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32.915186766126091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0" t="e">
        <f t="shared" si="195"/>
        <v>#N/A</v>
      </c>
      <c r="CD202" s="60" t="e">
        <f ca="1">AVERAGE(OFFSET($CC$3,0,0,'Données projet'!$E$12+1,1))-AVERAGE(OFFSET($H$3,0,0,'Données projet'!$E$12+1,1))</f>
        <v>#N/A</v>
      </c>
      <c r="CE202" s="60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0" t="e">
        <f t="shared" si="196"/>
        <v>#N/A</v>
      </c>
      <c r="CY202" s="60" t="e">
        <f ca="1">AVERAGE(OFFSET($CX$3,0,0,'Données projet'!$E$13+1,1))-AVERAGE(OFFSET($H$3,0,0,'Données projet'!$E$13+1,1))</f>
        <v>#N/A</v>
      </c>
      <c r="CZ202" s="60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-5.6843418860808015E-13</v>
      </c>
      <c r="O203" s="14">
        <f>N203*VLOOKUP('Données projet'!$B$9,Paramètres!$A$1:$I$88,3,0)*VLOOKUP('Données projet'!$B$9,Paramètres!$A$1:$I$88,5,0)</f>
        <v>-3.39923644787632E-13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222.57099967987045</v>
      </c>
      <c r="T203" s="60">
        <f t="shared" si="204"/>
        <v>221.49027090502796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12.233654114539947</v>
      </c>
      <c r="AA203" s="23">
        <f>EXP(-LN(2)/25)*AA202+(1-EXP(-LN(2)/25))/(LN(2)/25)*Calculateur!V203*Calculateur!X203*VLOOKUP('Données projet'!$B$9,Paramètres!$A$1:$I$88,3,0)*0.475*44/12</f>
        <v>1.0877472179047956</v>
      </c>
      <c r="AB203" s="23">
        <f>EXP(-LN(2)/2)*AB202+(1-EXP(-LN(2)/2))/(LN(2)/2)*V203*Y203*VLOOKUP('Données projet'!$B$9,Paramètres!$A$1:$I$88,3,0)*0.475*44/12</f>
        <v>7.6064718009896573E-19</v>
      </c>
      <c r="AC203" s="24">
        <f t="shared" si="163"/>
        <v>13.321401332444742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147.1675182177155</v>
      </c>
      <c r="AO203" s="60">
        <f t="shared" si="205"/>
        <v>115.86489547584461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17.412415213607549</v>
      </c>
      <c r="AV203" s="23">
        <f>EXP(-LN(2)/25)*AV202+(1-EXP(-LN(2)/25))/(LN(2)/25)*Calculateur!AQ203*Calculateur!AS203*VLOOKUP('Données projet'!$B$10,Paramètres!$A$1:$I$88,3,0)*0.475*44/12</f>
        <v>1.5336608934096938</v>
      </c>
      <c r="AW203" s="23">
        <f>EXP(-LN(2)/2)*AW202+(1-EXP(-LN(2)/2))/(LN(2)/2)*AQ203*AT203*VLOOKUP('Données projet'!$B$10,Paramètres!$A$1:$I$88,3,0)*0.475*44/12</f>
        <v>6.3922477123316008E-16</v>
      </c>
      <c r="AX203" s="23">
        <f t="shared" si="166"/>
        <v>18.946076107017241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-1.4210854715202004E-13</v>
      </c>
      <c r="BE203" s="14">
        <f>BD203*VLOOKUP('Données projet'!$B$11,Paramètres!$A$1:$I$88,3,0)*VLOOKUP('Données projet'!$B$11,Paramètres!$A$1:$I$88,5,0)</f>
        <v>-1.4409806681214833E-13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166.48525819448878</v>
      </c>
      <c r="BJ203" s="60">
        <f t="shared" si="206"/>
        <v>61.876502626609977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32.269740029923916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32.269740029923916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0" t="e">
        <f t="shared" si="195"/>
        <v>#N/A</v>
      </c>
      <c r="CD203" s="60" t="e">
        <f ca="1">AVERAGE(OFFSET($CC$3,0,0,'Données projet'!$E$12+1,1))-AVERAGE(OFFSET($H$3,0,0,'Données projet'!$E$12+1,1))</f>
        <v>#N/A</v>
      </c>
      <c r="CE203" s="60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0" t="e">
        <f t="shared" si="196"/>
        <v>#N/A</v>
      </c>
      <c r="CY203" s="60" t="e">
        <f ca="1">AVERAGE(OFFSET($CX$3,0,0,'Données projet'!$E$13+1,1))-AVERAGE(OFFSET($H$3,0,0,'Données projet'!$E$13+1,1))</f>
        <v>#N/A</v>
      </c>
      <c r="CZ203" s="60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7" thickBot="1" x14ac:dyDescent="0.2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294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294</v>
      </c>
      <c r="BA204" s="84" t="s">
        <v>294</v>
      </c>
      <c r="BV204" s="84" t="s">
        <v>294</v>
      </c>
      <c r="CQ204" s="84" t="s">
        <v>294</v>
      </c>
      <c r="DL204" s="84" t="s">
        <v>294</v>
      </c>
      <c r="EG204" s="84" t="s">
        <v>294</v>
      </c>
      <c r="FB204" s="84" t="s">
        <v>294</v>
      </c>
      <c r="FW204" s="84" t="s">
        <v>294</v>
      </c>
      <c r="GR204" s="84" t="s">
        <v>294</v>
      </c>
    </row>
    <row r="205" spans="1:218" ht="16" thickBot="1" x14ac:dyDescent="0.2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1.3093577517960842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1.1867200975826817</v>
      </c>
      <c r="BA205" s="85">
        <f>EXP(LN('Données projet'!B88)/'Données projet'!A88)</f>
        <v>1.1457367676485573</v>
      </c>
      <c r="BV205" s="85" t="e">
        <f>EXP(LN('Données projet'!B114)/'Données projet'!A114)</f>
        <v>#NUM!</v>
      </c>
      <c r="CQ205" s="85" t="e">
        <f>EXP(LN('Données projet'!B140)/'Données projet'!A140)</f>
        <v>#NUM!</v>
      </c>
      <c r="DL205" s="85" t="e">
        <f>EXP(LN('Données projet'!B166)/'Données projet'!A166)</f>
        <v>#NUM!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workbookViewId="0">
      <selection activeCell="E10" sqref="E10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24" t="s">
        <v>238</v>
      </c>
      <c r="P2" s="126">
        <v>0</v>
      </c>
    </row>
    <row r="3" spans="1:16" ht="16" thickBot="1" x14ac:dyDescent="0.2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25"/>
      <c r="P3" s="133">
        <v>0.2</v>
      </c>
    </row>
    <row r="4" spans="1:16" ht="16" thickBot="1" x14ac:dyDescent="0.2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24" t="s">
        <v>237</v>
      </c>
      <c r="P5" s="126">
        <v>0</v>
      </c>
    </row>
    <row r="6" spans="1:16" x14ac:dyDescent="0.2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26"/>
      <c r="P6" s="134">
        <v>0.05</v>
      </c>
    </row>
    <row r="7" spans="1:16" x14ac:dyDescent="0.2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26"/>
      <c r="P7" s="134">
        <v>0.1</v>
      </c>
    </row>
    <row r="8" spans="1:16" ht="16" thickBot="1" x14ac:dyDescent="0.2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25"/>
      <c r="P8" s="133">
        <v>0.15</v>
      </c>
    </row>
    <row r="9" spans="1:16" ht="16" thickBot="1" x14ac:dyDescent="0.2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24" t="s">
        <v>236</v>
      </c>
      <c r="P10" s="126">
        <v>0</v>
      </c>
    </row>
    <row r="11" spans="1:16" ht="16" thickBot="1" x14ac:dyDescent="0.2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25"/>
      <c r="P11" s="133">
        <v>0.1</v>
      </c>
    </row>
    <row r="12" spans="1:16" x14ac:dyDescent="0.2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">
      <c r="A87" s="127" t="s">
        <v>148</v>
      </c>
      <c r="B87" s="135"/>
      <c r="C87" s="129">
        <v>0.42</v>
      </c>
      <c r="D87" s="129" t="s">
        <v>161</v>
      </c>
      <c r="E87" s="129">
        <v>1.3</v>
      </c>
      <c r="F87" s="130" t="s">
        <v>274</v>
      </c>
      <c r="G87" s="136"/>
      <c r="H87" s="135"/>
      <c r="I87" s="137"/>
    </row>
    <row r="88" spans="1:14" ht="16" thickBot="1" x14ac:dyDescent="0.25">
      <c r="A88" s="138" t="s">
        <v>149</v>
      </c>
      <c r="B88" s="139"/>
      <c r="C88" s="140">
        <v>0.56999999999999995</v>
      </c>
      <c r="D88" s="141" t="s">
        <v>161</v>
      </c>
      <c r="E88" s="140">
        <v>1.56</v>
      </c>
      <c r="F88" s="140" t="s">
        <v>274</v>
      </c>
      <c r="G88" s="139"/>
      <c r="H88" s="139"/>
      <c r="I88" s="142"/>
    </row>
    <row r="92" spans="1:14" x14ac:dyDescent="0.2">
      <c r="A92" s="127" t="s">
        <v>208</v>
      </c>
    </row>
    <row r="93" spans="1:14" x14ac:dyDescent="0.2">
      <c r="A93" s="127" t="s">
        <v>209</v>
      </c>
    </row>
    <row r="94" spans="1:14" x14ac:dyDescent="0.2">
      <c r="A94" s="127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5" sqref="M5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3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15" t="s">
        <v>271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26"/>
      <c r="J3" s="226"/>
      <c r="K3" s="226"/>
      <c r="L3" s="226"/>
      <c r="M3" s="226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26"/>
      <c r="J4" s="226"/>
      <c r="K4" s="226"/>
      <c r="L4" s="226"/>
      <c r="M4" s="226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0" t="str">
        <f>IF('Données projet'!$B$9="","",'Données projet'!$B$9)</f>
        <v>Pin laricio</v>
      </c>
      <c r="B6" s="151">
        <f>'Données projet'!D9</f>
        <v>1.6361999999999999</v>
      </c>
      <c r="C6" s="152">
        <f ca="1">IF(OR('Données projet'!B9="",'Données projet'!C9="",'Données projet'!C9=0%),0,Calculateur!S3)</f>
        <v>222.57099967987045</v>
      </c>
      <c r="D6" s="152">
        <f>IF(OR('Données projet'!B9="",'Données projet'!C9="",'Données projet'!C9=0%),0,Calculateur!T3)</f>
        <v>221.49027090502796</v>
      </c>
      <c r="E6" s="152">
        <f ca="1">MIN(C6,D6)</f>
        <v>221.49027090502796</v>
      </c>
      <c r="F6" s="152">
        <f ca="1">E6*B6</f>
        <v>362.4023812548067</v>
      </c>
      <c r="G6" s="152">
        <f ca="1">F6*(100%-'Données projet'!$C$24)*(100%-'Données projet'!$C$25)*(100%-'Données projet'!$C$26)*(100%-'Données projet'!$C$27)</f>
        <v>326.16214312932601</v>
      </c>
      <c r="H6" s="153">
        <f>IF(OR('Données projet'!B9="",'Données projet'!C9="",'Données projet'!C9=0%),0,AVERAGE(Calculateur!$AC$3:$AC$33)*B6)</f>
        <v>9.0797561586392028</v>
      </c>
      <c r="I6" s="154">
        <f>H6*(100%-'Données projet'!$C$24)*(100%-'Données projet'!$C$25)*(100%-'Données projet'!$C$26)*(100%-'Données projet'!$C$27)</f>
        <v>8.1717805427752825</v>
      </c>
      <c r="J6" s="155">
        <f>IF(OR('Données projet'!B9="",'Données projet'!C9="",'Données projet'!C9=0%),0,SUM(Calculateur!$V$3:$V$33)*VLOOKUP('Données projet'!$B$9,Paramètres!$A$1:$I$88,9,0)*B6)</f>
        <v>75.281561999999994</v>
      </c>
      <c r="K6" s="156">
        <f>J6*(100%-'Données projet'!$C$24)*(100%-'Données projet'!$C$25)*(100%-'Données projet'!$C$26)*(100%-'Données projet'!$C$27)</f>
        <v>67.753405799999996</v>
      </c>
      <c r="L6" s="157">
        <f ca="1">G6+I6+K6</f>
        <v>402.08732947210132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58" t="str">
        <f>IF('Données projet'!$B$10="","",'Données projet'!$B$10)</f>
        <v>Cèdre de l'Atlas</v>
      </c>
      <c r="B7" s="159">
        <f>'Données projet'!D10</f>
        <v>1.6361999999999999</v>
      </c>
      <c r="C7" s="152">
        <f ca="1">IF(OR('Données projet'!B10="",'Données projet'!C10="",'Données projet'!C10=0%),0,Calculateur!AN3)</f>
        <v>147.1675182177155</v>
      </c>
      <c r="D7" s="152">
        <f>IF(OR('Données projet'!B10="",'Données projet'!C10="",'Données projet'!C10=0%),0,Calculateur!AO3)</f>
        <v>115.86489547584461</v>
      </c>
      <c r="E7" s="152">
        <f t="shared" ref="E7:E15" ca="1" si="0">MIN(C7,D7)</f>
        <v>115.86489547584461</v>
      </c>
      <c r="F7" s="152">
        <f t="shared" ref="F7:F15" ca="1" si="1">E7*B7</f>
        <v>189.57814197757693</v>
      </c>
      <c r="G7" s="152">
        <f ca="1">F7*(100%-'Données projet'!$C$24)*(100%-'Données projet'!$C$25)*(100%-'Données projet'!$C$26)*(100%-'Données projet'!$C$27)</f>
        <v>170.62032777981923</v>
      </c>
      <c r="H7" s="160">
        <f>IF(OR('Données projet'!B10="",'Données projet'!C10="",'Données projet'!C10=0%),0,AVERAGE(Calculateur!$AX$3:$AX$33)*B7)</f>
        <v>0.89434204330542477</v>
      </c>
      <c r="I7" s="154">
        <f>H7*(100%-'Données projet'!$C$24)*(100%-'Données projet'!$C$25)*(100%-'Données projet'!$C$26)*(100%-'Données projet'!$C$27)</f>
        <v>0.80490783897488227</v>
      </c>
      <c r="J7" s="155">
        <f>IF(OR('Données projet'!B10="",'Données projet'!C10="",'Données projet'!C10=0%),0,SUM(Calculateur!$AQ$3:$AQ$33)*VLOOKUP('Données projet'!$B$10,Paramètres!$A$1:$I$88,9,0)*B7)</f>
        <v>28.142639999999997</v>
      </c>
      <c r="K7" s="156">
        <f>J7*(100%-'Données projet'!$C$24)*(100%-'Données projet'!$C$25)*(100%-'Données projet'!$C$26)*(100%-'Données projet'!$C$27)</f>
        <v>25.328375999999999</v>
      </c>
      <c r="L7" s="157">
        <f t="shared" ref="L7:L15" ca="1" si="2">G7+I7+K7</f>
        <v>196.75361161879411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58" t="str">
        <f>IF('Données projet'!$B$11="","",'Données projet'!$B$11)</f>
        <v>Chêne pubescent</v>
      </c>
      <c r="B8" s="159">
        <f>'Données projet'!D11</f>
        <v>1.2276000000000005</v>
      </c>
      <c r="C8" s="152">
        <f ca="1">IF(OR('Données projet'!B11="",'Données projet'!C11="",'Données projet'!C11=0%),0,Calculateur!BI3)</f>
        <v>166.48525819448878</v>
      </c>
      <c r="D8" s="152">
        <f>IF(OR('Données projet'!B11="",'Données projet'!C11="",'Données projet'!C11=0%),0,Calculateur!BJ3)</f>
        <v>61.876502626609977</v>
      </c>
      <c r="E8" s="152">
        <f t="shared" ca="1" si="0"/>
        <v>61.876502626609977</v>
      </c>
      <c r="F8" s="152">
        <f t="shared" ca="1" si="1"/>
        <v>75.95959462442643</v>
      </c>
      <c r="G8" s="152">
        <f ca="1">F8*(100%-'Données projet'!$C$24)*(100%-'Données projet'!$C$25)*(100%-'Données projet'!$C$26)*(100%-'Données projet'!$C$27)</f>
        <v>68.363635161983794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projet'!$B$11,Paramètres!$A$1:$I$88,9,0)*B8)</f>
        <v>0</v>
      </c>
      <c r="K8" s="156">
        <f>J8*(100%-'Données projet'!$C$24)*(100%-'Données projet'!$C$25)*(100%-'Données projet'!$C$26)*(100%-'Données projet'!$C$27)</f>
        <v>0</v>
      </c>
      <c r="L8" s="157">
        <f t="shared" ca="1" si="2"/>
        <v>68.363635161983794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58" t="str">
        <f>IF('Données projet'!$B$12="","",'Données projet'!$B$12)</f>
        <v/>
      </c>
      <c r="B9" s="159">
        <f>'Données projet'!D12</f>
        <v>0</v>
      </c>
      <c r="C9" s="152">
        <f>IF(OR('Données projet'!B12="",'Données projet'!C12="",'Données projet'!C12=0%),0,Calculateur!CD3)</f>
        <v>0</v>
      </c>
      <c r="D9" s="152">
        <f>IF(OR('Données projet'!B12="",'Données projet'!C12="",'Données projet'!C12=0%),0,Calculateur!CE3)</f>
        <v>0</v>
      </c>
      <c r="E9" s="152">
        <f t="shared" si="0"/>
        <v>0</v>
      </c>
      <c r="F9" s="152">
        <f t="shared" si="1"/>
        <v>0</v>
      </c>
      <c r="G9" s="152">
        <f>F9*(100%-'Données projet'!$C$24)*(100%-'Données projet'!$C$25)*(100%-'Données projet'!$C$26)*(100%-'Données projet'!$C$27)</f>
        <v>0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projet'!$B$12,Paramètres!$A$1:$I$88,9,0)*B9)</f>
        <v>0</v>
      </c>
      <c r="K9" s="156">
        <f>J9*(100%-'Données projet'!$C$24)*(100%-'Données projet'!$C$25)*(100%-'Données projet'!$C$26)*(100%-'Données projet'!$C$27)</f>
        <v>0</v>
      </c>
      <c r="L9" s="157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58" t="str">
        <f>IF('Données projet'!$B$13="","",'Données projet'!$B$13)</f>
        <v/>
      </c>
      <c r="B10" s="159">
        <f>'Données projet'!D13</f>
        <v>0</v>
      </c>
      <c r="C10" s="152">
        <f>IF(OR('Données projet'!B13="",'Données projet'!C13="",'Données projet'!C13=0%),0,Calculateur!CY3)</f>
        <v>0</v>
      </c>
      <c r="D10" s="152">
        <f>IF(OR('Données projet'!B13="",'Données projet'!C13="",'Données projet'!C13=0%),0,Calculateur!CZ3)</f>
        <v>0</v>
      </c>
      <c r="E10" s="152">
        <f t="shared" si="0"/>
        <v>0</v>
      </c>
      <c r="F10" s="152">
        <f t="shared" si="1"/>
        <v>0</v>
      </c>
      <c r="G10" s="152">
        <f>F10*(100%-'Données projet'!$C$24)*(100%-'Données projet'!$C$25)*(100%-'Données projet'!$C$26)*(100%-'Données projet'!$C$27)</f>
        <v>0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projet'!$B$13,Paramètres!$A$1:$I$88,9,0)*B10)</f>
        <v>0</v>
      </c>
      <c r="K10" s="156">
        <f>J10*(100%-'Données projet'!$C$24)*(100%-'Données projet'!$C$25)*(100%-'Données projet'!$C$26)*(100%-'Données projet'!$C$27)</f>
        <v>0</v>
      </c>
      <c r="L10" s="157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58" t="str">
        <f>IF('Données projet'!$B$14="","",'Données projet'!$B$14)</f>
        <v/>
      </c>
      <c r="B11" s="159">
        <f>'Données projet'!D14</f>
        <v>0</v>
      </c>
      <c r="C11" s="152">
        <f>IF(OR('Données projet'!B14="",'Données projet'!C14="",'Données projet'!C14=0%),0,Calculateur!DT3)</f>
        <v>0</v>
      </c>
      <c r="D11" s="152">
        <f>IF(OR('Données projet'!B14="",'Données projet'!C14="",'Données projet'!C14=0%),0,Calculateur!DU3)</f>
        <v>0</v>
      </c>
      <c r="E11" s="152">
        <f t="shared" si="0"/>
        <v>0</v>
      </c>
      <c r="F11" s="152">
        <f t="shared" si="1"/>
        <v>0</v>
      </c>
      <c r="G11" s="152">
        <f>F11*(100%-'Données projet'!$C$24)*(100%-'Données projet'!$C$25)*(100%-'Données projet'!$C$26)*(100%-'Données projet'!$C$27)</f>
        <v>0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projet'!$B$14,Paramètres!$A$1:$I$88,9,0)*B11)</f>
        <v>0</v>
      </c>
      <c r="K11" s="156">
        <f>J11*(100%-'Données projet'!$C$24)*(100%-'Données projet'!$C$25)*(100%-'Données projet'!$C$26)*(100%-'Données projet'!$C$27)</f>
        <v>0</v>
      </c>
      <c r="L11" s="157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projet'!$B$15,Paramètres!$A$1:$I$88,9,0)*B12)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projet'!$B$16,Paramètres!$A$1:$I$88,9,0)*B13)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projet'!$B$17,Paramètres!$A$1:$I$88,9,0)*B14)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projet'!$B$18,Paramètres!$A$1:$I$88,9,0)*B15)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1"/>
      <c r="B16" s="228"/>
      <c r="C16" s="229"/>
      <c r="D16" s="25"/>
      <c r="E16" s="25"/>
      <c r="F16" s="170">
        <f t="shared" ref="F16:L16" ca="1" si="3">SUM(F6:F15)</f>
        <v>627.94011785681005</v>
      </c>
      <c r="G16" s="171">
        <f t="shared" ca="1" si="3"/>
        <v>565.146106071129</v>
      </c>
      <c r="H16" s="172">
        <f t="shared" si="3"/>
        <v>9.9740982019446278</v>
      </c>
      <c r="I16" s="172">
        <f t="shared" si="3"/>
        <v>8.976688381750165</v>
      </c>
      <c r="J16" s="173">
        <f t="shared" si="3"/>
        <v>103.42420199999999</v>
      </c>
      <c r="K16" s="173">
        <f t="shared" si="3"/>
        <v>93.081781799999987</v>
      </c>
      <c r="L16" s="174">
        <f t="shared" ca="1" si="3"/>
        <v>667.20457625287918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1"/>
      <c r="B17" s="228"/>
      <c r="C17" s="229"/>
      <c r="D17" s="226"/>
      <c r="E17" s="226"/>
      <c r="F17" s="327" t="s">
        <v>246</v>
      </c>
      <c r="G17" s="328"/>
      <c r="H17" s="328"/>
      <c r="I17" s="328"/>
      <c r="J17" s="328"/>
      <c r="K17" s="328"/>
      <c r="L17" s="32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1"/>
      <c r="B18" s="228"/>
      <c r="C18" s="229"/>
      <c r="D18" s="226"/>
      <c r="E18" s="226"/>
      <c r="F18" s="329"/>
      <c r="G18" s="329"/>
      <c r="H18" s="329"/>
      <c r="I18" s="329"/>
      <c r="J18" s="329"/>
      <c r="K18" s="329"/>
      <c r="L18" s="32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26"/>
      <c r="J19" s="226"/>
      <c r="K19" s="226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26"/>
      <c r="J20" s="226"/>
      <c r="K20" s="226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5" t="str">
        <f>A6</f>
        <v>Pin laricio</v>
      </c>
      <c r="B21" s="5"/>
      <c r="C21" s="5"/>
      <c r="D21" s="5"/>
      <c r="E21" s="5"/>
      <c r="F21" s="5"/>
      <c r="G21" s="5"/>
      <c r="H21" s="5"/>
      <c r="I21" s="226"/>
      <c r="J21" s="226"/>
      <c r="K21" s="226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26"/>
      <c r="J22" s="226"/>
      <c r="K22" s="226"/>
      <c r="L22" s="226"/>
      <c r="M22" s="226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26"/>
      <c r="J23" s="226"/>
      <c r="K23" s="226"/>
      <c r="L23" s="226"/>
      <c r="M23" s="226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26"/>
      <c r="J24" s="226"/>
      <c r="K24" s="226"/>
      <c r="L24" s="226"/>
      <c r="M24" s="226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26"/>
      <c r="J25" s="226"/>
      <c r="K25" s="226"/>
      <c r="L25" s="226"/>
      <c r="M25" s="226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26"/>
      <c r="J26" s="226" t="s">
        <v>408</v>
      </c>
      <c r="K26" s="226"/>
      <c r="L26" s="226"/>
      <c r="M26" s="226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26"/>
      <c r="J27" s="226"/>
      <c r="K27" s="226"/>
      <c r="L27" s="226"/>
      <c r="M27" s="226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26"/>
      <c r="J28" s="226"/>
      <c r="K28" s="226"/>
      <c r="L28" s="226"/>
      <c r="M28" s="226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26"/>
      <c r="J29" s="226"/>
      <c r="K29" s="226"/>
      <c r="L29" s="226"/>
      <c r="M29" s="226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26"/>
      <c r="J30" s="226"/>
      <c r="K30" s="226"/>
      <c r="L30" s="226"/>
      <c r="M30" s="226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26"/>
      <c r="J31" s="226"/>
      <c r="K31" s="226"/>
      <c r="L31" s="226"/>
      <c r="M31" s="226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26"/>
      <c r="J32" s="226"/>
      <c r="K32" s="226"/>
      <c r="L32" s="226"/>
      <c r="M32" s="226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26"/>
      <c r="J33" s="226"/>
      <c r="K33" s="226"/>
      <c r="L33" s="226"/>
      <c r="M33" s="226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26"/>
      <c r="J34" s="226"/>
      <c r="K34" s="226"/>
      <c r="L34" s="226"/>
      <c r="M34" s="226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26"/>
      <c r="J35" s="226"/>
      <c r="K35" s="226"/>
      <c r="L35" s="226"/>
      <c r="M35" s="226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26"/>
      <c r="J36" s="226"/>
      <c r="K36" s="226"/>
      <c r="L36" s="226"/>
      <c r="M36" s="226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26"/>
      <c r="J37" s="226"/>
      <c r="K37" s="226"/>
      <c r="L37" s="226"/>
      <c r="M37" s="226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26"/>
      <c r="J38" s="226"/>
      <c r="K38" s="226"/>
      <c r="L38" s="226"/>
      <c r="M38" s="226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5" t="str">
        <f>A7</f>
        <v>Cèdre de l'Atlas</v>
      </c>
      <c r="B39" s="5"/>
      <c r="C39" s="5"/>
      <c r="D39" s="5"/>
      <c r="E39" s="5"/>
      <c r="F39" s="5"/>
      <c r="G39" s="5"/>
      <c r="H39" s="5"/>
      <c r="I39" s="226"/>
      <c r="J39" s="226"/>
      <c r="K39" s="226"/>
      <c r="L39" s="226"/>
      <c r="M39" s="226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26"/>
      <c r="J40" s="226"/>
      <c r="K40" s="226"/>
      <c r="L40" s="226"/>
      <c r="M40" s="226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26"/>
      <c r="J41" s="226"/>
      <c r="K41" s="226"/>
      <c r="L41" s="226"/>
      <c r="M41" s="226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26"/>
      <c r="J42" s="226"/>
      <c r="K42" s="226"/>
      <c r="L42" s="226"/>
      <c r="M42" s="226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26"/>
      <c r="J43" s="226"/>
      <c r="K43" s="226"/>
      <c r="L43" s="226"/>
      <c r="M43" s="226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26"/>
      <c r="J44" s="226"/>
      <c r="K44" s="226"/>
      <c r="L44" s="226"/>
      <c r="M44" s="226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26"/>
      <c r="J45" s="226"/>
      <c r="K45" s="226"/>
      <c r="L45" s="226"/>
      <c r="M45" s="226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26"/>
      <c r="J46" s="226"/>
      <c r="K46" s="226"/>
      <c r="L46" s="226"/>
      <c r="M46" s="226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26"/>
      <c r="J47" s="226"/>
      <c r="K47" s="226"/>
      <c r="L47" s="226"/>
      <c r="M47" s="226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26"/>
      <c r="J48" s="226"/>
      <c r="K48" s="226"/>
      <c r="L48" s="226"/>
      <c r="M48" s="226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26"/>
      <c r="J49" s="226"/>
      <c r="K49" s="226"/>
      <c r="L49" s="226"/>
      <c r="M49" s="226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26"/>
      <c r="J50" s="226"/>
      <c r="K50" s="226"/>
      <c r="L50" s="226"/>
      <c r="M50" s="226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26"/>
      <c r="J51" s="226"/>
      <c r="K51" s="226"/>
      <c r="L51" s="226"/>
      <c r="M51" s="226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26"/>
      <c r="J52" s="226"/>
      <c r="K52" s="226"/>
      <c r="L52" s="226"/>
      <c r="M52" s="226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26"/>
      <c r="J53" s="226"/>
      <c r="K53" s="226"/>
      <c r="L53" s="226"/>
      <c r="M53" s="226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26"/>
      <c r="J54" s="226"/>
      <c r="K54" s="226"/>
      <c r="L54" s="226"/>
      <c r="M54" s="226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26"/>
      <c r="J55" s="226"/>
      <c r="K55" s="226"/>
      <c r="L55" s="226"/>
      <c r="M55" s="226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26"/>
      <c r="J56" s="226"/>
      <c r="K56" s="226"/>
      <c r="L56" s="226"/>
      <c r="M56" s="226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5" t="str">
        <f>A8</f>
        <v>Chêne pubescent</v>
      </c>
      <c r="B57" s="5"/>
      <c r="C57" s="5"/>
      <c r="D57" s="5"/>
      <c r="E57" s="5"/>
      <c r="F57" s="5"/>
      <c r="G57" s="5"/>
      <c r="H57" s="5"/>
      <c r="I57" s="226"/>
      <c r="J57" s="226"/>
      <c r="K57" s="226"/>
      <c r="L57" s="226"/>
      <c r="M57" s="226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26"/>
      <c r="J58" s="226"/>
      <c r="K58" s="226"/>
      <c r="L58" s="226"/>
      <c r="M58" s="226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26"/>
      <c r="J59" s="226"/>
      <c r="K59" s="226"/>
      <c r="L59" s="226"/>
      <c r="M59" s="226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26"/>
      <c r="J60" s="226"/>
      <c r="K60" s="226"/>
      <c r="L60" s="226"/>
      <c r="M60" s="226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26"/>
      <c r="J61" s="226"/>
      <c r="K61" s="226"/>
      <c r="L61" s="226"/>
      <c r="M61" s="226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26"/>
      <c r="J62" s="226"/>
      <c r="K62" s="226"/>
      <c r="L62" s="226"/>
      <c r="M62" s="226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26"/>
      <c r="J63" s="226"/>
      <c r="K63" s="226"/>
      <c r="L63" s="226"/>
      <c r="M63" s="226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26"/>
      <c r="J64" s="226"/>
      <c r="K64" s="226"/>
      <c r="L64" s="226"/>
      <c r="M64" s="226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26"/>
      <c r="J65" s="226"/>
      <c r="K65" s="226"/>
      <c r="L65" s="226"/>
      <c r="M65" s="226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26"/>
      <c r="J66" s="226"/>
      <c r="K66" s="226"/>
      <c r="L66" s="226"/>
      <c r="M66" s="226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26"/>
      <c r="J67" s="226"/>
      <c r="K67" s="226"/>
      <c r="L67" s="226"/>
      <c r="M67" s="226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26"/>
      <c r="J68" s="226"/>
      <c r="K68" s="226"/>
      <c r="L68" s="226"/>
      <c r="M68" s="226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26"/>
      <c r="J69" s="226"/>
      <c r="K69" s="226"/>
      <c r="L69" s="226"/>
      <c r="M69" s="226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26"/>
      <c r="J70" s="226"/>
      <c r="K70" s="226"/>
      <c r="L70" s="226"/>
      <c r="M70" s="226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26"/>
      <c r="J71" s="226"/>
      <c r="K71" s="226"/>
      <c r="L71" s="226"/>
      <c r="M71" s="226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26"/>
      <c r="J72" s="226"/>
      <c r="K72" s="226"/>
      <c r="L72" s="226"/>
      <c r="M72" s="226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26"/>
      <c r="J73" s="226"/>
      <c r="K73" s="226"/>
      <c r="L73" s="226"/>
      <c r="M73" s="226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26"/>
      <c r="J74" s="226"/>
      <c r="K74" s="226"/>
      <c r="L74" s="226"/>
      <c r="M74" s="226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26"/>
      <c r="J75" s="226"/>
      <c r="K75" s="226"/>
      <c r="L75" s="226"/>
      <c r="M75" s="226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5" t="str">
        <f>A9</f>
        <v/>
      </c>
      <c r="B76" s="5"/>
      <c r="C76" s="5"/>
      <c r="D76" s="5"/>
      <c r="E76" s="5"/>
      <c r="F76" s="5"/>
      <c r="G76" s="5"/>
      <c r="H76" s="5"/>
      <c r="I76" s="226"/>
      <c r="J76" s="226"/>
      <c r="K76" s="226"/>
      <c r="L76" s="226"/>
      <c r="M76" s="226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26"/>
      <c r="J77" s="226"/>
      <c r="K77" s="226"/>
      <c r="L77" s="226"/>
      <c r="M77" s="226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26"/>
      <c r="J78" s="226"/>
      <c r="K78" s="226"/>
      <c r="L78" s="226"/>
      <c r="M78" s="226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26"/>
      <c r="J79" s="226"/>
      <c r="K79" s="226"/>
      <c r="L79" s="226"/>
      <c r="M79" s="226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26"/>
      <c r="J80" s="226"/>
      <c r="K80" s="226"/>
      <c r="L80" s="226"/>
      <c r="M80" s="226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26"/>
      <c r="J81" s="226"/>
      <c r="K81" s="226"/>
      <c r="L81" s="226"/>
      <c r="M81" s="226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26"/>
      <c r="J82" s="226"/>
      <c r="K82" s="226"/>
      <c r="L82" s="226"/>
      <c r="M82" s="226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26"/>
      <c r="J83" s="226"/>
      <c r="K83" s="226"/>
      <c r="L83" s="226"/>
      <c r="M83" s="226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26"/>
      <c r="J84" s="226"/>
      <c r="K84" s="226"/>
      <c r="L84" s="226"/>
      <c r="M84" s="226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26"/>
      <c r="J85" s="226"/>
      <c r="K85" s="226"/>
      <c r="L85" s="226"/>
      <c r="M85" s="226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26"/>
      <c r="J86" s="226"/>
      <c r="K86" s="226"/>
      <c r="L86" s="226"/>
      <c r="M86" s="226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26"/>
      <c r="J87" s="226"/>
      <c r="K87" s="226"/>
      <c r="L87" s="226"/>
      <c r="M87" s="226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26"/>
      <c r="J88" s="226"/>
      <c r="K88" s="226"/>
      <c r="L88" s="226"/>
      <c r="M88" s="226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26"/>
      <c r="J89" s="226"/>
      <c r="K89" s="226"/>
      <c r="L89" s="226"/>
      <c r="M89" s="226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26"/>
      <c r="J90" s="226"/>
      <c r="K90" s="226"/>
      <c r="L90" s="226"/>
      <c r="M90" s="226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26"/>
      <c r="J91" s="226"/>
      <c r="K91" s="226"/>
      <c r="L91" s="226"/>
      <c r="M91" s="226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26"/>
      <c r="J92" s="226"/>
      <c r="K92" s="226"/>
      <c r="L92" s="226"/>
      <c r="M92" s="226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26"/>
      <c r="J93" s="226"/>
      <c r="K93" s="226"/>
      <c r="L93" s="226"/>
      <c r="M93" s="226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5" t="str">
        <f>A10</f>
        <v/>
      </c>
      <c r="B94" s="5"/>
      <c r="C94" s="5"/>
      <c r="D94" s="5"/>
      <c r="E94" s="5"/>
      <c r="F94" s="5"/>
      <c r="G94" s="5"/>
      <c r="H94" s="5"/>
      <c r="I94" s="226"/>
      <c r="J94" s="226"/>
      <c r="K94" s="226"/>
      <c r="L94" s="226"/>
      <c r="M94" s="226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26"/>
      <c r="J95" s="226"/>
      <c r="K95" s="226"/>
      <c r="L95" s="226"/>
      <c r="M95" s="226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26"/>
      <c r="J96" s="226"/>
      <c r="K96" s="226"/>
      <c r="L96" s="226"/>
      <c r="M96" s="226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26"/>
      <c r="J97" s="226"/>
      <c r="K97" s="226"/>
      <c r="L97" s="226"/>
      <c r="M97" s="226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26"/>
      <c r="J98" s="226"/>
      <c r="K98" s="226"/>
      <c r="L98" s="226"/>
      <c r="M98" s="226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26"/>
      <c r="J99" s="226"/>
      <c r="K99" s="226"/>
      <c r="L99" s="226"/>
      <c r="M99" s="226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26"/>
      <c r="J100" s="226"/>
      <c r="K100" s="226"/>
      <c r="L100" s="226"/>
      <c r="M100" s="226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26"/>
      <c r="J101" s="226"/>
      <c r="K101" s="226"/>
      <c r="L101" s="226"/>
      <c r="M101" s="226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26"/>
      <c r="J102" s="226"/>
      <c r="K102" s="226"/>
      <c r="L102" s="226"/>
      <c r="M102" s="226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26"/>
      <c r="J103" s="226"/>
      <c r="K103" s="226"/>
      <c r="L103" s="226"/>
      <c r="M103" s="226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26"/>
      <c r="J104" s="226"/>
      <c r="K104" s="226"/>
      <c r="L104" s="226"/>
      <c r="M104" s="226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26"/>
      <c r="J105" s="226"/>
      <c r="K105" s="226"/>
      <c r="L105" s="226"/>
      <c r="M105" s="226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26"/>
      <c r="J106" s="226"/>
      <c r="K106" s="226"/>
      <c r="L106" s="226"/>
      <c r="M106" s="226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26"/>
      <c r="J107" s="226"/>
      <c r="K107" s="226"/>
      <c r="L107" s="226"/>
      <c r="M107" s="226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26"/>
      <c r="J108" s="226"/>
      <c r="K108" s="226"/>
      <c r="L108" s="226"/>
      <c r="M108" s="226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26"/>
      <c r="J109" s="226"/>
      <c r="K109" s="226"/>
      <c r="L109" s="226"/>
      <c r="M109" s="226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26"/>
      <c r="J110" s="226"/>
      <c r="K110" s="226"/>
      <c r="L110" s="226"/>
      <c r="M110" s="226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26"/>
      <c r="J111" s="226"/>
      <c r="K111" s="226"/>
      <c r="L111" s="226"/>
      <c r="M111" s="226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5" t="str">
        <f>A11</f>
        <v/>
      </c>
      <c r="B112" s="5"/>
      <c r="C112" s="5"/>
      <c r="D112" s="5"/>
      <c r="E112" s="5"/>
      <c r="F112" s="5"/>
      <c r="G112" s="5"/>
      <c r="H112" s="5"/>
      <c r="I112" s="226"/>
      <c r="J112" s="226"/>
      <c r="K112" s="226"/>
      <c r="L112" s="226"/>
      <c r="M112" s="226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26"/>
      <c r="J113" s="226"/>
      <c r="K113" s="226"/>
      <c r="L113" s="226"/>
      <c r="M113" s="226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26"/>
      <c r="J114" s="226"/>
      <c r="K114" s="226"/>
      <c r="L114" s="226"/>
      <c r="M114" s="226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26"/>
      <c r="J115" s="226"/>
      <c r="K115" s="226"/>
      <c r="L115" s="226"/>
      <c r="M115" s="226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26"/>
      <c r="J116" s="226"/>
      <c r="K116" s="226"/>
      <c r="L116" s="226"/>
      <c r="M116" s="226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26"/>
      <c r="J117" s="226"/>
      <c r="K117" s="226"/>
      <c r="L117" s="226"/>
      <c r="M117" s="226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26"/>
      <c r="J118" s="226"/>
      <c r="K118" s="226"/>
      <c r="L118" s="226"/>
      <c r="M118" s="226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26"/>
      <c r="J119" s="226"/>
      <c r="K119" s="226"/>
      <c r="L119" s="226"/>
      <c r="M119" s="226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26"/>
      <c r="J120" s="226"/>
      <c r="K120" s="226"/>
      <c r="L120" s="226"/>
      <c r="M120" s="226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26"/>
      <c r="J121" s="226"/>
      <c r="K121" s="226"/>
      <c r="L121" s="226"/>
      <c r="M121" s="226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26"/>
      <c r="J122" s="226"/>
      <c r="K122" s="226"/>
      <c r="L122" s="226"/>
      <c r="M122" s="226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26"/>
      <c r="J123" s="226"/>
      <c r="K123" s="226"/>
      <c r="L123" s="226"/>
      <c r="M123" s="226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26"/>
      <c r="J124" s="226"/>
      <c r="K124" s="226"/>
      <c r="L124" s="226"/>
      <c r="M124" s="226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26"/>
      <c r="J125" s="226"/>
      <c r="K125" s="226"/>
      <c r="L125" s="226"/>
      <c r="M125" s="226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26"/>
      <c r="J126" s="226"/>
      <c r="K126" s="226"/>
      <c r="L126" s="226"/>
      <c r="M126" s="226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26"/>
      <c r="J127" s="226"/>
      <c r="K127" s="226"/>
      <c r="L127" s="226"/>
      <c r="M127" s="226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26"/>
      <c r="J128" s="226"/>
      <c r="K128" s="226"/>
      <c r="L128" s="226"/>
      <c r="M128" s="226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26"/>
      <c r="J129" s="226"/>
      <c r="K129" s="226"/>
      <c r="L129" s="226"/>
      <c r="M129" s="226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6"/>
      <c r="J130" s="226"/>
      <c r="K130" s="226"/>
      <c r="L130" s="226"/>
      <c r="M130" s="226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26"/>
      <c r="J131" s="226"/>
      <c r="K131" s="226"/>
      <c r="L131" s="226"/>
      <c r="M131" s="226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26"/>
      <c r="J132" s="226"/>
      <c r="K132" s="226"/>
      <c r="L132" s="226"/>
      <c r="M132" s="226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26"/>
      <c r="J133" s="226"/>
      <c r="K133" s="226"/>
      <c r="L133" s="226"/>
      <c r="M133" s="226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26"/>
      <c r="J134" s="226"/>
      <c r="K134" s="226"/>
      <c r="L134" s="226"/>
      <c r="M134" s="226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26"/>
      <c r="J135" s="226"/>
      <c r="K135" s="226"/>
      <c r="L135" s="226"/>
      <c r="M135" s="226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26"/>
      <c r="J136" s="226"/>
      <c r="K136" s="226"/>
      <c r="L136" s="226"/>
      <c r="M136" s="226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26"/>
      <c r="J137" s="226"/>
      <c r="K137" s="226"/>
      <c r="L137" s="226"/>
      <c r="M137" s="226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26"/>
      <c r="J138" s="226"/>
      <c r="K138" s="226"/>
      <c r="L138" s="226"/>
      <c r="M138" s="226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26"/>
      <c r="J139" s="226"/>
      <c r="K139" s="226"/>
      <c r="L139" s="226"/>
      <c r="M139" s="226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26"/>
      <c r="J140" s="226"/>
      <c r="K140" s="226"/>
      <c r="L140" s="226"/>
      <c r="M140" s="226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26"/>
      <c r="J141" s="226"/>
      <c r="K141" s="226"/>
      <c r="L141" s="226"/>
      <c r="M141" s="226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26"/>
      <c r="J142" s="226"/>
      <c r="K142" s="226"/>
      <c r="L142" s="226"/>
      <c r="M142" s="226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26"/>
      <c r="J143" s="226"/>
      <c r="K143" s="226"/>
      <c r="L143" s="226"/>
      <c r="M143" s="226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26"/>
      <c r="J144" s="226"/>
      <c r="K144" s="226"/>
      <c r="L144" s="226"/>
      <c r="M144" s="226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26"/>
      <c r="J145" s="226"/>
      <c r="K145" s="226"/>
      <c r="L145" s="226"/>
      <c r="M145" s="226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26"/>
      <c r="J146" s="226"/>
      <c r="K146" s="226"/>
      <c r="L146" s="226"/>
      <c r="M146" s="226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26"/>
      <c r="J147" s="226"/>
      <c r="K147" s="226"/>
      <c r="L147" s="226"/>
      <c r="M147" s="226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6"/>
      <c r="J148" s="226"/>
      <c r="K148" s="226"/>
      <c r="L148" s="226"/>
      <c r="M148" s="226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26"/>
      <c r="J149" s="226"/>
      <c r="K149" s="226"/>
      <c r="L149" s="226"/>
      <c r="M149" s="226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26"/>
      <c r="J150" s="226"/>
      <c r="K150" s="226"/>
      <c r="L150" s="226"/>
      <c r="M150" s="226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26"/>
      <c r="J151" s="226"/>
      <c r="K151" s="226"/>
      <c r="L151" s="226"/>
      <c r="M151" s="226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26"/>
      <c r="J152" s="226"/>
      <c r="K152" s="226"/>
      <c r="L152" s="226"/>
      <c r="M152" s="226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26"/>
      <c r="J153" s="226"/>
      <c r="K153" s="226"/>
      <c r="L153" s="226"/>
      <c r="M153" s="226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26"/>
      <c r="J154" s="226"/>
      <c r="K154" s="226"/>
      <c r="L154" s="226"/>
      <c r="M154" s="226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26"/>
      <c r="J155" s="226"/>
      <c r="K155" s="226"/>
      <c r="L155" s="226"/>
      <c r="M155" s="226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26"/>
      <c r="J156" s="226"/>
      <c r="K156" s="226"/>
      <c r="L156" s="226"/>
      <c r="M156" s="226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26"/>
      <c r="J157" s="226"/>
      <c r="K157" s="226"/>
      <c r="L157" s="226"/>
      <c r="M157" s="226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26"/>
      <c r="J158" s="226"/>
      <c r="K158" s="226"/>
      <c r="L158" s="226"/>
      <c r="M158" s="226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26"/>
      <c r="J159" s="226"/>
      <c r="K159" s="226"/>
      <c r="L159" s="226"/>
      <c r="M159" s="226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26"/>
      <c r="J160" s="226"/>
      <c r="K160" s="226"/>
      <c r="L160" s="226"/>
      <c r="M160" s="226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26"/>
      <c r="J161" s="226"/>
      <c r="K161" s="226"/>
      <c r="L161" s="226"/>
      <c r="M161" s="226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26"/>
      <c r="J162" s="226"/>
      <c r="K162" s="226"/>
      <c r="L162" s="226"/>
      <c r="M162" s="226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26"/>
      <c r="J163" s="226"/>
      <c r="K163" s="226"/>
      <c r="L163" s="226"/>
      <c r="M163" s="226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26"/>
      <c r="J164" s="226"/>
      <c r="K164" s="226"/>
      <c r="L164" s="226"/>
      <c r="M164" s="226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26"/>
      <c r="J165" s="226"/>
      <c r="K165" s="226"/>
      <c r="L165" s="226"/>
      <c r="M165" s="226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6"/>
      <c r="J166" s="226"/>
      <c r="K166" s="226"/>
      <c r="L166" s="226"/>
      <c r="M166" s="226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26"/>
      <c r="J167" s="226"/>
      <c r="K167" s="226"/>
      <c r="L167" s="226"/>
      <c r="M167" s="226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26"/>
      <c r="J168" s="226"/>
      <c r="K168" s="226"/>
      <c r="L168" s="226"/>
      <c r="M168" s="226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26"/>
      <c r="J169" s="226"/>
      <c r="K169" s="226"/>
      <c r="L169" s="226"/>
      <c r="M169" s="226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26"/>
      <c r="J170" s="226"/>
      <c r="K170" s="226"/>
      <c r="L170" s="226"/>
      <c r="M170" s="226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26"/>
      <c r="J171" s="226"/>
      <c r="K171" s="226"/>
      <c r="L171" s="226"/>
      <c r="M171" s="226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26"/>
      <c r="J172" s="226"/>
      <c r="K172" s="226"/>
      <c r="L172" s="226"/>
      <c r="M172" s="226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26"/>
      <c r="J173" s="226"/>
      <c r="K173" s="226"/>
      <c r="L173" s="226"/>
      <c r="M173" s="226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26"/>
      <c r="J174" s="226"/>
      <c r="K174" s="226"/>
      <c r="L174" s="226"/>
      <c r="M174" s="226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26"/>
      <c r="J175" s="226"/>
      <c r="K175" s="226"/>
      <c r="L175" s="226"/>
      <c r="M175" s="226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26"/>
      <c r="J176" s="226"/>
      <c r="K176" s="226"/>
      <c r="L176" s="226"/>
      <c r="M176" s="226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26"/>
      <c r="J177" s="226"/>
      <c r="K177" s="226"/>
      <c r="L177" s="226"/>
      <c r="M177" s="226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26"/>
      <c r="J178" s="226"/>
      <c r="K178" s="226"/>
      <c r="L178" s="226"/>
      <c r="M178" s="226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26"/>
      <c r="J179" s="226"/>
      <c r="K179" s="226"/>
      <c r="L179" s="226"/>
      <c r="M179" s="226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26"/>
      <c r="J180" s="226"/>
      <c r="K180" s="226"/>
      <c r="L180" s="226"/>
      <c r="M180" s="226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26"/>
      <c r="J181" s="226"/>
      <c r="K181" s="226"/>
      <c r="L181" s="226"/>
      <c r="M181" s="226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26"/>
      <c r="J182" s="226"/>
      <c r="K182" s="226"/>
      <c r="L182" s="226"/>
      <c r="M182" s="226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26"/>
      <c r="J183" s="226"/>
      <c r="K183" s="226"/>
      <c r="L183" s="226"/>
      <c r="M183" s="226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6"/>
      <c r="J184" s="226"/>
      <c r="K184" s="226"/>
      <c r="L184" s="226"/>
      <c r="M184" s="226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26"/>
      <c r="J185" s="226"/>
      <c r="K185" s="226"/>
      <c r="L185" s="226"/>
      <c r="M185" s="226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26"/>
      <c r="J186" s="226"/>
      <c r="K186" s="226"/>
      <c r="L186" s="226"/>
      <c r="M186" s="226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26"/>
      <c r="J187" s="226"/>
      <c r="K187" s="226"/>
      <c r="L187" s="226"/>
      <c r="M187" s="226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26"/>
      <c r="J188" s="226"/>
      <c r="K188" s="226"/>
      <c r="L188" s="226"/>
      <c r="M188" s="226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26"/>
      <c r="J189" s="226"/>
      <c r="K189" s="226"/>
      <c r="L189" s="226"/>
      <c r="M189" s="226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26"/>
      <c r="J190" s="226"/>
      <c r="K190" s="226"/>
      <c r="L190" s="226"/>
      <c r="M190" s="226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26"/>
      <c r="J191" s="226"/>
      <c r="K191" s="226"/>
      <c r="L191" s="226"/>
      <c r="M191" s="226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26"/>
      <c r="J192" s="226"/>
      <c r="K192" s="226"/>
      <c r="L192" s="226"/>
      <c r="M192" s="226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26"/>
      <c r="J193" s="226"/>
      <c r="K193" s="226"/>
      <c r="L193" s="226"/>
      <c r="M193" s="226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26"/>
      <c r="J194" s="226"/>
      <c r="K194" s="226"/>
      <c r="L194" s="226"/>
      <c r="M194" s="226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26"/>
      <c r="J195" s="226"/>
      <c r="K195" s="226"/>
      <c r="L195" s="226"/>
      <c r="M195" s="226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26"/>
      <c r="J196" s="226"/>
      <c r="K196" s="226"/>
      <c r="L196" s="226"/>
      <c r="M196" s="226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26"/>
      <c r="J197" s="226"/>
      <c r="K197" s="226"/>
      <c r="L197" s="226"/>
      <c r="M197" s="226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26"/>
      <c r="J198" s="226"/>
      <c r="K198" s="226"/>
      <c r="L198" s="226"/>
      <c r="M198" s="226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26"/>
      <c r="J199" s="226"/>
      <c r="K199" s="226"/>
      <c r="L199" s="226"/>
      <c r="M199" s="226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26"/>
      <c r="J200" s="226"/>
      <c r="K200" s="226"/>
      <c r="L200" s="226"/>
      <c r="M200" s="226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26"/>
      <c r="J201" s="226"/>
      <c r="K201" s="226"/>
      <c r="L201" s="226"/>
      <c r="M201" s="226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26"/>
      <c r="J202" s="226"/>
      <c r="K202" s="226"/>
      <c r="L202" s="226"/>
      <c r="M202" s="226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6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BL552"/>
  <sheetViews>
    <sheetView tabSelected="1" topLeftCell="I1" zoomScale="90" zoomScaleNormal="90" workbookViewId="0">
      <selection activeCell="T49" sqref="T4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15" t="s">
        <v>272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">
      <c r="A4" s="95"/>
      <c r="B4" s="95"/>
      <c r="C4" s="95"/>
      <c r="D4" s="95"/>
      <c r="E4" s="95"/>
      <c r="G4" s="176"/>
      <c r="H4" s="347" t="s">
        <v>316</v>
      </c>
      <c r="I4" s="347"/>
      <c r="K4" s="344" t="s">
        <v>253</v>
      </c>
      <c r="L4" s="345"/>
      <c r="M4" s="262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6" thickBot="1" x14ac:dyDescent="0.25">
      <c r="A6" s="95"/>
      <c r="B6" s="95"/>
      <c r="C6" s="95"/>
      <c r="D6" s="95"/>
      <c r="E6" s="95"/>
      <c r="F6" s="224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35">
      <c r="A7" s="269"/>
      <c r="B7" s="270"/>
      <c r="C7" s="270"/>
      <c r="D7" s="270"/>
      <c r="E7" s="271"/>
      <c r="F7" s="271" t="s">
        <v>192</v>
      </c>
      <c r="G7" s="272"/>
      <c r="H7" s="270"/>
      <c r="I7" s="270"/>
      <c r="J7" s="273"/>
      <c r="K7" s="267"/>
      <c r="L7" s="268"/>
      <c r="M7" s="268"/>
      <c r="N7" s="274" t="s">
        <v>191</v>
      </c>
      <c r="O7" s="274"/>
      <c r="P7" s="275"/>
      <c r="Q7" s="276"/>
      <c r="R7" s="336" t="s">
        <v>311</v>
      </c>
      <c r="S7" s="337"/>
      <c r="T7" s="337"/>
      <c r="U7" s="337"/>
      <c r="V7" s="338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">
      <c r="A8" s="25"/>
      <c r="C8" s="25"/>
      <c r="D8" s="25"/>
      <c r="E8" s="25"/>
      <c r="F8" s="216"/>
      <c r="G8" s="216"/>
      <c r="H8" s="5"/>
      <c r="I8" s="5"/>
      <c r="J8" s="209"/>
      <c r="K8" s="220"/>
      <c r="L8" s="25"/>
      <c r="M8" s="25"/>
      <c r="N8" s="25"/>
      <c r="O8" s="25"/>
      <c r="P8" s="25"/>
      <c r="Q8" s="259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4" t="s">
        <v>312</v>
      </c>
      <c r="C9" s="25"/>
      <c r="D9" s="25"/>
      <c r="E9" s="25"/>
      <c r="F9" s="255"/>
      <c r="G9" s="254" t="s">
        <v>315</v>
      </c>
      <c r="J9" s="209"/>
      <c r="K9" s="220"/>
      <c r="O9" s="25"/>
      <c r="P9" s="25"/>
      <c r="Q9" s="259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4" t="s">
        <v>318</v>
      </c>
      <c r="C10" s="25"/>
      <c r="D10" s="25"/>
      <c r="E10" s="25"/>
      <c r="F10" s="255"/>
      <c r="G10" s="254" t="s">
        <v>317</v>
      </c>
      <c r="J10" s="209"/>
      <c r="K10" s="220"/>
      <c r="O10" s="25"/>
      <c r="P10" s="25"/>
      <c r="Q10" s="259"/>
      <c r="R10" s="25"/>
      <c r="S10" s="181" t="str">
        <f>B14</f>
        <v>Pin laricio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533.04664965674419</v>
      </c>
      <c r="U10" s="186">
        <f>'Données projet'!D9</f>
        <v>1.6361999999999999</v>
      </c>
      <c r="V10" s="185">
        <f>U10*T10</f>
        <v>872.17092816836475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4" t="s">
        <v>313</v>
      </c>
      <c r="B11" s="25"/>
      <c r="C11" s="25"/>
      <c r="D11" s="25"/>
      <c r="E11" s="25"/>
      <c r="F11" s="255"/>
      <c r="G11" s="254" t="s">
        <v>314</v>
      </c>
      <c r="J11" s="209"/>
      <c r="K11" s="220"/>
      <c r="M11" s="5"/>
      <c r="N11" s="5"/>
      <c r="O11" s="25"/>
      <c r="P11" s="25"/>
      <c r="Q11" s="259"/>
      <c r="R11" s="25"/>
      <c r="S11" s="181" t="str">
        <f>B45</f>
        <v>Cèdre de l'Atlas</v>
      </c>
      <c r="T11" s="26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-1915.4997004703387</v>
      </c>
      <c r="U11" s="186">
        <f>'Données projet'!D10</f>
        <v>1.6361999999999999</v>
      </c>
      <c r="V11" s="185">
        <f t="shared" ref="V11" si="0">U11*T11</f>
        <v>-3134.140609909568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55"/>
      <c r="G12" s="1"/>
      <c r="J12" s="209"/>
      <c r="K12" s="220"/>
      <c r="L12" s="212"/>
      <c r="M12" s="25"/>
      <c r="N12" s="25"/>
      <c r="O12" s="25"/>
      <c r="P12" s="25"/>
      <c r="Q12" s="259"/>
      <c r="R12" s="25"/>
      <c r="S12" s="181" t="str">
        <f>B76</f>
        <v>Chêne pubescent</v>
      </c>
      <c r="T12" s="26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-1305.3910896659208</v>
      </c>
      <c r="U12" s="186">
        <f>'Données projet'!D11</f>
        <v>1.2276000000000005</v>
      </c>
      <c r="V12" s="185">
        <f t="shared" ref="V12:V19" si="1">U12*T12</f>
        <v>-1602.498101673885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55"/>
      <c r="J13" s="25"/>
      <c r="K13" s="220"/>
      <c r="L13" s="180" t="s">
        <v>257</v>
      </c>
      <c r="M13" s="25"/>
      <c r="N13" s="25"/>
      <c r="O13" s="25"/>
      <c r="P13" s="25"/>
      <c r="Q13" s="259"/>
      <c r="R13" s="25"/>
      <c r="S13" s="181" t="str">
        <f>B107</f>
        <v/>
      </c>
      <c r="T13" s="26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6">
        <f>'Données projet'!D12</f>
        <v>0</v>
      </c>
      <c r="V13" s="185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2" t="str">
        <f>IF('Données projet'!$B$9="","",'Données projet'!$B$9)</f>
        <v>Pin laricio</v>
      </c>
      <c r="C14" s="5"/>
      <c r="D14" s="5"/>
      <c r="E14" s="5"/>
      <c r="F14" s="255"/>
      <c r="G14" s="216"/>
      <c r="H14" s="181" t="s">
        <v>178</v>
      </c>
      <c r="I14" s="181" t="s">
        <v>291</v>
      </c>
      <c r="J14" s="210"/>
      <c r="K14" s="179"/>
      <c r="L14" s="212"/>
      <c r="M14" s="25"/>
      <c r="N14" s="25"/>
      <c r="O14" s="5"/>
      <c r="P14" s="5"/>
      <c r="Q14" s="260"/>
      <c r="R14" s="5"/>
      <c r="S14" s="181" t="str">
        <f>B138</f>
        <v/>
      </c>
      <c r="T14" s="26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6">
        <f>'Données projet'!D13</f>
        <v>0</v>
      </c>
      <c r="V14" s="185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55"/>
      <c r="G15" s="348" t="s">
        <v>319</v>
      </c>
      <c r="H15" s="199"/>
      <c r="I15" s="200"/>
      <c r="J15" s="211"/>
      <c r="K15" s="220"/>
      <c r="L15" s="212"/>
      <c r="M15" s="25"/>
      <c r="N15" s="25"/>
      <c r="O15" s="25"/>
      <c r="P15" s="25"/>
      <c r="Q15" s="259"/>
      <c r="R15" s="25"/>
      <c r="S15" s="181" t="str">
        <f>B169</f>
        <v/>
      </c>
      <c r="T15" s="26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1" t="s">
        <v>180</v>
      </c>
      <c r="B16" s="51" t="s">
        <v>256</v>
      </c>
      <c r="C16" s="51" t="s">
        <v>255</v>
      </c>
      <c r="D16" s="251" t="s">
        <v>252</v>
      </c>
      <c r="E16" s="251" t="s">
        <v>287</v>
      </c>
      <c r="F16" s="255"/>
      <c r="G16" s="348"/>
      <c r="H16" s="199"/>
      <c r="I16" s="200"/>
      <c r="J16" s="211"/>
      <c r="K16" s="220"/>
      <c r="L16" s="344" t="s">
        <v>254</v>
      </c>
      <c r="M16" s="345"/>
      <c r="N16" s="2">
        <v>30</v>
      </c>
      <c r="O16" s="25"/>
      <c r="P16" s="25"/>
      <c r="Q16" s="259"/>
      <c r="R16" s="25"/>
      <c r="S16" s="181" t="str">
        <f>B200</f>
        <v/>
      </c>
      <c r="T16" s="26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5">
        <v>0</v>
      </c>
      <c r="B17" s="208" t="s">
        <v>132</v>
      </c>
      <c r="C17" s="207" t="s">
        <v>132</v>
      </c>
      <c r="D17" s="206" t="s">
        <v>132</v>
      </c>
      <c r="E17" s="202">
        <f>1075*1.08</f>
        <v>1161</v>
      </c>
      <c r="F17" s="255"/>
      <c r="G17" s="348"/>
      <c r="J17" s="211"/>
      <c r="K17" s="220"/>
      <c r="L17" s="302" t="s">
        <v>290</v>
      </c>
      <c r="M17" s="304"/>
      <c r="N17" s="183">
        <f>VLOOKUP(N16,Calculateur!$A$2:$H$153,3,0)/VLOOKUP('Scénario référence'!$G$15,Paramètres!A1:I88,3,0)/VLOOKUP('Scénario référence'!$G$15,Paramètres!A1:I88,5,0)</f>
        <v>29.999999999999993</v>
      </c>
      <c r="O17" s="25"/>
      <c r="P17" s="25"/>
      <c r="Q17" s="259"/>
      <c r="R17" s="25"/>
      <c r="S17" s="181" t="str">
        <f>B231</f>
        <v/>
      </c>
      <c r="T17" s="26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5">
        <v>1</v>
      </c>
      <c r="B18" s="208" t="s">
        <v>132</v>
      </c>
      <c r="C18" s="207" t="s">
        <v>132</v>
      </c>
      <c r="D18" s="206" t="s">
        <v>132</v>
      </c>
      <c r="E18" s="202"/>
      <c r="F18" s="255"/>
      <c r="G18" s="348"/>
      <c r="J18" s="211"/>
      <c r="K18" s="220"/>
      <c r="L18" s="302" t="s">
        <v>255</v>
      </c>
      <c r="M18" s="304"/>
      <c r="N18" s="201">
        <v>10</v>
      </c>
      <c r="O18" s="25"/>
      <c r="P18" s="25"/>
      <c r="Q18" s="259"/>
      <c r="R18" s="25"/>
      <c r="S18" s="181" t="str">
        <f>B262</f>
        <v/>
      </c>
      <c r="T18" s="26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5">
        <v>2</v>
      </c>
      <c r="B19" s="208" t="s">
        <v>132</v>
      </c>
      <c r="C19" s="207" t="s">
        <v>132</v>
      </c>
      <c r="D19" s="206" t="s">
        <v>132</v>
      </c>
      <c r="E19" s="202"/>
      <c r="F19" s="255"/>
      <c r="G19" s="348"/>
      <c r="H19" s="227" t="s">
        <v>178</v>
      </c>
      <c r="I19" s="227" t="s">
        <v>288</v>
      </c>
      <c r="J19" s="254"/>
      <c r="K19" s="179"/>
      <c r="L19" s="344" t="s">
        <v>289</v>
      </c>
      <c r="M19" s="345"/>
      <c r="N19" s="187">
        <f>N17*N18</f>
        <v>299.99999999999994</v>
      </c>
      <c r="O19" s="25"/>
      <c r="P19" s="5"/>
      <c r="Q19" s="260"/>
      <c r="R19" s="5"/>
      <c r="S19" s="181" t="str">
        <f>B293</f>
        <v/>
      </c>
      <c r="T19" s="26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5">
        <v>3</v>
      </c>
      <c r="B20" s="208" t="s">
        <v>132</v>
      </c>
      <c r="C20" s="207" t="s">
        <v>132</v>
      </c>
      <c r="D20" s="206" t="s">
        <v>132</v>
      </c>
      <c r="E20" s="202"/>
      <c r="F20" s="255"/>
      <c r="G20" s="348"/>
      <c r="H20" s="199">
        <v>1</v>
      </c>
      <c r="I20" s="200">
        <f>(1550+220+210+360)*1.12</f>
        <v>2620.8000000000002</v>
      </c>
      <c r="J20" s="5"/>
      <c r="K20" s="179"/>
      <c r="O20" s="25"/>
      <c r="P20" s="5"/>
      <c r="Q20" s="260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5">
        <v>4</v>
      </c>
      <c r="B21" s="208" t="s">
        <v>132</v>
      </c>
      <c r="C21" s="207" t="s">
        <v>132</v>
      </c>
      <c r="D21" s="206" t="s">
        <v>132</v>
      </c>
      <c r="E21" s="202"/>
      <c r="F21" s="255"/>
      <c r="H21" s="199">
        <v>2</v>
      </c>
      <c r="I21" s="200">
        <f>(400+210+360)*1.12</f>
        <v>1086.4000000000001</v>
      </c>
      <c r="K21" s="179"/>
      <c r="O21" s="25"/>
      <c r="P21" s="5"/>
      <c r="Q21" s="260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5">
        <v>5</v>
      </c>
      <c r="B22" s="208" t="s">
        <v>132</v>
      </c>
      <c r="C22" s="207" t="s">
        <v>132</v>
      </c>
      <c r="D22" s="206" t="s">
        <v>132</v>
      </c>
      <c r="E22" s="202"/>
      <c r="F22" s="255"/>
      <c r="H22" s="199">
        <v>3</v>
      </c>
      <c r="I22" s="200">
        <f>(400+210+360)*1.12</f>
        <v>1086.4000000000001</v>
      </c>
      <c r="K22" s="179"/>
      <c r="O22" s="25"/>
      <c r="P22" s="5"/>
      <c r="Q22" s="260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88">
        <f>'Données projet'!A36</f>
        <v>15</v>
      </c>
      <c r="B23" s="189">
        <f>'Données projet'!D36</f>
        <v>0</v>
      </c>
      <c r="C23" s="202">
        <f>'Données projet'!E36*30+SUM('Données projet'!F36:G36)*13.8+'Données projet'!H36*10</f>
        <v>13.8</v>
      </c>
      <c r="D23" s="190">
        <f>B23*C23</f>
        <v>0</v>
      </c>
      <c r="E23" s="202"/>
      <c r="F23" s="255"/>
      <c r="H23" s="199">
        <v>4</v>
      </c>
      <c r="I23" s="200">
        <f>210*1.12</f>
        <v>235.20000000000002</v>
      </c>
      <c r="K23" s="220"/>
      <c r="L23" s="346" t="s">
        <v>260</v>
      </c>
      <c r="M23" s="346"/>
      <c r="N23" s="346"/>
      <c r="O23" s="25"/>
      <c r="P23" s="25"/>
      <c r="Q23" s="259"/>
      <c r="R23" s="25"/>
      <c r="S23" s="181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-25647.916347397681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88">
        <f>'Données projet'!A37</f>
        <v>20</v>
      </c>
      <c r="B24" s="189">
        <f>'Données projet'!D37</f>
        <v>23</v>
      </c>
      <c r="C24" s="202">
        <f>'Données projet'!E37*30+SUM('Données projet'!F37:G37)*13.8+'Données projet'!H37*10</f>
        <v>13.8</v>
      </c>
      <c r="D24" s="190">
        <f t="shared" ref="D24:D42" si="2">B24*C24</f>
        <v>317.40000000000003</v>
      </c>
      <c r="E24" s="202"/>
      <c r="F24" s="258"/>
      <c r="H24" s="199">
        <v>5</v>
      </c>
      <c r="I24" s="200">
        <f>210*1.12</f>
        <v>235.20000000000002</v>
      </c>
      <c r="K24" s="220"/>
      <c r="O24" s="25"/>
      <c r="P24" s="25"/>
      <c r="Q24" s="259"/>
      <c r="R24" s="25"/>
      <c r="S24" s="181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360.45002093445402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88">
        <f>'Données projet'!A38</f>
        <v>25</v>
      </c>
      <c r="B25" s="189">
        <f>'Données projet'!D38</f>
        <v>42</v>
      </c>
      <c r="C25" s="202">
        <f>'Données projet'!E38*30+SUM('Données projet'!F38:G38)*13.8+'Données projet'!H38*10</f>
        <v>13.8</v>
      </c>
      <c r="D25" s="190">
        <f t="shared" si="2"/>
        <v>579.6</v>
      </c>
      <c r="E25" s="202"/>
      <c r="F25" s="258"/>
      <c r="G25" s="1"/>
      <c r="H25" s="199"/>
      <c r="I25" s="200"/>
      <c r="K25" s="220"/>
      <c r="L25" s="265" t="s">
        <v>285</v>
      </c>
      <c r="M25" s="265"/>
      <c r="N25" s="265"/>
      <c r="O25" s="265"/>
      <c r="P25" s="201"/>
      <c r="Q25" s="259"/>
      <c r="R25" s="25"/>
      <c r="S25" s="194" t="s">
        <v>266</v>
      </c>
      <c r="T25" s="343">
        <f ca="1">T23-T24</f>
        <v>-26008.366368332136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88">
        <f>'Données projet'!A39</f>
        <v>30</v>
      </c>
      <c r="B26" s="189">
        <f>'Données projet'!D39</f>
        <v>42</v>
      </c>
      <c r="C26" s="202">
        <f>'Données projet'!E39*30+SUM('Données projet'!F39:G39)*13.8+'Données projet'!H39*10</f>
        <v>13.8</v>
      </c>
      <c r="D26" s="190">
        <f t="shared" si="2"/>
        <v>579.6</v>
      </c>
      <c r="E26" s="202"/>
      <c r="F26" s="258"/>
      <c r="G26" s="253"/>
      <c r="H26" s="199"/>
      <c r="I26" s="200"/>
      <c r="K26" s="220"/>
      <c r="L26" s="330" t="s">
        <v>258</v>
      </c>
      <c r="M26" s="331"/>
      <c r="N26" s="331"/>
      <c r="O26" s="331"/>
      <c r="P26" s="332"/>
      <c r="Q26" s="259"/>
      <c r="R26" s="25"/>
      <c r="S26" s="194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88">
        <f>'Données projet'!A40</f>
        <v>35</v>
      </c>
      <c r="B27" s="189">
        <f>'Données projet'!D40</f>
        <v>42</v>
      </c>
      <c r="C27" s="202">
        <f>'Données projet'!E40*30+SUM('Données projet'!F40:G40)*13.8+'Données projet'!H40*10</f>
        <v>17.04</v>
      </c>
      <c r="D27" s="190">
        <f t="shared" si="2"/>
        <v>715.68</v>
      </c>
      <c r="E27" s="202"/>
      <c r="F27" s="258"/>
      <c r="G27" s="253"/>
      <c r="H27" s="199"/>
      <c r="I27" s="200"/>
      <c r="K27" s="220"/>
      <c r="L27" s="333"/>
      <c r="M27" s="334"/>
      <c r="N27" s="334"/>
      <c r="O27" s="334"/>
      <c r="P27" s="335"/>
      <c r="Q27" s="259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88">
        <f>'Données projet'!A41</f>
        <v>40</v>
      </c>
      <c r="B28" s="189">
        <f>'Données projet'!D41</f>
        <v>42</v>
      </c>
      <c r="C28" s="202">
        <f>'Données projet'!E41*30+SUM('Données projet'!F41:G41)*13.8+'Données projet'!H41*10</f>
        <v>17.04</v>
      </c>
      <c r="D28" s="190">
        <f t="shared" si="2"/>
        <v>715.68</v>
      </c>
      <c r="E28" s="202"/>
      <c r="F28" s="258"/>
      <c r="G28" s="217"/>
      <c r="H28" s="199"/>
      <c r="I28" s="200"/>
      <c r="K28" s="220"/>
      <c r="Q28" s="259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88">
        <f>'Données projet'!A42</f>
        <v>45</v>
      </c>
      <c r="B29" s="189">
        <f>'Données projet'!D42</f>
        <v>42</v>
      </c>
      <c r="C29" s="202">
        <f>'Données projet'!E42*30+SUM('Données projet'!F42:G42)*13.8+'Données projet'!H42*10</f>
        <v>20.28</v>
      </c>
      <c r="D29" s="190">
        <f t="shared" si="2"/>
        <v>851.76</v>
      </c>
      <c r="E29" s="202"/>
      <c r="F29" s="258"/>
      <c r="G29" s="213"/>
      <c r="H29" s="199"/>
      <c r="I29" s="200"/>
      <c r="K29" s="220"/>
      <c r="O29" s="25"/>
      <c r="P29" s="25"/>
      <c r="Q29" s="259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88">
        <f>'Données projet'!A43</f>
        <v>50</v>
      </c>
      <c r="B30" s="189">
        <f>'Données projet'!D43</f>
        <v>40</v>
      </c>
      <c r="C30" s="202">
        <f>'Données projet'!E43*30+SUM('Données projet'!F43:G43)*13.8+'Données projet'!H43*10</f>
        <v>20.28</v>
      </c>
      <c r="D30" s="190">
        <f t="shared" si="2"/>
        <v>811.2</v>
      </c>
      <c r="E30" s="202"/>
      <c r="F30" s="258"/>
      <c r="G30" s="213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0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88">
        <f>'Données projet'!A44</f>
        <v>55</v>
      </c>
      <c r="B31" s="189">
        <f>'Données projet'!D44</f>
        <v>34</v>
      </c>
      <c r="C31" s="202">
        <f>'Données projet'!E44*30+SUM('Données projet'!F44:G44)*13.8+'Données projet'!H44*10</f>
        <v>23.52</v>
      </c>
      <c r="D31" s="190">
        <f t="shared" si="2"/>
        <v>799.68</v>
      </c>
      <c r="E31" s="202"/>
      <c r="F31" s="258"/>
      <c r="G31" s="213"/>
      <c r="H31" s="199"/>
      <c r="I31" s="200"/>
      <c r="K31" s="179"/>
      <c r="Q31" s="259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88">
        <f>'Données projet'!A45</f>
        <v>60</v>
      </c>
      <c r="B32" s="189">
        <f>'Données projet'!D45</f>
        <v>30</v>
      </c>
      <c r="C32" s="202">
        <f>'Données projet'!E45*30+SUM('Données projet'!F45:G45)*13.8+'Données projet'!H45*10</f>
        <v>23.52</v>
      </c>
      <c r="D32" s="190">
        <f t="shared" si="2"/>
        <v>705.6</v>
      </c>
      <c r="E32" s="202"/>
      <c r="F32" s="258"/>
      <c r="G32" s="213"/>
      <c r="H32" s="199"/>
      <c r="I32" s="200"/>
      <c r="K32" s="179"/>
      <c r="N32" s="5"/>
      <c r="O32" s="264" t="s">
        <v>178</v>
      </c>
      <c r="P32" s="264" t="s">
        <v>252</v>
      </c>
      <c r="Q32" s="259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88">
        <f>'Données projet'!A46</f>
        <v>65</v>
      </c>
      <c r="B33" s="189">
        <f>'Données projet'!D46</f>
        <v>26</v>
      </c>
      <c r="C33" s="202">
        <f>'Données projet'!E46*30+SUM('Données projet'!F46:G46)*13.8+'Données projet'!H46*10</f>
        <v>26.76</v>
      </c>
      <c r="D33" s="190">
        <f t="shared" si="2"/>
        <v>695.76</v>
      </c>
      <c r="E33" s="202"/>
      <c r="F33" s="258"/>
      <c r="G33" s="213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59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88">
        <f>'Données projet'!A47</f>
        <v>70</v>
      </c>
      <c r="B34" s="189">
        <f>'Données projet'!D47</f>
        <v>464</v>
      </c>
      <c r="C34" s="202">
        <f>'Données projet'!E47*30+SUM('Données projet'!F47:G47)*13.8+'Données projet'!H47*10</f>
        <v>26.76</v>
      </c>
      <c r="D34" s="190">
        <f t="shared" si="2"/>
        <v>12416.640000000001</v>
      </c>
      <c r="E34" s="202"/>
      <c r="F34" s="258"/>
      <c r="G34" s="213"/>
      <c r="H34" s="199"/>
      <c r="I34" s="200"/>
      <c r="K34" s="179"/>
      <c r="L34" s="278"/>
      <c r="M34" s="278"/>
      <c r="N34" s="279"/>
      <c r="O34" s="203">
        <f>IF(O33+1&lt;=MIN('Données projet'!$E$9:$E$18),O33+1,"STOP")</f>
        <v>1</v>
      </c>
      <c r="P34" s="193">
        <f t="shared" si="3"/>
        <v>0</v>
      </c>
      <c r="Q34" s="259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88">
        <f>'Données projet'!A48</f>
        <v>0</v>
      </c>
      <c r="B35" s="189">
        <f>'Données projet'!D48</f>
        <v>0</v>
      </c>
      <c r="C35" s="202">
        <f>'Données projet'!E48*30+SUM('Données projet'!F48:G48)*13.8+'Données projet'!H48*10</f>
        <v>0</v>
      </c>
      <c r="D35" s="190">
        <f t="shared" si="2"/>
        <v>0</v>
      </c>
      <c r="E35" s="202"/>
      <c r="F35" s="258"/>
      <c r="G35" s="213"/>
      <c r="H35" s="199"/>
      <c r="I35" s="200"/>
      <c r="K35" s="179"/>
      <c r="L35" s="278"/>
      <c r="M35" s="278"/>
      <c r="N35" s="279"/>
      <c r="O35" s="203">
        <f>IF(O34+1&lt;=MIN('Données projet'!$E$9:$E$18),O34+1,"STOP")</f>
        <v>2</v>
      </c>
      <c r="P35" s="193">
        <f t="shared" si="3"/>
        <v>0</v>
      </c>
      <c r="Q35" s="259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88">
        <f>'Données projet'!A49</f>
        <v>0</v>
      </c>
      <c r="B36" s="189">
        <f>'Données projet'!D49</f>
        <v>0</v>
      </c>
      <c r="C36" s="202">
        <f>'Données projet'!E49*150+SUM('Données projet'!F49:G49)*13.8+'Données projet'!H49*10</f>
        <v>0</v>
      </c>
      <c r="D36" s="190">
        <f t="shared" si="2"/>
        <v>0</v>
      </c>
      <c r="E36" s="202"/>
      <c r="F36" s="258"/>
      <c r="G36" s="213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59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88">
        <f>'Données projet'!A50</f>
        <v>0</v>
      </c>
      <c r="B37" s="189">
        <f>'Données projet'!D50</f>
        <v>0</v>
      </c>
      <c r="C37" s="202">
        <f>'Données projet'!E50*150+SUM('Données projet'!F50:G50)*13.8+'Données projet'!H50*10</f>
        <v>0</v>
      </c>
      <c r="D37" s="190">
        <f t="shared" si="2"/>
        <v>0</v>
      </c>
      <c r="E37" s="202"/>
      <c r="F37" s="258"/>
      <c r="G37" s="213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59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88">
        <f>'Données projet'!A51</f>
        <v>0</v>
      </c>
      <c r="B38" s="189">
        <f>'Données projet'!D51</f>
        <v>0</v>
      </c>
      <c r="C38" s="202">
        <f>'Données projet'!E51*150+SUM('Données projet'!F51:G51)*13.8+'Données projet'!H51*10</f>
        <v>0</v>
      </c>
      <c r="D38" s="190">
        <f t="shared" si="2"/>
        <v>0</v>
      </c>
      <c r="E38" s="202"/>
      <c r="F38" s="258"/>
      <c r="G38" s="213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59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88">
        <f>'Données projet'!A52</f>
        <v>0</v>
      </c>
      <c r="B39" s="189">
        <f>'Données projet'!D52</f>
        <v>0</v>
      </c>
      <c r="C39" s="202">
        <f>'Données projet'!E52*150+SUM('Données projet'!F52:G52)*13.8+'Données projet'!H52*10</f>
        <v>0</v>
      </c>
      <c r="D39" s="190">
        <f t="shared" si="2"/>
        <v>0</v>
      </c>
      <c r="E39" s="202"/>
      <c r="F39" s="258"/>
      <c r="G39" s="213"/>
      <c r="H39" s="199"/>
      <c r="I39" s="200"/>
      <c r="K39" s="220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59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88">
        <f>'Données projet'!A53</f>
        <v>0</v>
      </c>
      <c r="B40" s="189">
        <f>'Données projet'!D53</f>
        <v>0</v>
      </c>
      <c r="C40" s="202">
        <f>'Données projet'!E53*150+SUM('Données projet'!F53:G53)*13.8+'Données projet'!H53*10</f>
        <v>0</v>
      </c>
      <c r="D40" s="190">
        <f t="shared" si="2"/>
        <v>0</v>
      </c>
      <c r="E40" s="202"/>
      <c r="F40" s="258"/>
      <c r="G40" s="213"/>
      <c r="H40" s="199"/>
      <c r="I40" s="200"/>
      <c r="K40" s="220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59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88">
        <f>'Données projet'!A54</f>
        <v>0</v>
      </c>
      <c r="B41" s="189">
        <f>'Données projet'!D54</f>
        <v>0</v>
      </c>
      <c r="C41" s="202">
        <f>'Données projet'!E54*150+SUM('Données projet'!F54:G54)*13.8+'Données projet'!H54*10</f>
        <v>0</v>
      </c>
      <c r="D41" s="190">
        <f t="shared" si="2"/>
        <v>0</v>
      </c>
      <c r="E41" s="202"/>
      <c r="F41" s="258"/>
      <c r="G41" s="213"/>
      <c r="H41" s="199"/>
      <c r="I41" s="200"/>
      <c r="K41" s="220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59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88">
        <f>'Données projet'!A55</f>
        <v>0</v>
      </c>
      <c r="B42" s="189">
        <f>'Données projet'!D55</f>
        <v>0</v>
      </c>
      <c r="C42" s="202">
        <f>'Données projet'!E55*150+SUM('Données projet'!F55:G55)*13.8+'Données projet'!H55*10</f>
        <v>0</v>
      </c>
      <c r="D42" s="190">
        <f t="shared" si="2"/>
        <v>0</v>
      </c>
      <c r="E42" s="202"/>
      <c r="F42" s="258"/>
      <c r="G42" s="213"/>
      <c r="H42" s="199"/>
      <c r="I42" s="200"/>
      <c r="K42" s="220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59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5"/>
      <c r="B43" s="195"/>
      <c r="C43" s="195"/>
      <c r="D43" s="250"/>
      <c r="E43" s="250"/>
      <c r="F43" s="263"/>
      <c r="G43" s="213"/>
      <c r="H43" s="199"/>
      <c r="I43" s="200"/>
      <c r="K43" s="220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55"/>
      <c r="G44" s="213"/>
      <c r="H44" s="199"/>
      <c r="I44" s="200"/>
      <c r="K44" s="220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2" t="str">
        <f>IF('Données projet'!$B$10="","",'Données projet'!$B$10)</f>
        <v>Cèdre de l'Atlas</v>
      </c>
      <c r="C45" s="5"/>
      <c r="D45" s="5"/>
      <c r="E45" s="5"/>
      <c r="F45" s="255"/>
      <c r="G45" s="213"/>
      <c r="H45" s="199"/>
      <c r="I45" s="200"/>
      <c r="J45" s="25"/>
      <c r="K45" s="220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55"/>
      <c r="G46" s="213"/>
      <c r="H46" s="199"/>
      <c r="I46" s="200"/>
      <c r="J46" s="25"/>
      <c r="K46" s="220"/>
      <c r="L46" s="215"/>
      <c r="M46" s="215"/>
      <c r="N46" s="215"/>
      <c r="O46" s="203">
        <f>IF(O45+1&lt;=MIN('Données projet'!$E$9:$E$18),O45+1,"STOP")</f>
        <v>13</v>
      </c>
      <c r="P46" s="196">
        <f t="shared" si="3"/>
        <v>0</v>
      </c>
      <c r="Q46" s="26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1" t="s">
        <v>180</v>
      </c>
      <c r="B47" s="51" t="s">
        <v>256</v>
      </c>
      <c r="C47" s="51" t="s">
        <v>255</v>
      </c>
      <c r="D47" s="251" t="s">
        <v>252</v>
      </c>
      <c r="E47" s="251" t="s">
        <v>287</v>
      </c>
      <c r="F47" s="256"/>
      <c r="G47" s="213"/>
      <c r="H47" s="199"/>
      <c r="I47" s="200"/>
      <c r="J47" s="25"/>
      <c r="K47" s="220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5">
        <v>0</v>
      </c>
      <c r="B48" s="208" t="s">
        <v>132</v>
      </c>
      <c r="C48" s="207" t="s">
        <v>132</v>
      </c>
      <c r="D48" s="206" t="s">
        <v>132</v>
      </c>
      <c r="E48" s="202">
        <f>2567*1.12</f>
        <v>2875.0400000000004</v>
      </c>
      <c r="F48" s="256"/>
      <c r="G48" s="213"/>
      <c r="H48" s="199"/>
      <c r="I48" s="200"/>
      <c r="J48" s="25"/>
      <c r="K48" s="220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">
      <c r="A49" s="205">
        <v>1</v>
      </c>
      <c r="B49" s="208" t="s">
        <v>132</v>
      </c>
      <c r="C49" s="207" t="s">
        <v>132</v>
      </c>
      <c r="D49" s="206" t="s">
        <v>132</v>
      </c>
      <c r="E49" s="202"/>
      <c r="F49" s="256"/>
      <c r="G49" s="214"/>
      <c r="H49" s="199"/>
      <c r="I49" s="200"/>
      <c r="J49" s="215"/>
      <c r="K49" s="222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1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ht="16" x14ac:dyDescent="0.2">
      <c r="A50" s="205">
        <v>2</v>
      </c>
      <c r="B50" s="208" t="s">
        <v>132</v>
      </c>
      <c r="C50" s="207" t="s">
        <v>132</v>
      </c>
      <c r="D50" s="206" t="s">
        <v>132</v>
      </c>
      <c r="E50" s="202"/>
      <c r="F50" s="256"/>
      <c r="G50" s="216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5">
        <v>3</v>
      </c>
      <c r="B51" s="208" t="s">
        <v>132</v>
      </c>
      <c r="C51" s="207" t="s">
        <v>132</v>
      </c>
      <c r="D51" s="206" t="s">
        <v>132</v>
      </c>
      <c r="E51" s="202"/>
      <c r="F51" s="256"/>
      <c r="G51" s="216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5">
        <v>4</v>
      </c>
      <c r="B52" s="208" t="s">
        <v>132</v>
      </c>
      <c r="C52" s="207" t="s">
        <v>132</v>
      </c>
      <c r="D52" s="206" t="s">
        <v>132</v>
      </c>
      <c r="E52" s="202"/>
      <c r="F52" s="256"/>
      <c r="G52" s="216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0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5">
        <v>5</v>
      </c>
      <c r="B53" s="208" t="s">
        <v>132</v>
      </c>
      <c r="C53" s="207" t="s">
        <v>132</v>
      </c>
      <c r="D53" s="206" t="s">
        <v>132</v>
      </c>
      <c r="E53" s="202"/>
      <c r="F53" s="256"/>
      <c r="G53" s="217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0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88">
        <f>'Données projet'!A62</f>
        <v>30</v>
      </c>
      <c r="B54" s="189">
        <f>'Données projet'!D62</f>
        <v>40</v>
      </c>
      <c r="C54" s="200">
        <f>'Données projet'!E62*30+SUM('Données projet'!F62:G62)*13.8+'Données projet'!H62*10</f>
        <v>13.8</v>
      </c>
      <c r="D54" s="187">
        <f>B54*C54</f>
        <v>552</v>
      </c>
      <c r="E54" s="202"/>
      <c r="F54" s="257"/>
      <c r="G54" s="217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0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88">
        <f>'Données projet'!A63</f>
        <v>40</v>
      </c>
      <c r="B55" s="189">
        <f>'Données projet'!D63</f>
        <v>40</v>
      </c>
      <c r="C55" s="200">
        <f>'Données projet'!E63*30+SUM('Données projet'!F63:G63)*13.8+'Données projet'!H63*10</f>
        <v>17.04</v>
      </c>
      <c r="D55" s="187">
        <f t="shared" ref="D55:D73" si="4">B55*C55</f>
        <v>681.59999999999991</v>
      </c>
      <c r="E55" s="202"/>
      <c r="F55" s="257"/>
      <c r="G55" s="217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0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88">
        <f>'Données projet'!A64</f>
        <v>50</v>
      </c>
      <c r="B56" s="189">
        <f>'Données projet'!D64</f>
        <v>40</v>
      </c>
      <c r="C56" s="200">
        <f>'Données projet'!E64*30+SUM('Données projet'!F64:G64)*13.8+'Données projet'!H64*10</f>
        <v>17.04</v>
      </c>
      <c r="D56" s="187">
        <f t="shared" si="4"/>
        <v>681.59999999999991</v>
      </c>
      <c r="E56" s="202"/>
      <c r="F56" s="257"/>
      <c r="G56" s="217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0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88">
        <f>'Données projet'!A65</f>
        <v>60</v>
      </c>
      <c r="B57" s="189">
        <f>'Données projet'!D65</f>
        <v>40</v>
      </c>
      <c r="C57" s="200">
        <f>'Données projet'!E65*30+SUM('Données projet'!F65:G65)*13.8+'Données projet'!H65*10</f>
        <v>20.28</v>
      </c>
      <c r="D57" s="187">
        <f t="shared" si="4"/>
        <v>811.2</v>
      </c>
      <c r="E57" s="202"/>
      <c r="F57" s="257"/>
      <c r="G57" s="217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0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88">
        <f>'Données projet'!A66</f>
        <v>70</v>
      </c>
      <c r="B58" s="189">
        <f>'Données projet'!D66</f>
        <v>50</v>
      </c>
      <c r="C58" s="200">
        <f>'Données projet'!E66*30+SUM('Données projet'!F66:G66)*13.8+'Données projet'!H66*10</f>
        <v>20.28</v>
      </c>
      <c r="D58" s="187">
        <f t="shared" si="4"/>
        <v>1014</v>
      </c>
      <c r="E58" s="202"/>
      <c r="F58" s="257"/>
      <c r="G58" s="217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0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88">
        <f>'Données projet'!A67</f>
        <v>80</v>
      </c>
      <c r="B59" s="189">
        <f>'Données projet'!D67</f>
        <v>60</v>
      </c>
      <c r="C59" s="200">
        <f>'Données projet'!E67*70+SUM('Données projet'!F67:G67)*13.8+'Données projet'!H67*10</f>
        <v>47.52</v>
      </c>
      <c r="D59" s="187">
        <f t="shared" si="4"/>
        <v>2851.2000000000003</v>
      </c>
      <c r="E59" s="202"/>
      <c r="F59" s="257"/>
      <c r="G59" s="217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0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88">
        <f>'Données projet'!A68</f>
        <v>90</v>
      </c>
      <c r="B60" s="189">
        <f>'Données projet'!D68</f>
        <v>490</v>
      </c>
      <c r="C60" s="200">
        <f>'Données projet'!E68*70+SUM('Données projet'!F68:G68)*13.8+'Données projet'!H68*10</f>
        <v>58.76</v>
      </c>
      <c r="D60" s="187">
        <f t="shared" si="4"/>
        <v>28792.399999999998</v>
      </c>
      <c r="E60" s="202"/>
      <c r="F60" s="257"/>
      <c r="G60" s="218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0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88">
        <f>'Données projet'!A69</f>
        <v>0</v>
      </c>
      <c r="B61" s="189">
        <f>'Données projet'!D69</f>
        <v>0</v>
      </c>
      <c r="C61" s="200">
        <f>'Données projet'!E69*70+SUM('Données projet'!F69:G69)*13.8+'Données projet'!H69*10</f>
        <v>0</v>
      </c>
      <c r="D61" s="187">
        <f t="shared" si="4"/>
        <v>0</v>
      </c>
      <c r="E61" s="202"/>
      <c r="F61" s="257"/>
      <c r="G61" s="218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0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88">
        <f>'Données projet'!A70</f>
        <v>0</v>
      </c>
      <c r="B62" s="189">
        <f>'Données projet'!D70</f>
        <v>0</v>
      </c>
      <c r="C62" s="200">
        <f>'Données projet'!E70*60+SUM('Données projet'!F70:G70)*13.8+'Données projet'!H70*10</f>
        <v>0</v>
      </c>
      <c r="D62" s="187">
        <f t="shared" si="4"/>
        <v>0</v>
      </c>
      <c r="E62" s="202"/>
      <c r="F62" s="257"/>
      <c r="G62" s="218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0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88">
        <f>'Données projet'!A71</f>
        <v>0</v>
      </c>
      <c r="B63" s="189">
        <f>'Données projet'!D71</f>
        <v>0</v>
      </c>
      <c r="C63" s="200">
        <f>'Données projet'!E71*60+SUM('Données projet'!F71:G71)*13.8+'Données projet'!H71*10</f>
        <v>0</v>
      </c>
      <c r="D63" s="187">
        <f t="shared" si="4"/>
        <v>0</v>
      </c>
      <c r="E63" s="202"/>
      <c r="F63" s="257"/>
      <c r="G63" s="218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0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88">
        <f>'Données projet'!A72</f>
        <v>0</v>
      </c>
      <c r="B64" s="189">
        <f>'Données projet'!D72</f>
        <v>0</v>
      </c>
      <c r="C64" s="200">
        <f>'Données projet'!E72*60+SUM('Données projet'!F72:G72)*13.8+'Données projet'!H72*10</f>
        <v>0</v>
      </c>
      <c r="D64" s="187">
        <f t="shared" si="4"/>
        <v>0</v>
      </c>
      <c r="E64" s="202"/>
      <c r="F64" s="257"/>
      <c r="G64" s="218"/>
      <c r="H64" s="199"/>
      <c r="I64" s="200"/>
      <c r="J64" s="219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0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88">
        <f>'Données projet'!A73</f>
        <v>0</v>
      </c>
      <c r="B65" s="189">
        <f>'Données projet'!D73</f>
        <v>0</v>
      </c>
      <c r="C65" s="200">
        <f>'Données projet'!E73*60+SUM('Données projet'!F73:G73)*13.8+'Données projet'!H73*10</f>
        <v>0</v>
      </c>
      <c r="D65" s="187">
        <f t="shared" si="4"/>
        <v>0</v>
      </c>
      <c r="E65" s="202"/>
      <c r="F65" s="257"/>
      <c r="G65" s="218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0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88">
        <f>'Données projet'!A74</f>
        <v>0</v>
      </c>
      <c r="B66" s="189">
        <f>'Données projet'!D74</f>
        <v>0</v>
      </c>
      <c r="C66" s="200">
        <f>'Données projet'!E74*60+SUM('Données projet'!F74:G74)*13.8+'Données projet'!H74*10</f>
        <v>0</v>
      </c>
      <c r="D66" s="187">
        <f t="shared" si="4"/>
        <v>0</v>
      </c>
      <c r="E66" s="202"/>
      <c r="F66" s="257"/>
      <c r="G66" s="218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0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88">
        <f>'Données projet'!A75</f>
        <v>0</v>
      </c>
      <c r="B67" s="189">
        <f>'Données projet'!D75</f>
        <v>0</v>
      </c>
      <c r="C67" s="200">
        <f>'Données projet'!E75*60+SUM('Données projet'!F75:G75)*13.8+'Données projet'!H75*10</f>
        <v>0</v>
      </c>
      <c r="D67" s="187">
        <f t="shared" si="4"/>
        <v>0</v>
      </c>
      <c r="E67" s="202"/>
      <c r="F67" s="257"/>
      <c r="G67" s="218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88">
        <f>'Données projet'!A76</f>
        <v>0</v>
      </c>
      <c r="B68" s="189">
        <f>'Données projet'!D76</f>
        <v>0</v>
      </c>
      <c r="C68" s="200">
        <f>'Données projet'!E76*60+SUM('Données projet'!F76:G76)*13.8+'Données projet'!H76*10</f>
        <v>0</v>
      </c>
      <c r="D68" s="187">
        <f t="shared" si="4"/>
        <v>0</v>
      </c>
      <c r="E68" s="202"/>
      <c r="F68" s="257"/>
      <c r="G68" s="218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0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88">
        <f>'Données projet'!A77</f>
        <v>0</v>
      </c>
      <c r="B69" s="189">
        <f>'Données projet'!D77</f>
        <v>0</v>
      </c>
      <c r="C69" s="200">
        <f>'Données projet'!E77*60+SUM('Données projet'!F77:G77)*13.8+'Données projet'!H77*10</f>
        <v>0</v>
      </c>
      <c r="D69" s="187">
        <f t="shared" si="4"/>
        <v>0</v>
      </c>
      <c r="E69" s="202"/>
      <c r="F69" s="257"/>
      <c r="G69" s="218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0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88">
        <f>'Données projet'!A78</f>
        <v>0</v>
      </c>
      <c r="B70" s="189">
        <f>'Données projet'!D78</f>
        <v>0</v>
      </c>
      <c r="C70" s="200">
        <f>'Données projet'!E78*60+SUM('Données projet'!F78:G78)*13.8+'Données projet'!H78*10</f>
        <v>0</v>
      </c>
      <c r="D70" s="187">
        <f t="shared" si="4"/>
        <v>0</v>
      </c>
      <c r="E70" s="202"/>
      <c r="F70" s="257"/>
      <c r="G70" s="218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0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88">
        <f>'Données projet'!A79</f>
        <v>0</v>
      </c>
      <c r="B71" s="189">
        <f>'Données projet'!D79</f>
        <v>0</v>
      </c>
      <c r="C71" s="200">
        <f>'Données projet'!E79*60+SUM('Données projet'!F79:G79)*13.8+'Données projet'!H79*10</f>
        <v>0</v>
      </c>
      <c r="D71" s="187">
        <f t="shared" si="4"/>
        <v>0</v>
      </c>
      <c r="E71" s="202"/>
      <c r="F71" s="257"/>
      <c r="G71" s="218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0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88">
        <f>'Données projet'!A80</f>
        <v>0</v>
      </c>
      <c r="B72" s="189">
        <f>'Données projet'!D80</f>
        <v>0</v>
      </c>
      <c r="C72" s="200">
        <f>'Données projet'!E80*60+SUM('Données projet'!F80:G80)*13.8+'Données projet'!H80*10</f>
        <v>0</v>
      </c>
      <c r="D72" s="187">
        <f t="shared" si="4"/>
        <v>0</v>
      </c>
      <c r="E72" s="202"/>
      <c r="F72" s="257"/>
      <c r="G72" s="218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0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88">
        <f>'Données projet'!A81</f>
        <v>0</v>
      </c>
      <c r="B73" s="189">
        <f>'Données projet'!D81</f>
        <v>0</v>
      </c>
      <c r="C73" s="200">
        <f>'Données projet'!E81*60+SUM('Données projet'!F81:G81)*13.8+'Données projet'!H81*10</f>
        <v>0</v>
      </c>
      <c r="D73" s="187">
        <f t="shared" si="4"/>
        <v>0</v>
      </c>
      <c r="E73" s="202"/>
      <c r="F73" s="257"/>
      <c r="G73" s="218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0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55"/>
      <c r="G74" s="218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0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55"/>
      <c r="G75" s="218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0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2" t="str">
        <f>IF('Données projet'!B11="","",'Données projet'!B11)</f>
        <v>Chêne pubescent</v>
      </c>
      <c r="C76" s="5"/>
      <c r="D76" s="5"/>
      <c r="E76" s="5"/>
      <c r="F76" s="255"/>
      <c r="G76" s="218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0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55"/>
      <c r="G77" s="218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0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1" t="s">
        <v>180</v>
      </c>
      <c r="B78" s="51" t="s">
        <v>256</v>
      </c>
      <c r="C78" s="51" t="s">
        <v>255</v>
      </c>
      <c r="D78" s="251" t="s">
        <v>252</v>
      </c>
      <c r="E78" s="251" t="s">
        <v>287</v>
      </c>
      <c r="F78" s="256"/>
      <c r="G78" s="218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0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5">
        <v>0</v>
      </c>
      <c r="B79" s="208" t="s">
        <v>132</v>
      </c>
      <c r="C79" s="207" t="s">
        <v>132</v>
      </c>
      <c r="D79" s="206" t="s">
        <v>132</v>
      </c>
      <c r="E79" s="202">
        <f>1857*1.12</f>
        <v>2079.84</v>
      </c>
      <c r="F79" s="256"/>
      <c r="G79" s="218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5"/>
        <v>0</v>
      </c>
      <c r="Q79" s="260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5">
        <v>1</v>
      </c>
      <c r="B80" s="208" t="s">
        <v>132</v>
      </c>
      <c r="C80" s="207" t="s">
        <v>132</v>
      </c>
      <c r="D80" s="206" t="s">
        <v>132</v>
      </c>
      <c r="E80" s="202"/>
      <c r="F80" s="256"/>
      <c r="G80" s="216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5"/>
        <v>0</v>
      </c>
      <c r="Q80" s="260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5">
        <v>2</v>
      </c>
      <c r="B81" s="208" t="s">
        <v>132</v>
      </c>
      <c r="C81" s="207" t="s">
        <v>132</v>
      </c>
      <c r="D81" s="206" t="s">
        <v>132</v>
      </c>
      <c r="E81" s="202"/>
      <c r="F81" s="256"/>
      <c r="G81" s="216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5"/>
        <v>0</v>
      </c>
      <c r="Q81" s="260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5">
        <v>3</v>
      </c>
      <c r="B82" s="208" t="s">
        <v>132</v>
      </c>
      <c r="C82" s="207" t="s">
        <v>132</v>
      </c>
      <c r="D82" s="206" t="s">
        <v>132</v>
      </c>
      <c r="E82" s="202"/>
      <c r="F82" s="256"/>
      <c r="G82" s="216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5"/>
        <v>0</v>
      </c>
      <c r="Q82" s="260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5">
        <v>4</v>
      </c>
      <c r="B83" s="208" t="s">
        <v>132</v>
      </c>
      <c r="C83" s="207" t="s">
        <v>132</v>
      </c>
      <c r="D83" s="206" t="s">
        <v>132</v>
      </c>
      <c r="E83" s="202"/>
      <c r="F83" s="256"/>
      <c r="G83" s="216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5"/>
        <v>0</v>
      </c>
      <c r="Q83" s="260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5">
        <v>5</v>
      </c>
      <c r="B84" s="208" t="s">
        <v>132</v>
      </c>
      <c r="C84" s="207" t="s">
        <v>132</v>
      </c>
      <c r="D84" s="206" t="s">
        <v>132</v>
      </c>
      <c r="E84" s="202"/>
      <c r="F84" s="256"/>
      <c r="G84" s="217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5"/>
        <v>0</v>
      </c>
      <c r="Q84" s="260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88">
        <f>'Données projet'!A88</f>
        <v>25</v>
      </c>
      <c r="B85" s="189">
        <f>'Données projet'!D88</f>
        <v>0</v>
      </c>
      <c r="C85" s="200">
        <f>'Données projet'!E88*150+SUM('Données projet'!F88:G88)*13.8+'Données projet'!H88*10</f>
        <v>10</v>
      </c>
      <c r="D85" s="187">
        <f>B85*C85</f>
        <v>0</v>
      </c>
      <c r="E85" s="202"/>
      <c r="F85" s="257"/>
      <c r="G85" s="217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5"/>
        <v>0</v>
      </c>
      <c r="Q85" s="260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88">
        <f>'Données projet'!A89</f>
        <v>30</v>
      </c>
      <c r="B86" s="189">
        <f>'Données projet'!D89</f>
        <v>0</v>
      </c>
      <c r="C86" s="200">
        <f>'Données projet'!E89*150+SUM('Données projet'!F89:G89)*13.8+'Données projet'!H89*10</f>
        <v>10</v>
      </c>
      <c r="D86" s="187">
        <f t="shared" ref="D86:D104" si="6">B86*C86</f>
        <v>0</v>
      </c>
      <c r="E86" s="202"/>
      <c r="F86" s="257"/>
      <c r="G86" s="217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5"/>
        <v>0</v>
      </c>
      <c r="Q86" s="260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88">
        <f>'Données projet'!A90</f>
        <v>35</v>
      </c>
      <c r="B87" s="189">
        <f>'Données projet'!D90</f>
        <v>14</v>
      </c>
      <c r="C87" s="200">
        <f>'Données projet'!E90*150+SUM('Données projet'!F90:G90)*13.8+'Données projet'!H90*10</f>
        <v>10</v>
      </c>
      <c r="D87" s="187">
        <f t="shared" si="6"/>
        <v>140</v>
      </c>
      <c r="E87" s="202"/>
      <c r="F87" s="257"/>
      <c r="G87" s="217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5"/>
        <v>0</v>
      </c>
      <c r="Q87" s="260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88">
        <f>'Données projet'!A91</f>
        <v>40</v>
      </c>
      <c r="B88" s="189">
        <f>'Données projet'!D91</f>
        <v>14</v>
      </c>
      <c r="C88" s="200">
        <f>'Données projet'!E91*150+SUM('Données projet'!F91:G91)*13.8+'Données projet'!H91*10</f>
        <v>38</v>
      </c>
      <c r="D88" s="187">
        <f t="shared" si="6"/>
        <v>532</v>
      </c>
      <c r="E88" s="202"/>
      <c r="F88" s="257"/>
      <c r="G88" s="217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5"/>
        <v>0</v>
      </c>
      <c r="Q88" s="260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88">
        <f>'Données projet'!A92</f>
        <v>45</v>
      </c>
      <c r="B89" s="189">
        <f>'Données projet'!D92</f>
        <v>14</v>
      </c>
      <c r="C89" s="200">
        <f>'Données projet'!E92*150+SUM('Données projet'!F92:G92)*13.8+'Données projet'!H92*10</f>
        <v>38</v>
      </c>
      <c r="D89" s="187">
        <f t="shared" si="6"/>
        <v>532</v>
      </c>
      <c r="E89" s="202"/>
      <c r="F89" s="257"/>
      <c r="G89" s="217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5"/>
        <v>0</v>
      </c>
      <c r="Q89" s="260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88">
        <f>'Données projet'!A93</f>
        <v>50</v>
      </c>
      <c r="B90" s="189">
        <f>'Données projet'!D93</f>
        <v>14</v>
      </c>
      <c r="C90" s="200">
        <f>'Données projet'!E93*150+SUM('Données projet'!F93:G93)*13.8+'Données projet'!H93*10</f>
        <v>52</v>
      </c>
      <c r="D90" s="187">
        <f t="shared" si="6"/>
        <v>728</v>
      </c>
      <c r="E90" s="202"/>
      <c r="F90" s="257"/>
      <c r="G90" s="217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5"/>
        <v>0</v>
      </c>
      <c r="Q90" s="260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88">
        <f>'Données projet'!A94</f>
        <v>55</v>
      </c>
      <c r="B91" s="189">
        <f>'Données projet'!D94</f>
        <v>14</v>
      </c>
      <c r="C91" s="200">
        <f>'Données projet'!E94*150+SUM('Données projet'!F94:G94)*13.8+'Données projet'!H94*10</f>
        <v>52</v>
      </c>
      <c r="D91" s="187">
        <f t="shared" si="6"/>
        <v>728</v>
      </c>
      <c r="E91" s="202"/>
      <c r="F91" s="257"/>
      <c r="G91" s="218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5"/>
        <v>0</v>
      </c>
      <c r="Q91" s="260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88">
        <f>'Données projet'!A95</f>
        <v>60</v>
      </c>
      <c r="B92" s="189">
        <f>'Données projet'!D95</f>
        <v>14</v>
      </c>
      <c r="C92" s="200">
        <f>'Données projet'!E95*150+SUM('Données projet'!F95:G95)*13.8+'Données projet'!H95*10</f>
        <v>66</v>
      </c>
      <c r="D92" s="187">
        <f t="shared" si="6"/>
        <v>924</v>
      </c>
      <c r="E92" s="202"/>
      <c r="F92" s="257"/>
      <c r="G92" s="218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5"/>
        <v>0</v>
      </c>
      <c r="Q92" s="260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88">
        <f>'Données projet'!A96</f>
        <v>65</v>
      </c>
      <c r="B93" s="189">
        <f>'Données projet'!D96</f>
        <v>14</v>
      </c>
      <c r="C93" s="200">
        <f>'Données projet'!E96*150+SUM('Données projet'!F96:G96)*13.8+'Données projet'!H96*10</f>
        <v>66</v>
      </c>
      <c r="D93" s="187">
        <f t="shared" si="6"/>
        <v>924</v>
      </c>
      <c r="E93" s="202"/>
      <c r="F93" s="257"/>
      <c r="G93" s="218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5"/>
        <v>0</v>
      </c>
      <c r="Q93" s="260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88">
        <f>'Données projet'!A97</f>
        <v>70</v>
      </c>
      <c r="B94" s="189">
        <f>'Données projet'!D97</f>
        <v>14</v>
      </c>
      <c r="C94" s="200">
        <f>'Données projet'!E97*150+SUM('Données projet'!F97:G97)*13.8+'Données projet'!H97*10</f>
        <v>80</v>
      </c>
      <c r="D94" s="187">
        <f t="shared" si="6"/>
        <v>1120</v>
      </c>
      <c r="E94" s="202"/>
      <c r="F94" s="257"/>
      <c r="G94" s="218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5"/>
        <v>0</v>
      </c>
      <c r="Q94" s="260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88">
        <f>'Données projet'!A98</f>
        <v>75</v>
      </c>
      <c r="B95" s="189">
        <f>'Données projet'!D98</f>
        <v>14</v>
      </c>
      <c r="C95" s="200">
        <f>'Données projet'!E98*150+SUM('Données projet'!F98:G98)*13.8+'Données projet'!H98*10</f>
        <v>80</v>
      </c>
      <c r="D95" s="187">
        <f t="shared" si="6"/>
        <v>1120</v>
      </c>
      <c r="E95" s="202"/>
      <c r="F95" s="257"/>
      <c r="G95" s="218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5"/>
        <v>0</v>
      </c>
      <c r="Q95" s="260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88">
        <f>'Données projet'!A99</f>
        <v>80</v>
      </c>
      <c r="B96" s="189">
        <f>'Données projet'!D99</f>
        <v>14</v>
      </c>
      <c r="C96" s="200">
        <f>'Données projet'!E99*150+SUM('Données projet'!F99:G99)*13.8+'Données projet'!H99*10</f>
        <v>94</v>
      </c>
      <c r="D96" s="187">
        <f t="shared" si="6"/>
        <v>1316</v>
      </c>
      <c r="E96" s="202"/>
      <c r="F96" s="257"/>
      <c r="G96" s="218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5"/>
        <v>0</v>
      </c>
      <c r="Q96" s="260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88">
        <f>'Données projet'!A100</f>
        <v>85</v>
      </c>
      <c r="B97" s="189">
        <f>'Données projet'!D100</f>
        <v>14</v>
      </c>
      <c r="C97" s="200">
        <f>'Données projet'!E100*150+SUM('Données projet'!F100:G100)*13.8+'Données projet'!H100*10</f>
        <v>94</v>
      </c>
      <c r="D97" s="187">
        <f t="shared" si="6"/>
        <v>1316</v>
      </c>
      <c r="E97" s="202"/>
      <c r="F97" s="257"/>
      <c r="G97" s="218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7">$P$25/(1+$M$4)^O97</f>
        <v>0</v>
      </c>
      <c r="Q97" s="260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88">
        <f>'Données projet'!A101</f>
        <v>90</v>
      </c>
      <c r="B98" s="189">
        <f>'Données projet'!D101</f>
        <v>14</v>
      </c>
      <c r="C98" s="200">
        <f>'Données projet'!E101*150+SUM('Données projet'!F101:G101)*13.8+'Données projet'!H101*10</f>
        <v>108</v>
      </c>
      <c r="D98" s="187">
        <f t="shared" si="6"/>
        <v>1512</v>
      </c>
      <c r="E98" s="202"/>
      <c r="F98" s="257"/>
      <c r="G98" s="218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7"/>
        <v>0</v>
      </c>
      <c r="Q98" s="260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88">
        <f>'Données projet'!A102</f>
        <v>95</v>
      </c>
      <c r="B99" s="189">
        <f>'Données projet'!D102</f>
        <v>14</v>
      </c>
      <c r="C99" s="200">
        <f>'Données projet'!E102*150+SUM('Données projet'!F102:G102)*13.8+'Données projet'!H102*10</f>
        <v>108</v>
      </c>
      <c r="D99" s="187">
        <f t="shared" si="6"/>
        <v>1512</v>
      </c>
      <c r="E99" s="202"/>
      <c r="F99" s="257"/>
      <c r="G99" s="218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7"/>
        <v>0</v>
      </c>
      <c r="Q99" s="260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88">
        <f>'Données projet'!A103</f>
        <v>100</v>
      </c>
      <c r="B100" s="189">
        <f>'Données projet'!D103</f>
        <v>14</v>
      </c>
      <c r="C100" s="200">
        <f>'Données projet'!E103*150+SUM('Données projet'!F103:G103)*13.8+'Données projet'!H103*10</f>
        <v>122</v>
      </c>
      <c r="D100" s="187">
        <f t="shared" si="6"/>
        <v>1708</v>
      </c>
      <c r="E100" s="202"/>
      <c r="F100" s="257"/>
      <c r="G100" s="218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7"/>
        <v>0</v>
      </c>
      <c r="Q100" s="260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88">
        <f>'Données projet'!A104</f>
        <v>110</v>
      </c>
      <c r="B101" s="189">
        <f>'Données projet'!D104</f>
        <v>13</v>
      </c>
      <c r="C101" s="200">
        <f>'Données projet'!E104*150+SUM('Données projet'!F104:G104)*13.8+'Données projet'!H104*10</f>
        <v>122</v>
      </c>
      <c r="D101" s="187">
        <f t="shared" si="6"/>
        <v>1586</v>
      </c>
      <c r="E101" s="202"/>
      <c r="F101" s="257"/>
      <c r="G101" s="218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7"/>
        <v>0</v>
      </c>
      <c r="Q101" s="260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88">
        <f>'Données projet'!A105</f>
        <v>120</v>
      </c>
      <c r="B102" s="189">
        <f>'Données projet'!D105</f>
        <v>12</v>
      </c>
      <c r="C102" s="200">
        <f>'Données projet'!E105*150+SUM('Données projet'!F105:G105)*13.8+'Données projet'!H105*10</f>
        <v>122</v>
      </c>
      <c r="D102" s="187">
        <f t="shared" si="6"/>
        <v>1464</v>
      </c>
      <c r="E102" s="202"/>
      <c r="F102" s="257"/>
      <c r="G102" s="218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7"/>
        <v>0</v>
      </c>
      <c r="Q102" s="260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88">
        <f>'Données projet'!A106</f>
        <v>130</v>
      </c>
      <c r="B103" s="189">
        <f>'Données projet'!D106</f>
        <v>10</v>
      </c>
      <c r="C103" s="200">
        <f>'Données projet'!E106*150+SUM('Données projet'!F106:G106)*13.8+'Données projet'!H106*10</f>
        <v>122</v>
      </c>
      <c r="D103" s="187">
        <f t="shared" si="6"/>
        <v>1220</v>
      </c>
      <c r="E103" s="202"/>
      <c r="F103" s="257"/>
      <c r="G103" s="218"/>
      <c r="H103" s="199"/>
      <c r="I103" s="200"/>
      <c r="J103" s="5"/>
      <c r="K103" s="179"/>
      <c r="L103" s="5"/>
      <c r="M103" s="5"/>
      <c r="N103" s="5"/>
      <c r="O103" s="203">
        <f>IF(O102+1&lt;=MIN('Données projet'!$E$9:$E$18),O102+1,"STOP")</f>
        <v>70</v>
      </c>
      <c r="P103" s="193">
        <f t="shared" si="7"/>
        <v>0</v>
      </c>
      <c r="Q103" s="260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88">
        <f>'Données projet'!A107</f>
        <v>140</v>
      </c>
      <c r="B104" s="189">
        <f>'Données projet'!D107</f>
        <v>218</v>
      </c>
      <c r="C104" s="200">
        <f>'Données projet'!E107*150+SUM('Données projet'!F107:G107)*13.8+'Données projet'!H107*10</f>
        <v>122</v>
      </c>
      <c r="D104" s="187">
        <f t="shared" si="6"/>
        <v>26596</v>
      </c>
      <c r="E104" s="202"/>
      <c r="F104" s="257"/>
      <c r="G104" s="218"/>
      <c r="H104" s="199"/>
      <c r="I104" s="200"/>
      <c r="J104" s="5"/>
      <c r="K104" s="179"/>
      <c r="L104" s="5"/>
      <c r="M104" s="5"/>
      <c r="N104" s="5"/>
      <c r="O104" s="203" t="str">
        <f>IF(O103+1&lt;=MIN('Données projet'!$E$9:$E$18),O103+1,"STOP")</f>
        <v>STOP</v>
      </c>
      <c r="P104" s="193" t="e">
        <f t="shared" si="7"/>
        <v>#VALUE!</v>
      </c>
      <c r="Q104" s="260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55"/>
      <c r="G105" s="218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0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55"/>
      <c r="G106" s="218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0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2" t="str">
        <f>IF('Données projet'!B12="","",'Données projet'!B12)</f>
        <v/>
      </c>
      <c r="C107" s="5"/>
      <c r="D107" s="5"/>
      <c r="E107" s="5"/>
      <c r="F107" s="255"/>
      <c r="G107" s="218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0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55"/>
      <c r="G108" s="218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0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1" t="s">
        <v>180</v>
      </c>
      <c r="B109" s="51" t="s">
        <v>256</v>
      </c>
      <c r="C109" s="51" t="s">
        <v>255</v>
      </c>
      <c r="D109" s="251" t="s">
        <v>252</v>
      </c>
      <c r="E109" s="251" t="s">
        <v>287</v>
      </c>
      <c r="F109" s="256"/>
      <c r="G109" s="218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0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5">
        <v>0</v>
      </c>
      <c r="B110" s="208" t="s">
        <v>132</v>
      </c>
      <c r="C110" s="207" t="s">
        <v>132</v>
      </c>
      <c r="D110" s="206" t="s">
        <v>132</v>
      </c>
      <c r="E110" s="202"/>
      <c r="F110" s="256"/>
      <c r="G110" s="218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0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5">
        <v>1</v>
      </c>
      <c r="B111" s="208" t="s">
        <v>132</v>
      </c>
      <c r="C111" s="207" t="s">
        <v>132</v>
      </c>
      <c r="D111" s="206" t="s">
        <v>132</v>
      </c>
      <c r="E111" s="202"/>
      <c r="F111" s="256"/>
      <c r="G111" s="216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0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5">
        <v>2</v>
      </c>
      <c r="B112" s="208" t="s">
        <v>132</v>
      </c>
      <c r="C112" s="207" t="s">
        <v>132</v>
      </c>
      <c r="D112" s="206" t="s">
        <v>132</v>
      </c>
      <c r="E112" s="202"/>
      <c r="F112" s="256"/>
      <c r="G112" s="216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0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5">
        <v>3</v>
      </c>
      <c r="B113" s="208" t="s">
        <v>132</v>
      </c>
      <c r="C113" s="207" t="s">
        <v>132</v>
      </c>
      <c r="D113" s="206" t="s">
        <v>132</v>
      </c>
      <c r="E113" s="202"/>
      <c r="F113" s="256"/>
      <c r="G113" s="216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0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5">
        <v>4</v>
      </c>
      <c r="B114" s="208" t="s">
        <v>132</v>
      </c>
      <c r="C114" s="207" t="s">
        <v>132</v>
      </c>
      <c r="D114" s="206" t="s">
        <v>132</v>
      </c>
      <c r="E114" s="202"/>
      <c r="F114" s="256"/>
      <c r="G114" s="216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0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5">
        <v>5</v>
      </c>
      <c r="B115" s="208" t="s">
        <v>132</v>
      </c>
      <c r="C115" s="207" t="s">
        <v>132</v>
      </c>
      <c r="D115" s="206" t="s">
        <v>132</v>
      </c>
      <c r="E115" s="202"/>
      <c r="F115" s="256"/>
      <c r="G115" s="217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0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88">
        <f>'Données projet'!A114</f>
        <v>0</v>
      </c>
      <c r="B116" s="189">
        <f>'Données projet'!D114</f>
        <v>0</v>
      </c>
      <c r="C116" s="280">
        <f>'Données projet'!E114*30+SUM('Données projet'!F114:G114)*13.8+'Données projet'!H114*10</f>
        <v>0</v>
      </c>
      <c r="D116" s="187">
        <f>B116*C116</f>
        <v>0</v>
      </c>
      <c r="E116" s="202"/>
      <c r="F116" s="257"/>
      <c r="G116" s="217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0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88">
        <f>'Données projet'!A115</f>
        <v>0</v>
      </c>
      <c r="B117" s="189">
        <f>'Données projet'!D115</f>
        <v>0</v>
      </c>
      <c r="C117" s="280">
        <f>'Données projet'!E115*30+SUM('Données projet'!F115:G115)*13.8+'Données projet'!H115*10</f>
        <v>0</v>
      </c>
      <c r="D117" s="187">
        <f t="shared" ref="D117:D135" si="8">B117*C117</f>
        <v>0</v>
      </c>
      <c r="E117" s="202"/>
      <c r="F117" s="257"/>
      <c r="G117" s="217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0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88">
        <f>'Données projet'!A116</f>
        <v>0</v>
      </c>
      <c r="B118" s="189">
        <f>'Données projet'!D116</f>
        <v>0</v>
      </c>
      <c r="C118" s="280">
        <f>'Données projet'!E116*30+SUM('Données projet'!F116:G116)*13.8+'Données projet'!H116*10</f>
        <v>0</v>
      </c>
      <c r="D118" s="187">
        <f t="shared" si="8"/>
        <v>0</v>
      </c>
      <c r="E118" s="202"/>
      <c r="F118" s="257"/>
      <c r="G118" s="217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0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88">
        <f>'Données projet'!A117</f>
        <v>0</v>
      </c>
      <c r="B119" s="189">
        <f>'Données projet'!D117</f>
        <v>0</v>
      </c>
      <c r="C119" s="280">
        <f>'Données projet'!E117*30+SUM('Données projet'!F117:G117)*13.8+'Données projet'!H117*10</f>
        <v>0</v>
      </c>
      <c r="D119" s="187">
        <f t="shared" si="8"/>
        <v>0</v>
      </c>
      <c r="E119" s="202"/>
      <c r="F119" s="257"/>
      <c r="G119" s="217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0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88">
        <f>'Données projet'!A118</f>
        <v>0</v>
      </c>
      <c r="B120" s="189">
        <f>'Données projet'!D118</f>
        <v>0</v>
      </c>
      <c r="C120" s="280">
        <f>'Données projet'!E118*30+SUM('Données projet'!F118:G118)*13.8+'Données projet'!H118*10</f>
        <v>0</v>
      </c>
      <c r="D120" s="187">
        <f t="shared" si="8"/>
        <v>0</v>
      </c>
      <c r="E120" s="202"/>
      <c r="F120" s="257"/>
      <c r="G120" s="217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0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88">
        <f>'Données projet'!A119</f>
        <v>0</v>
      </c>
      <c r="B121" s="189">
        <f>'Données projet'!D119</f>
        <v>0</v>
      </c>
      <c r="C121" s="280">
        <f>'Données projet'!E119*50+SUM('Données projet'!F119:G119)*13.8+'Données projet'!H119*10</f>
        <v>0</v>
      </c>
      <c r="D121" s="187">
        <f t="shared" si="8"/>
        <v>0</v>
      </c>
      <c r="E121" s="202"/>
      <c r="F121" s="257"/>
      <c r="G121" s="217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0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88">
        <f>'Données projet'!A120</f>
        <v>0</v>
      </c>
      <c r="B122" s="189">
        <f>'Données projet'!D120</f>
        <v>0</v>
      </c>
      <c r="C122" s="280">
        <f>'Données projet'!E120*50+SUM('Données projet'!F120:G120)*13.8+'Données projet'!H120*10</f>
        <v>0</v>
      </c>
      <c r="D122" s="187">
        <f t="shared" si="8"/>
        <v>0</v>
      </c>
      <c r="E122" s="202"/>
      <c r="F122" s="257"/>
      <c r="G122" s="218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0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88">
        <f>'Données projet'!A121</f>
        <v>0</v>
      </c>
      <c r="B123" s="189">
        <f>'Données projet'!D121</f>
        <v>0</v>
      </c>
      <c r="C123" s="280">
        <f>'Données projet'!E121*50+SUM('Données projet'!F121:G121)*13.8+'Données projet'!H121*10</f>
        <v>0</v>
      </c>
      <c r="D123" s="187">
        <f t="shared" si="8"/>
        <v>0</v>
      </c>
      <c r="E123" s="202"/>
      <c r="F123" s="257"/>
      <c r="G123" s="218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0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88">
        <f>'Données projet'!A122</f>
        <v>0</v>
      </c>
      <c r="B124" s="189">
        <f>'Données projet'!D122</f>
        <v>0</v>
      </c>
      <c r="C124" s="280">
        <f>'Données projet'!E122*50+SUM('Données projet'!F122:G122)*13.8+'Données projet'!H122*10</f>
        <v>0</v>
      </c>
      <c r="D124" s="187">
        <f t="shared" si="8"/>
        <v>0</v>
      </c>
      <c r="E124" s="202"/>
      <c r="F124" s="257"/>
      <c r="G124" s="218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0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88">
        <f>'Données projet'!A123</f>
        <v>0</v>
      </c>
      <c r="B125" s="189">
        <f>'Données projet'!D123</f>
        <v>0</v>
      </c>
      <c r="C125" s="280">
        <f>'Données projet'!E123*50+SUM('Données projet'!F123:G123)*13.8+'Données projet'!H123*10</f>
        <v>0</v>
      </c>
      <c r="D125" s="187">
        <f t="shared" si="8"/>
        <v>0</v>
      </c>
      <c r="E125" s="202"/>
      <c r="F125" s="257"/>
      <c r="G125" s="218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0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88">
        <f>'Données projet'!A124</f>
        <v>0</v>
      </c>
      <c r="B126" s="189">
        <f>'Données projet'!D124</f>
        <v>0</v>
      </c>
      <c r="C126" s="280">
        <f>'Données projet'!E124*50+SUM('Données projet'!F124:G124)*13.8+'Données projet'!H124*10</f>
        <v>0</v>
      </c>
      <c r="D126" s="187">
        <f t="shared" si="8"/>
        <v>0</v>
      </c>
      <c r="E126" s="202"/>
      <c r="F126" s="257"/>
      <c r="G126" s="218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0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88">
        <f>'Données projet'!A125</f>
        <v>0</v>
      </c>
      <c r="B127" s="189">
        <f>'Données projet'!D125</f>
        <v>0</v>
      </c>
      <c r="C127" s="280">
        <f>'Données projet'!E125*50+SUM('Données projet'!F125:G125)*13.8+'Données projet'!H125*10</f>
        <v>0</v>
      </c>
      <c r="D127" s="187">
        <f t="shared" si="8"/>
        <v>0</v>
      </c>
      <c r="E127" s="202"/>
      <c r="F127" s="257"/>
      <c r="G127" s="218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0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88">
        <f>'Données projet'!A126</f>
        <v>0</v>
      </c>
      <c r="B128" s="189">
        <f>'Données projet'!D126</f>
        <v>0</v>
      </c>
      <c r="C128" s="280">
        <f>'Données projet'!E126*50+SUM('Données projet'!F126:G126)*13.8+'Données projet'!H126*10</f>
        <v>0</v>
      </c>
      <c r="D128" s="187">
        <f t="shared" si="8"/>
        <v>0</v>
      </c>
      <c r="E128" s="202"/>
      <c r="F128" s="257"/>
      <c r="G128" s="218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0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88">
        <f>'Données projet'!A127</f>
        <v>0</v>
      </c>
      <c r="B129" s="189">
        <f>'Données projet'!D127</f>
        <v>0</v>
      </c>
      <c r="C129" s="280">
        <f>'Données projet'!E127*50+SUM('Données projet'!F127:G127)*13.8+'Données projet'!H127*10</f>
        <v>0</v>
      </c>
      <c r="D129" s="187">
        <f t="shared" si="8"/>
        <v>0</v>
      </c>
      <c r="E129" s="202"/>
      <c r="F129" s="257"/>
      <c r="G129" s="218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0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88">
        <f>'Données projet'!A128</f>
        <v>0</v>
      </c>
      <c r="B130" s="189">
        <f>'Données projet'!D128</f>
        <v>0</v>
      </c>
      <c r="C130" s="280">
        <f>'Données projet'!E128*50+SUM('Données projet'!F128:G128)*13.8+'Données projet'!H128*10</f>
        <v>0</v>
      </c>
      <c r="D130" s="187">
        <f t="shared" si="8"/>
        <v>0</v>
      </c>
      <c r="E130" s="202"/>
      <c r="F130" s="257"/>
      <c r="G130" s="218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0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88">
        <f>'Données projet'!A129</f>
        <v>0</v>
      </c>
      <c r="B131" s="189">
        <f>'Données projet'!D129</f>
        <v>0</v>
      </c>
      <c r="C131" s="280">
        <f>'Données projet'!E129*50+SUM('Données projet'!F129:G129)*13.8+'Données projet'!H129*10</f>
        <v>0</v>
      </c>
      <c r="D131" s="187">
        <f t="shared" si="8"/>
        <v>0</v>
      </c>
      <c r="E131" s="202"/>
      <c r="F131" s="257"/>
      <c r="G131" s="218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0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88">
        <f>'Données projet'!A130</f>
        <v>0</v>
      </c>
      <c r="B132" s="189">
        <f>'Données projet'!D130</f>
        <v>0</v>
      </c>
      <c r="C132" s="280">
        <f>'Données projet'!E130*50+SUM('Données projet'!F130:G130)*13.8+'Données projet'!H130*10</f>
        <v>0</v>
      </c>
      <c r="D132" s="187">
        <f t="shared" si="8"/>
        <v>0</v>
      </c>
      <c r="E132" s="202"/>
      <c r="F132" s="257"/>
      <c r="G132" s="218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0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88">
        <f>'Données projet'!A131</f>
        <v>0</v>
      </c>
      <c r="B133" s="189">
        <f>'Données projet'!D131</f>
        <v>0</v>
      </c>
      <c r="C133" s="280">
        <f>'Données projet'!E131*50+SUM('Données projet'!F131:G131)*13.8+'Données projet'!H131*10</f>
        <v>0</v>
      </c>
      <c r="D133" s="187">
        <f t="shared" si="8"/>
        <v>0</v>
      </c>
      <c r="E133" s="202"/>
      <c r="F133" s="257"/>
      <c r="G133" s="218"/>
      <c r="H133" s="199"/>
      <c r="I133" s="200"/>
      <c r="J133" s="5"/>
      <c r="K133" s="179"/>
      <c r="Q133" s="260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88">
        <f>'Données projet'!A132</f>
        <v>0</v>
      </c>
      <c r="B134" s="189">
        <f>'Données projet'!D132</f>
        <v>0</v>
      </c>
      <c r="C134" s="280">
        <f>'Données projet'!E132*50+SUM('Données projet'!F132:G132)*13.8+'Données projet'!H132*10</f>
        <v>0</v>
      </c>
      <c r="D134" s="187">
        <f t="shared" si="8"/>
        <v>0</v>
      </c>
      <c r="E134" s="202"/>
      <c r="F134" s="257"/>
      <c r="G134" s="218"/>
      <c r="H134" s="199"/>
      <c r="I134" s="200"/>
      <c r="J134" s="5"/>
      <c r="K134" s="179"/>
      <c r="Q134" s="260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88">
        <f>'Données projet'!A133</f>
        <v>0</v>
      </c>
      <c r="B135" s="189">
        <f>'Données projet'!D133</f>
        <v>0</v>
      </c>
      <c r="C135" s="280">
        <f>'Données projet'!E133*50+SUM('Données projet'!F133:G133)*13.8+'Données projet'!H133*10</f>
        <v>0</v>
      </c>
      <c r="D135" s="187">
        <f t="shared" si="8"/>
        <v>0</v>
      </c>
      <c r="E135" s="202"/>
      <c r="F135" s="257"/>
      <c r="G135" s="218"/>
      <c r="H135" s="199"/>
      <c r="I135" s="200"/>
      <c r="J135" s="5"/>
      <c r="K135" s="179"/>
      <c r="Q135" s="260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55"/>
      <c r="G136" s="218"/>
      <c r="H136" s="199"/>
      <c r="I136" s="200"/>
      <c r="J136" s="5"/>
      <c r="K136" s="179"/>
      <c r="L136" s="5"/>
      <c r="M136" s="5"/>
      <c r="N136" s="5"/>
      <c r="Q136" s="260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55"/>
      <c r="G137" s="218"/>
      <c r="H137" s="199"/>
      <c r="I137" s="200"/>
      <c r="J137" s="5"/>
      <c r="K137" s="179"/>
      <c r="L137" s="5"/>
      <c r="M137" s="5"/>
      <c r="N137" s="5"/>
      <c r="Q137" s="260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2" t="str">
        <f>IF('Données projet'!B13="","",'Données projet'!B13)</f>
        <v/>
      </c>
      <c r="C138" s="5"/>
      <c r="D138" s="5"/>
      <c r="E138" s="5"/>
      <c r="F138" s="255"/>
      <c r="G138" s="218"/>
      <c r="H138" s="199"/>
      <c r="I138" s="200"/>
      <c r="J138" s="5"/>
      <c r="K138" s="179"/>
      <c r="L138" s="5"/>
      <c r="M138" s="5"/>
      <c r="N138" s="5"/>
      <c r="Q138" s="260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55"/>
      <c r="G139" s="218"/>
      <c r="H139" s="199"/>
      <c r="I139" s="200"/>
      <c r="J139" s="5"/>
      <c r="K139" s="179"/>
      <c r="L139" s="5"/>
      <c r="M139" s="5"/>
      <c r="N139" s="5"/>
      <c r="Q139" s="260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1" t="s">
        <v>180</v>
      </c>
      <c r="B140" s="51" t="s">
        <v>256</v>
      </c>
      <c r="C140" s="51" t="s">
        <v>255</v>
      </c>
      <c r="D140" s="251" t="s">
        <v>252</v>
      </c>
      <c r="E140" s="251" t="s">
        <v>287</v>
      </c>
      <c r="F140" s="256"/>
      <c r="G140" s="218"/>
      <c r="H140" s="199"/>
      <c r="I140" s="200"/>
      <c r="J140" s="5"/>
      <c r="K140" s="179"/>
      <c r="L140" s="5"/>
      <c r="M140" s="5"/>
      <c r="N140" s="5"/>
      <c r="Q140" s="260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5">
        <v>0</v>
      </c>
      <c r="B141" s="208" t="s">
        <v>132</v>
      </c>
      <c r="C141" s="207" t="s">
        <v>132</v>
      </c>
      <c r="D141" s="206" t="s">
        <v>132</v>
      </c>
      <c r="E141" s="202"/>
      <c r="F141" s="256"/>
      <c r="G141" s="218"/>
      <c r="H141" s="199"/>
      <c r="I141" s="200"/>
      <c r="J141" s="5"/>
      <c r="K141" s="179"/>
      <c r="L141" s="5"/>
      <c r="M141" s="5"/>
      <c r="N141" s="5"/>
      <c r="Q141" s="260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5">
        <v>1</v>
      </c>
      <c r="B142" s="208" t="s">
        <v>132</v>
      </c>
      <c r="C142" s="207" t="s">
        <v>132</v>
      </c>
      <c r="D142" s="206" t="s">
        <v>132</v>
      </c>
      <c r="E142" s="202"/>
      <c r="F142" s="256"/>
      <c r="G142" s="216"/>
      <c r="H142" s="199"/>
      <c r="I142" s="200"/>
      <c r="J142" s="5"/>
      <c r="K142" s="179"/>
      <c r="L142" s="5"/>
      <c r="M142" s="5"/>
      <c r="N142" s="5"/>
      <c r="Q142" s="260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5">
        <v>2</v>
      </c>
      <c r="B143" s="208" t="s">
        <v>132</v>
      </c>
      <c r="C143" s="207" t="s">
        <v>132</v>
      </c>
      <c r="D143" s="206" t="s">
        <v>132</v>
      </c>
      <c r="E143" s="202"/>
      <c r="F143" s="256"/>
      <c r="G143" s="216"/>
      <c r="H143" s="199"/>
      <c r="I143" s="200"/>
      <c r="J143" s="5"/>
      <c r="K143" s="179"/>
      <c r="L143" s="5"/>
      <c r="M143" s="5"/>
      <c r="N143" s="5"/>
      <c r="Q143" s="260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5">
        <v>3</v>
      </c>
      <c r="B144" s="208" t="s">
        <v>132</v>
      </c>
      <c r="C144" s="207" t="s">
        <v>132</v>
      </c>
      <c r="D144" s="206" t="s">
        <v>132</v>
      </c>
      <c r="E144" s="202"/>
      <c r="F144" s="256"/>
      <c r="G144" s="216"/>
      <c r="H144" s="199"/>
      <c r="I144" s="200"/>
      <c r="J144" s="5"/>
      <c r="K144" s="179"/>
      <c r="L144" s="5"/>
      <c r="M144" s="5"/>
      <c r="N144" s="5"/>
      <c r="Q144" s="260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5">
        <v>4</v>
      </c>
      <c r="B145" s="208" t="s">
        <v>132</v>
      </c>
      <c r="C145" s="207" t="s">
        <v>132</v>
      </c>
      <c r="D145" s="206" t="s">
        <v>132</v>
      </c>
      <c r="E145" s="202"/>
      <c r="F145" s="256"/>
      <c r="G145" s="216"/>
      <c r="H145" s="199"/>
      <c r="I145" s="200"/>
      <c r="J145" s="5"/>
      <c r="K145" s="179"/>
      <c r="L145" s="5"/>
      <c r="M145" s="5"/>
      <c r="N145" s="5"/>
      <c r="Q145" s="260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5">
        <v>5</v>
      </c>
      <c r="B146" s="208" t="s">
        <v>132</v>
      </c>
      <c r="C146" s="207" t="s">
        <v>132</v>
      </c>
      <c r="D146" s="206" t="s">
        <v>132</v>
      </c>
      <c r="E146" s="202"/>
      <c r="F146" s="256"/>
      <c r="G146" s="217"/>
      <c r="H146" s="199"/>
      <c r="I146" s="200"/>
      <c r="J146" s="5"/>
      <c r="K146" s="179"/>
      <c r="L146" s="5"/>
      <c r="M146" s="5"/>
      <c r="N146" s="5"/>
      <c r="Q146" s="260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3">
        <f>'Données projet'!D140</f>
        <v>0</v>
      </c>
      <c r="C147" s="200">
        <f>'Données projet'!E140*300+SUM('Données projet'!F140:G140)*13.8+'Données projet'!H140*10</f>
        <v>0</v>
      </c>
      <c r="D147" s="190">
        <f>B147*C147</f>
        <v>0</v>
      </c>
      <c r="E147" s="202"/>
      <c r="F147" s="258"/>
      <c r="G147" s="217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3">
        <f>'Données projet'!D141</f>
        <v>0</v>
      </c>
      <c r="C148" s="200">
        <f>'Données projet'!E141*300+SUM('Données projet'!F141:G141)*13.8+'Données projet'!H141*10</f>
        <v>0</v>
      </c>
      <c r="D148" s="190">
        <f t="shared" ref="D148:D166" si="10">B148*C148</f>
        <v>0</v>
      </c>
      <c r="E148" s="202"/>
      <c r="F148" s="258"/>
      <c r="G148" s="217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3">
        <f>'Données projet'!D142</f>
        <v>0</v>
      </c>
      <c r="C149" s="200">
        <f>'Données projet'!E142*300+SUM('Données projet'!F142:G142)*13.8+'Données projet'!H142*10</f>
        <v>0</v>
      </c>
      <c r="D149" s="190">
        <f t="shared" si="10"/>
        <v>0</v>
      </c>
      <c r="E149" s="202"/>
      <c r="F149" s="258"/>
      <c r="G149" s="217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3">
        <f>'Données projet'!D143</f>
        <v>0</v>
      </c>
      <c r="C150" s="200">
        <f>'Données projet'!E143*300+SUM('Données projet'!F143:G143)*13.8+'Données projet'!H143*10</f>
        <v>0</v>
      </c>
      <c r="D150" s="190">
        <f t="shared" si="10"/>
        <v>0</v>
      </c>
      <c r="E150" s="202"/>
      <c r="F150" s="258"/>
      <c r="G150" s="217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3">
        <f>'Données projet'!D144</f>
        <v>0</v>
      </c>
      <c r="C151" s="200">
        <f>'Données projet'!E144*300+SUM('Données projet'!F144:G144)*13.8+'Données projet'!H144*10</f>
        <v>0</v>
      </c>
      <c r="D151" s="190">
        <f t="shared" si="10"/>
        <v>0</v>
      </c>
      <c r="E151" s="202"/>
      <c r="F151" s="258"/>
      <c r="G151" s="217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3">
        <f>'Données projet'!D145</f>
        <v>0</v>
      </c>
      <c r="C152" s="200">
        <f>'Données projet'!E145*300+SUM('Données projet'!F145:G145)*13.8+'Données projet'!H145*10</f>
        <v>0</v>
      </c>
      <c r="D152" s="190">
        <f t="shared" si="10"/>
        <v>0</v>
      </c>
      <c r="E152" s="202"/>
      <c r="F152" s="258"/>
      <c r="G152" s="217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3">
        <f>'Données projet'!D146</f>
        <v>0</v>
      </c>
      <c r="C153" s="200">
        <f>'Données projet'!E146*300+SUM('Données projet'!F146:G146)*13.8+'Données projet'!H146*10</f>
        <v>0</v>
      </c>
      <c r="D153" s="190">
        <f t="shared" si="10"/>
        <v>0</v>
      </c>
      <c r="E153" s="202"/>
      <c r="F153" s="258"/>
      <c r="G153" s="213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3">
        <f>'Données projet'!D147</f>
        <v>0</v>
      </c>
      <c r="C154" s="200">
        <f>'Données projet'!E147*300+SUM('Données projet'!F147:G147)*13.8+'Données projet'!H147*10</f>
        <v>0</v>
      </c>
      <c r="D154" s="190">
        <f t="shared" si="10"/>
        <v>0</v>
      </c>
      <c r="E154" s="202"/>
      <c r="F154" s="258"/>
      <c r="G154" s="213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3">
        <f>'Données projet'!D148</f>
        <v>0</v>
      </c>
      <c r="C155" s="200">
        <f>'Données projet'!E148*300+SUM('Données projet'!F148:G148)*13.8+'Données projet'!H148*10</f>
        <v>0</v>
      </c>
      <c r="D155" s="190">
        <f t="shared" si="10"/>
        <v>0</v>
      </c>
      <c r="E155" s="202"/>
      <c r="F155" s="258"/>
      <c r="G155" s="213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3">
        <f>'Données projet'!D149</f>
        <v>0</v>
      </c>
      <c r="C156" s="200">
        <f>'Données projet'!E149*300+SUM('Données projet'!F149:G149)*13.8+'Données projet'!H149*10</f>
        <v>0</v>
      </c>
      <c r="D156" s="190">
        <f t="shared" si="10"/>
        <v>0</v>
      </c>
      <c r="E156" s="202"/>
      <c r="F156" s="258"/>
      <c r="G156" s="213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3">
        <f>'Données projet'!D150</f>
        <v>0</v>
      </c>
      <c r="C157" s="200">
        <f>'Données projet'!E150*300+SUM('Données projet'!F150:G150)*13.8+'Données projet'!H150*10</f>
        <v>0</v>
      </c>
      <c r="D157" s="190">
        <f t="shared" si="10"/>
        <v>0</v>
      </c>
      <c r="E157" s="202"/>
      <c r="F157" s="258"/>
      <c r="G157" s="213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3">
        <f>'Données projet'!D151</f>
        <v>0</v>
      </c>
      <c r="C158" s="200">
        <f>'Données projet'!E151*300+SUM('Données projet'!F151:G151)*13.8+'Données projet'!H151*10</f>
        <v>0</v>
      </c>
      <c r="D158" s="190">
        <f t="shared" si="10"/>
        <v>0</v>
      </c>
      <c r="E158" s="202"/>
      <c r="F158" s="258"/>
      <c r="G158" s="213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3">
        <f>'Données projet'!D152</f>
        <v>0</v>
      </c>
      <c r="C159" s="200">
        <f>'Données projet'!E152*300+SUM('Données projet'!F152:G152)*13.8+'Données projet'!H152*10</f>
        <v>0</v>
      </c>
      <c r="D159" s="190">
        <f t="shared" si="10"/>
        <v>0</v>
      </c>
      <c r="E159" s="202"/>
      <c r="F159" s="258"/>
      <c r="G159" s="213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3">
        <f>'Données projet'!D153</f>
        <v>0</v>
      </c>
      <c r="C160" s="200">
        <f>'Données projet'!E153*300+SUM('Données projet'!F153:G153)*13.8+'Données projet'!H153*10</f>
        <v>0</v>
      </c>
      <c r="D160" s="190">
        <f t="shared" si="10"/>
        <v>0</v>
      </c>
      <c r="E160" s="202"/>
      <c r="F160" s="258"/>
      <c r="G160" s="213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3">
        <f>'Données projet'!D154</f>
        <v>0</v>
      </c>
      <c r="C161" s="200">
        <f>'Données projet'!E154*300+SUM('Données projet'!F154:G154)*13.8+'Données projet'!H154*10</f>
        <v>0</v>
      </c>
      <c r="D161" s="190">
        <f t="shared" si="10"/>
        <v>0</v>
      </c>
      <c r="E161" s="202"/>
      <c r="F161" s="258"/>
      <c r="G161" s="213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3">
        <f>'Données projet'!D155</f>
        <v>0</v>
      </c>
      <c r="C162" s="200">
        <f>'Données projet'!E155*300+SUM('Données projet'!F155:G155)*13.8+'Données projet'!H155*10</f>
        <v>0</v>
      </c>
      <c r="D162" s="190">
        <f t="shared" si="10"/>
        <v>0</v>
      </c>
      <c r="E162" s="202"/>
      <c r="F162" s="258"/>
      <c r="G162" s="213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3">
        <f>'Données projet'!D156</f>
        <v>0</v>
      </c>
      <c r="C163" s="200">
        <f>'Données projet'!E156*300+SUM('Données projet'!F156:G156)*13.8+'Données projet'!H156*10</f>
        <v>0</v>
      </c>
      <c r="D163" s="190">
        <f t="shared" si="10"/>
        <v>0</v>
      </c>
      <c r="E163" s="202"/>
      <c r="F163" s="258"/>
      <c r="G163" s="213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3">
        <f>'Données projet'!D157</f>
        <v>0</v>
      </c>
      <c r="C164" s="200">
        <f>'Données projet'!E157*300+SUM('Données projet'!F157:G157)*13.8+'Données projet'!H157*10</f>
        <v>0</v>
      </c>
      <c r="D164" s="190">
        <f t="shared" si="10"/>
        <v>0</v>
      </c>
      <c r="E164" s="202"/>
      <c r="F164" s="258"/>
      <c r="G164" s="213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3">
        <f>'Données projet'!D158</f>
        <v>0</v>
      </c>
      <c r="C165" s="200">
        <f>'Données projet'!E158*300+SUM('Données projet'!F158:G158)*13.8+'Données projet'!H158*10</f>
        <v>0</v>
      </c>
      <c r="D165" s="190">
        <f t="shared" si="10"/>
        <v>0</v>
      </c>
      <c r="E165" s="202"/>
      <c r="F165" s="258"/>
      <c r="G165" s="213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3">
        <f>'Données projet'!D159</f>
        <v>0</v>
      </c>
      <c r="C166" s="200">
        <f>'Données projet'!E159*300+SUM('Données projet'!F159:G159)*13.8+'Données projet'!H159*10</f>
        <v>0</v>
      </c>
      <c r="D166" s="190">
        <f t="shared" si="10"/>
        <v>0</v>
      </c>
      <c r="E166" s="202"/>
      <c r="F166" s="258"/>
      <c r="G166" s="213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55"/>
      <c r="G167" s="213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55"/>
      <c r="G168" s="213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2" t="str">
        <f>IF('Données projet'!B14="","",'Données projet'!B14)</f>
        <v/>
      </c>
      <c r="C169" s="5"/>
      <c r="D169" s="5"/>
      <c r="E169" s="5"/>
      <c r="F169" s="255"/>
      <c r="G169" s="213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55"/>
      <c r="G170" s="213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1" t="s">
        <v>180</v>
      </c>
      <c r="B171" s="51" t="s">
        <v>256</v>
      </c>
      <c r="C171" s="51" t="s">
        <v>255</v>
      </c>
      <c r="D171" s="251" t="s">
        <v>252</v>
      </c>
      <c r="E171" s="251" t="s">
        <v>287</v>
      </c>
      <c r="F171" s="256"/>
      <c r="G171" s="213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5">
        <v>0</v>
      </c>
      <c r="B172" s="208" t="s">
        <v>132</v>
      </c>
      <c r="C172" s="207" t="s">
        <v>132</v>
      </c>
      <c r="D172" s="206" t="s">
        <v>132</v>
      </c>
      <c r="E172" s="202"/>
      <c r="F172" s="256"/>
      <c r="G172" s="213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5">
        <v>1</v>
      </c>
      <c r="B173" s="208" t="s">
        <v>132</v>
      </c>
      <c r="C173" s="207" t="s">
        <v>132</v>
      </c>
      <c r="D173" s="206" t="s">
        <v>132</v>
      </c>
      <c r="E173" s="202"/>
      <c r="F173" s="256"/>
      <c r="G173" s="216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5">
        <v>2</v>
      </c>
      <c r="B174" s="208" t="s">
        <v>132</v>
      </c>
      <c r="C174" s="207" t="s">
        <v>132</v>
      </c>
      <c r="D174" s="206" t="s">
        <v>132</v>
      </c>
      <c r="E174" s="202"/>
      <c r="F174" s="256"/>
      <c r="G174" s="216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5">
        <v>3</v>
      </c>
      <c r="B175" s="208" t="s">
        <v>132</v>
      </c>
      <c r="C175" s="207" t="s">
        <v>132</v>
      </c>
      <c r="D175" s="206" t="s">
        <v>132</v>
      </c>
      <c r="E175" s="202"/>
      <c r="F175" s="256"/>
      <c r="G175" s="216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5">
        <v>4</v>
      </c>
      <c r="B176" s="208" t="s">
        <v>132</v>
      </c>
      <c r="C176" s="207" t="s">
        <v>132</v>
      </c>
      <c r="D176" s="206" t="s">
        <v>132</v>
      </c>
      <c r="E176" s="202"/>
      <c r="F176" s="256"/>
      <c r="G176" s="216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5">
        <v>5</v>
      </c>
      <c r="B177" s="208" t="s">
        <v>132</v>
      </c>
      <c r="C177" s="207" t="s">
        <v>132</v>
      </c>
      <c r="D177" s="206" t="s">
        <v>132</v>
      </c>
      <c r="E177" s="202"/>
      <c r="F177" s="256"/>
      <c r="G177" s="217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88">
        <f>'Données projet'!A166</f>
        <v>0</v>
      </c>
      <c r="B178" s="189">
        <f>'Données projet'!D166</f>
        <v>0</v>
      </c>
      <c r="C178" s="202">
        <f>'Données projet'!E166*80+SUM('Données projet'!F166:G166)*13.8+'Données projet'!H166*10</f>
        <v>0</v>
      </c>
      <c r="D178" s="187">
        <f>B178*C178</f>
        <v>0</v>
      </c>
      <c r="E178" s="202"/>
      <c r="F178" s="257"/>
      <c r="G178" s="217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88">
        <f>'Données projet'!A167</f>
        <v>0</v>
      </c>
      <c r="B179" s="189">
        <f>'Données projet'!D167</f>
        <v>0</v>
      </c>
      <c r="C179" s="202">
        <f>'Données projet'!E167*80+SUM('Données projet'!F167:G167)*13.8+'Données projet'!H167*10</f>
        <v>0</v>
      </c>
      <c r="D179" s="187">
        <f t="shared" ref="D179:D197" si="11">B179*C179</f>
        <v>0</v>
      </c>
      <c r="E179" s="202"/>
      <c r="F179" s="257"/>
      <c r="G179" s="217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88">
        <f>'Données projet'!A168</f>
        <v>0</v>
      </c>
      <c r="B180" s="189">
        <f>'Données projet'!D168</f>
        <v>0</v>
      </c>
      <c r="C180" s="202">
        <f>'Données projet'!E168*80+SUM('Données projet'!F168:G168)*13.8+'Données projet'!H168*10</f>
        <v>0</v>
      </c>
      <c r="D180" s="187">
        <f t="shared" si="11"/>
        <v>0</v>
      </c>
      <c r="E180" s="202"/>
      <c r="F180" s="257"/>
      <c r="G180" s="217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88">
        <f>'Données projet'!A169</f>
        <v>0</v>
      </c>
      <c r="B181" s="189">
        <f>'Données projet'!D169</f>
        <v>0</v>
      </c>
      <c r="C181" s="202">
        <f>'Données projet'!E169*80+SUM('Données projet'!F169:G169)*13.8+'Données projet'!H169*10</f>
        <v>0</v>
      </c>
      <c r="D181" s="187">
        <f t="shared" si="11"/>
        <v>0</v>
      </c>
      <c r="E181" s="202"/>
      <c r="F181" s="257"/>
      <c r="G181" s="217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88">
        <f>'Données projet'!A170</f>
        <v>0</v>
      </c>
      <c r="B182" s="189">
        <f>'Données projet'!D170</f>
        <v>0</v>
      </c>
      <c r="C182" s="202">
        <f>'Données projet'!E170*80+SUM('Données projet'!F170:G170)*13.8+'Données projet'!H170*10</f>
        <v>0</v>
      </c>
      <c r="D182" s="187">
        <f t="shared" si="11"/>
        <v>0</v>
      </c>
      <c r="E182" s="202"/>
      <c r="F182" s="257"/>
      <c r="G182" s="217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88">
        <f>'Données projet'!A171</f>
        <v>0</v>
      </c>
      <c r="B183" s="189">
        <f>'Données projet'!D171</f>
        <v>0</v>
      </c>
      <c r="C183" s="202">
        <f>'Données projet'!E171*80+SUM('Données projet'!F171:G171)*13.8+'Données projet'!H171*10</f>
        <v>0</v>
      </c>
      <c r="D183" s="187">
        <f t="shared" si="11"/>
        <v>0</v>
      </c>
      <c r="E183" s="202"/>
      <c r="F183" s="257"/>
      <c r="G183" s="217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88">
        <f>'Données projet'!A172</f>
        <v>0</v>
      </c>
      <c r="B184" s="189">
        <f>'Données projet'!D172</f>
        <v>0</v>
      </c>
      <c r="C184" s="202">
        <f>'Données projet'!E172*80+SUM('Données projet'!F172:G172)*13.8+'Données projet'!H172*10</f>
        <v>0</v>
      </c>
      <c r="D184" s="187">
        <f t="shared" si="11"/>
        <v>0</v>
      </c>
      <c r="E184" s="202"/>
      <c r="F184" s="257"/>
      <c r="G184" s="218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88">
        <f>'Données projet'!A173</f>
        <v>0</v>
      </c>
      <c r="B185" s="189">
        <f>'Données projet'!D173</f>
        <v>0</v>
      </c>
      <c r="C185" s="202">
        <f>'Données projet'!E173*80+SUM('Données projet'!F173:G173)*13.8+'Données projet'!H173*10</f>
        <v>0</v>
      </c>
      <c r="D185" s="187">
        <f t="shared" si="11"/>
        <v>0</v>
      </c>
      <c r="E185" s="202"/>
      <c r="F185" s="257"/>
      <c r="G185" s="218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88">
        <f>'Données projet'!A174</f>
        <v>0</v>
      </c>
      <c r="B186" s="189">
        <f>'Données projet'!D174</f>
        <v>0</v>
      </c>
      <c r="C186" s="202">
        <f>'Données projet'!E174*80+SUM('Données projet'!F174:G174)*13.8+'Données projet'!H174*10</f>
        <v>0</v>
      </c>
      <c r="D186" s="187">
        <f t="shared" si="11"/>
        <v>0</v>
      </c>
      <c r="E186" s="202"/>
      <c r="F186" s="257"/>
      <c r="G186" s="218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88">
        <f>'Données projet'!A175</f>
        <v>0</v>
      </c>
      <c r="B187" s="189">
        <f>'Données projet'!D175</f>
        <v>0</v>
      </c>
      <c r="C187" s="202">
        <f>'Données projet'!E175*80+SUM('Données projet'!F175:G175)*13.8+'Données projet'!H175*10</f>
        <v>0</v>
      </c>
      <c r="D187" s="187">
        <f t="shared" si="11"/>
        <v>0</v>
      </c>
      <c r="E187" s="202"/>
      <c r="F187" s="257"/>
      <c r="G187" s="218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88">
        <f>'Données projet'!A176</f>
        <v>0</v>
      </c>
      <c r="B188" s="189">
        <f>'Données projet'!D176</f>
        <v>0</v>
      </c>
      <c r="C188" s="202">
        <f>'Données projet'!E176*80+SUM('Données projet'!F176:G176)*13.8+'Données projet'!H176*10</f>
        <v>0</v>
      </c>
      <c r="D188" s="187">
        <f t="shared" si="11"/>
        <v>0</v>
      </c>
      <c r="E188" s="202"/>
      <c r="F188" s="257"/>
      <c r="G188" s="218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88">
        <f>'Données projet'!A177</f>
        <v>0</v>
      </c>
      <c r="B189" s="189">
        <f>'Données projet'!D177</f>
        <v>0</v>
      </c>
      <c r="C189" s="202">
        <f>'Données projet'!E177*80+SUM('Données projet'!F177:G177)*13.8+'Données projet'!H177*10</f>
        <v>0</v>
      </c>
      <c r="D189" s="187">
        <f t="shared" si="11"/>
        <v>0</v>
      </c>
      <c r="E189" s="202"/>
      <c r="F189" s="257"/>
      <c r="G189" s="218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88">
        <f>'Données projet'!A178</f>
        <v>0</v>
      </c>
      <c r="B190" s="189">
        <f>'Données projet'!D178</f>
        <v>0</v>
      </c>
      <c r="C190" s="202">
        <f>'Données projet'!E178*80+SUM('Données projet'!F178:G178)*13.8+'Données projet'!H178*10</f>
        <v>0</v>
      </c>
      <c r="D190" s="187">
        <f t="shared" si="11"/>
        <v>0</v>
      </c>
      <c r="E190" s="202"/>
      <c r="F190" s="257"/>
      <c r="G190" s="218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88">
        <f>'Données projet'!A179</f>
        <v>0</v>
      </c>
      <c r="B191" s="189">
        <f>'Données projet'!D179</f>
        <v>0</v>
      </c>
      <c r="C191" s="202">
        <f>'Données projet'!E179*80+SUM('Données projet'!F179:G179)*13.8+'Données projet'!H179*10</f>
        <v>0</v>
      </c>
      <c r="D191" s="187">
        <f t="shared" si="11"/>
        <v>0</v>
      </c>
      <c r="E191" s="202"/>
      <c r="F191" s="257"/>
      <c r="G191" s="218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88">
        <f>'Données projet'!A180</f>
        <v>0</v>
      </c>
      <c r="B192" s="189">
        <f>'Données projet'!D180</f>
        <v>0</v>
      </c>
      <c r="C192" s="202">
        <f>'Données projet'!E180*80+SUM('Données projet'!F180:G180)*13.8+'Données projet'!H180*10</f>
        <v>0</v>
      </c>
      <c r="D192" s="187">
        <f t="shared" si="11"/>
        <v>0</v>
      </c>
      <c r="E192" s="202"/>
      <c r="F192" s="257"/>
      <c r="G192" s="218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88">
        <f>'Données projet'!A181</f>
        <v>0</v>
      </c>
      <c r="B193" s="189">
        <f>'Données projet'!D181</f>
        <v>0</v>
      </c>
      <c r="C193" s="202">
        <f>'Données projet'!E181*80+SUM('Données projet'!F181:G181)*13.8+'Données projet'!H181*10</f>
        <v>0</v>
      </c>
      <c r="D193" s="187">
        <f t="shared" si="11"/>
        <v>0</v>
      </c>
      <c r="E193" s="202"/>
      <c r="F193" s="257"/>
      <c r="G193" s="218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88">
        <f>'Données projet'!A182</f>
        <v>0</v>
      </c>
      <c r="B194" s="189">
        <f>'Données projet'!D182</f>
        <v>0</v>
      </c>
      <c r="C194" s="202">
        <f>'Données projet'!E182*80+SUM('Données projet'!F182:G182)*13.8+'Données projet'!H182*10</f>
        <v>0</v>
      </c>
      <c r="D194" s="187">
        <f t="shared" si="11"/>
        <v>0</v>
      </c>
      <c r="E194" s="202"/>
      <c r="F194" s="257"/>
      <c r="G194" s="218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88">
        <f>'Données projet'!A183</f>
        <v>0</v>
      </c>
      <c r="B195" s="189">
        <f>'Données projet'!D183</f>
        <v>0</v>
      </c>
      <c r="C195" s="202">
        <f>'Données projet'!E183*80+SUM('Données projet'!F183:G183)*13.8+'Données projet'!H183*10</f>
        <v>0</v>
      </c>
      <c r="D195" s="187">
        <f t="shared" si="11"/>
        <v>0</v>
      </c>
      <c r="E195" s="202"/>
      <c r="F195" s="257"/>
      <c r="G195" s="218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88">
        <f>'Données projet'!A184</f>
        <v>0</v>
      </c>
      <c r="B196" s="189">
        <f>'Données projet'!D184</f>
        <v>0</v>
      </c>
      <c r="C196" s="202">
        <f>'Données projet'!E184*80+SUM('Données projet'!F184:G184)*13.8+'Données projet'!H184*10</f>
        <v>0</v>
      </c>
      <c r="D196" s="187">
        <f t="shared" si="11"/>
        <v>0</v>
      </c>
      <c r="E196" s="202"/>
      <c r="F196" s="257"/>
      <c r="G196" s="218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88">
        <f>'Données projet'!A185</f>
        <v>0</v>
      </c>
      <c r="B197" s="189">
        <f>'Données projet'!D185</f>
        <v>0</v>
      </c>
      <c r="C197" s="202">
        <f>'Données projet'!E185*80+SUM('Données projet'!F185:G185)*13.8+'Données projet'!H185*10</f>
        <v>0</v>
      </c>
      <c r="D197" s="187">
        <f t="shared" si="11"/>
        <v>0</v>
      </c>
      <c r="E197" s="202"/>
      <c r="F197" s="257"/>
      <c r="G197" s="218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55"/>
      <c r="G198" s="218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55"/>
      <c r="G199" s="218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5"/>
      <c r="G200" s="218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55"/>
      <c r="G201" s="218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1" t="s">
        <v>180</v>
      </c>
      <c r="B202" s="51" t="s">
        <v>256</v>
      </c>
      <c r="C202" s="51" t="s">
        <v>255</v>
      </c>
      <c r="D202" s="251" t="s">
        <v>252</v>
      </c>
      <c r="E202" s="251" t="s">
        <v>287</v>
      </c>
      <c r="F202" s="256"/>
      <c r="G202" s="218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5">
        <v>0</v>
      </c>
      <c r="B203" s="208" t="s">
        <v>132</v>
      </c>
      <c r="C203" s="207" t="s">
        <v>132</v>
      </c>
      <c r="D203" s="206" t="s">
        <v>132</v>
      </c>
      <c r="E203" s="202"/>
      <c r="F203" s="256"/>
      <c r="G203" s="218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5">
        <v>1</v>
      </c>
      <c r="B204" s="208" t="s">
        <v>132</v>
      </c>
      <c r="C204" s="207" t="s">
        <v>132</v>
      </c>
      <c r="D204" s="206" t="s">
        <v>132</v>
      </c>
      <c r="E204" s="202"/>
      <c r="F204" s="256"/>
      <c r="G204" s="216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5">
        <v>2</v>
      </c>
      <c r="B205" s="208" t="s">
        <v>132</v>
      </c>
      <c r="C205" s="207" t="s">
        <v>132</v>
      </c>
      <c r="D205" s="206" t="s">
        <v>132</v>
      </c>
      <c r="E205" s="202"/>
      <c r="F205" s="256"/>
      <c r="G205" s="216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5">
        <v>3</v>
      </c>
      <c r="B206" s="208" t="s">
        <v>132</v>
      </c>
      <c r="C206" s="207" t="s">
        <v>132</v>
      </c>
      <c r="D206" s="206" t="s">
        <v>132</v>
      </c>
      <c r="E206" s="202"/>
      <c r="F206" s="256"/>
      <c r="G206" s="216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5">
        <v>4</v>
      </c>
      <c r="B207" s="208" t="s">
        <v>132</v>
      </c>
      <c r="C207" s="207" t="s">
        <v>132</v>
      </c>
      <c r="D207" s="206" t="s">
        <v>132</v>
      </c>
      <c r="E207" s="202"/>
      <c r="F207" s="256"/>
      <c r="G207" s="216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5">
        <v>5</v>
      </c>
      <c r="B208" s="208" t="s">
        <v>132</v>
      </c>
      <c r="C208" s="207" t="s">
        <v>132</v>
      </c>
      <c r="D208" s="206" t="s">
        <v>132</v>
      </c>
      <c r="E208" s="202"/>
      <c r="F208" s="256"/>
      <c r="G208" s="217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88">
        <f>'Données projet'!A192</f>
        <v>0</v>
      </c>
      <c r="B209" s="189">
        <f>'Données projet'!D192</f>
        <v>0</v>
      </c>
      <c r="C209" s="202">
        <f>'Données projet'!E192*45+SUM('Données projet'!F192:G192)*13.8+'Données projet'!H192*10</f>
        <v>0</v>
      </c>
      <c r="D209" s="187">
        <f>B209*C209</f>
        <v>0</v>
      </c>
      <c r="E209" s="202"/>
      <c r="F209" s="257"/>
      <c r="G209" s="217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88">
        <f>'Données projet'!A193</f>
        <v>0</v>
      </c>
      <c r="B210" s="189">
        <f>'Données projet'!D193</f>
        <v>0</v>
      </c>
      <c r="C210" s="202">
        <f>'Données projet'!E193*45+SUM('Données projet'!F193:G193)*13.8+'Données projet'!H193*10</f>
        <v>0</v>
      </c>
      <c r="D210" s="187">
        <f t="shared" ref="D210:D228" si="12">B210*C210</f>
        <v>0</v>
      </c>
      <c r="E210" s="202"/>
      <c r="F210" s="257"/>
      <c r="G210" s="217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88">
        <f>'Données projet'!A194</f>
        <v>0</v>
      </c>
      <c r="B211" s="189">
        <f>'Données projet'!D194</f>
        <v>0</v>
      </c>
      <c r="C211" s="202">
        <f>'Données projet'!E194*45+SUM('Données projet'!F194:G194)*13.8+'Données projet'!H194*10</f>
        <v>0</v>
      </c>
      <c r="D211" s="187">
        <f t="shared" si="12"/>
        <v>0</v>
      </c>
      <c r="E211" s="202"/>
      <c r="F211" s="257"/>
      <c r="G211" s="217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88">
        <f>'Données projet'!A195</f>
        <v>0</v>
      </c>
      <c r="B212" s="189">
        <f>'Données projet'!D195</f>
        <v>0</v>
      </c>
      <c r="C212" s="202">
        <f>'Données projet'!E195*45+SUM('Données projet'!F195:G195)*13.8+'Données projet'!H195*10</f>
        <v>0</v>
      </c>
      <c r="D212" s="187">
        <f t="shared" si="12"/>
        <v>0</v>
      </c>
      <c r="E212" s="202"/>
      <c r="F212" s="257"/>
      <c r="G212" s="217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88">
        <f>'Données projet'!A196</f>
        <v>0</v>
      </c>
      <c r="B213" s="189">
        <f>'Données projet'!D196</f>
        <v>0</v>
      </c>
      <c r="C213" s="202">
        <f>'Données projet'!E196*45+SUM('Données projet'!F196:G196)*13.8+'Données projet'!H196*10</f>
        <v>0</v>
      </c>
      <c r="D213" s="187">
        <f t="shared" si="12"/>
        <v>0</v>
      </c>
      <c r="E213" s="202"/>
      <c r="F213" s="257"/>
      <c r="G213" s="217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88">
        <f>'Données projet'!A197</f>
        <v>0</v>
      </c>
      <c r="B214" s="189">
        <f>'Données projet'!D197</f>
        <v>0</v>
      </c>
      <c r="C214" s="202">
        <f>'Données projet'!E197*45+SUM('Données projet'!F197:G197)*13.8+'Données projet'!H197*10</f>
        <v>0</v>
      </c>
      <c r="D214" s="187">
        <f t="shared" si="12"/>
        <v>0</v>
      </c>
      <c r="E214" s="202"/>
      <c r="F214" s="257"/>
      <c r="G214" s="217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88">
        <f>'Données projet'!A198</f>
        <v>0</v>
      </c>
      <c r="B215" s="189">
        <f>'Données projet'!D198</f>
        <v>0</v>
      </c>
      <c r="C215" s="202">
        <f>'Données projet'!E198*45+SUM('Données projet'!F198:G198)*13.8+'Données projet'!H198*10</f>
        <v>0</v>
      </c>
      <c r="D215" s="187">
        <f t="shared" si="12"/>
        <v>0</v>
      </c>
      <c r="E215" s="202"/>
      <c r="F215" s="257"/>
      <c r="G215" s="218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88">
        <f>'Données projet'!A199</f>
        <v>0</v>
      </c>
      <c r="B216" s="189">
        <f>'Données projet'!D199</f>
        <v>0</v>
      </c>
      <c r="C216" s="202">
        <f>'Données projet'!E199*45+SUM('Données projet'!F199:G199)*13.8+'Données projet'!H199*10</f>
        <v>0</v>
      </c>
      <c r="D216" s="187">
        <f t="shared" si="12"/>
        <v>0</v>
      </c>
      <c r="E216" s="202"/>
      <c r="F216" s="257"/>
      <c r="G216" s="218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88">
        <f>'Données projet'!A200</f>
        <v>0</v>
      </c>
      <c r="B217" s="189">
        <f>'Données projet'!D200</f>
        <v>0</v>
      </c>
      <c r="C217" s="202">
        <f>'Données projet'!E200*45+SUM('Données projet'!F200:G200)*13.8+'Données projet'!H200*10</f>
        <v>0</v>
      </c>
      <c r="D217" s="187">
        <f t="shared" si="12"/>
        <v>0</v>
      </c>
      <c r="E217" s="202"/>
      <c r="F217" s="257"/>
      <c r="G217" s="218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88">
        <f>'Données projet'!A201</f>
        <v>0</v>
      </c>
      <c r="B218" s="189">
        <f>'Données projet'!D201</f>
        <v>0</v>
      </c>
      <c r="C218" s="202">
        <f>'Données projet'!E201*45+SUM('Données projet'!F201:G201)*13.8+'Données projet'!H201*10</f>
        <v>0</v>
      </c>
      <c r="D218" s="187">
        <f t="shared" si="12"/>
        <v>0</v>
      </c>
      <c r="E218" s="202"/>
      <c r="F218" s="257"/>
      <c r="G218" s="218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88">
        <f>'Données projet'!A202</f>
        <v>0</v>
      </c>
      <c r="B219" s="189">
        <f>'Données projet'!D202</f>
        <v>0</v>
      </c>
      <c r="C219" s="202">
        <f>'Données projet'!E202*45+SUM('Données projet'!F202:G202)*13.8+'Données projet'!H202*10</f>
        <v>0</v>
      </c>
      <c r="D219" s="187">
        <f t="shared" si="12"/>
        <v>0</v>
      </c>
      <c r="E219" s="202"/>
      <c r="F219" s="257"/>
      <c r="G219" s="218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88">
        <f>'Données projet'!A203</f>
        <v>0</v>
      </c>
      <c r="B220" s="189">
        <f>'Données projet'!D203</f>
        <v>0</v>
      </c>
      <c r="C220" s="202">
        <f>'Données projet'!E203*45+SUM('Données projet'!F203:G203)*13.8+'Données projet'!H203*10</f>
        <v>0</v>
      </c>
      <c r="D220" s="187">
        <f t="shared" si="12"/>
        <v>0</v>
      </c>
      <c r="E220" s="202"/>
      <c r="F220" s="257"/>
      <c r="G220" s="218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88">
        <f>'Données projet'!A204</f>
        <v>0</v>
      </c>
      <c r="B221" s="189">
        <f>'Données projet'!D204</f>
        <v>0</v>
      </c>
      <c r="C221" s="202">
        <f>'Données projet'!E204*45+SUM('Données projet'!F204:G204)*13.8+'Données projet'!H204*10</f>
        <v>0</v>
      </c>
      <c r="D221" s="187">
        <f t="shared" si="12"/>
        <v>0</v>
      </c>
      <c r="E221" s="202"/>
      <c r="F221" s="257"/>
      <c r="G221" s="218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88">
        <f>'Données projet'!A205</f>
        <v>0</v>
      </c>
      <c r="B222" s="189">
        <f>'Données projet'!D205</f>
        <v>0</v>
      </c>
      <c r="C222" s="202">
        <f>'Données projet'!E205*45+SUM('Données projet'!F205:G205)*13.8+'Données projet'!H205*10</f>
        <v>0</v>
      </c>
      <c r="D222" s="187">
        <f t="shared" si="12"/>
        <v>0</v>
      </c>
      <c r="E222" s="202"/>
      <c r="F222" s="257"/>
      <c r="G222" s="218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88">
        <f>'Données projet'!A206</f>
        <v>0</v>
      </c>
      <c r="B223" s="189">
        <f>'Données projet'!D206</f>
        <v>0</v>
      </c>
      <c r="C223" s="202">
        <f>'Données projet'!E206*45+SUM('Données projet'!F206:G206)*13.8+'Données projet'!H206*10</f>
        <v>0</v>
      </c>
      <c r="D223" s="187">
        <f t="shared" si="12"/>
        <v>0</v>
      </c>
      <c r="E223" s="202"/>
      <c r="F223" s="257"/>
      <c r="G223" s="218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88">
        <f>'Données projet'!A207</f>
        <v>0</v>
      </c>
      <c r="B224" s="189">
        <f>'Données projet'!D207</f>
        <v>0</v>
      </c>
      <c r="C224" s="202">
        <f>'Données projet'!E207*45+SUM('Données projet'!F207:G207)*13.8+'Données projet'!H207*10</f>
        <v>0</v>
      </c>
      <c r="D224" s="187">
        <f t="shared" si="12"/>
        <v>0</v>
      </c>
      <c r="E224" s="202"/>
      <c r="F224" s="257"/>
      <c r="G224" s="218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88">
        <f>'Données projet'!A208</f>
        <v>0</v>
      </c>
      <c r="B225" s="189">
        <f>'Données projet'!D208</f>
        <v>0</v>
      </c>
      <c r="C225" s="202">
        <f>'Données projet'!E208*45+SUM('Données projet'!F208:G208)*13.8+'Données projet'!H208*10</f>
        <v>0</v>
      </c>
      <c r="D225" s="187">
        <f t="shared" si="12"/>
        <v>0</v>
      </c>
      <c r="E225" s="202"/>
      <c r="F225" s="257"/>
      <c r="G225" s="218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88">
        <f>'Données projet'!A209</f>
        <v>0</v>
      </c>
      <c r="B226" s="189">
        <f>'Données projet'!D209</f>
        <v>0</v>
      </c>
      <c r="C226" s="202">
        <f>'Données projet'!E209*45+SUM('Données projet'!F209:G209)*13.8+'Données projet'!H209*10</f>
        <v>0</v>
      </c>
      <c r="D226" s="187">
        <f t="shared" si="12"/>
        <v>0</v>
      </c>
      <c r="E226" s="202"/>
      <c r="F226" s="257"/>
      <c r="G226" s="218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88">
        <f>'Données projet'!A210</f>
        <v>0</v>
      </c>
      <c r="B227" s="189">
        <f>'Données projet'!D210</f>
        <v>0</v>
      </c>
      <c r="C227" s="202">
        <f>'Données projet'!E210*45+SUM('Données projet'!F210:G210)*13.8+'Données projet'!H210*10</f>
        <v>0</v>
      </c>
      <c r="D227" s="187">
        <f t="shared" si="12"/>
        <v>0</v>
      </c>
      <c r="E227" s="202"/>
      <c r="F227" s="257"/>
      <c r="G227" s="218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88">
        <f>'Données projet'!A211</f>
        <v>0</v>
      </c>
      <c r="B228" s="189">
        <f>'Données projet'!D211</f>
        <v>0</v>
      </c>
      <c r="C228" s="202">
        <f>'Données projet'!E211*45+SUM('Données projet'!F211:G211)*13.8+'Données projet'!H211*10</f>
        <v>0</v>
      </c>
      <c r="D228" s="187">
        <f t="shared" si="12"/>
        <v>0</v>
      </c>
      <c r="E228" s="202"/>
      <c r="F228" s="257"/>
      <c r="G228" s="218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55"/>
      <c r="G229" s="218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55"/>
      <c r="G230" s="218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5"/>
      <c r="G231" s="218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55"/>
      <c r="G232" s="218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1" t="s">
        <v>180</v>
      </c>
      <c r="B233" s="51" t="s">
        <v>256</v>
      </c>
      <c r="C233" s="51" t="s">
        <v>255</v>
      </c>
      <c r="D233" s="251" t="s">
        <v>252</v>
      </c>
      <c r="E233" s="251" t="s">
        <v>287</v>
      </c>
      <c r="F233" s="256"/>
      <c r="G233" s="218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5">
        <v>0</v>
      </c>
      <c r="B234" s="208" t="s">
        <v>132</v>
      </c>
      <c r="C234" s="207" t="s">
        <v>132</v>
      </c>
      <c r="D234" s="206" t="s">
        <v>132</v>
      </c>
      <c r="E234" s="202"/>
      <c r="F234" s="256"/>
      <c r="G234" s="218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5">
        <v>1</v>
      </c>
      <c r="B235" s="208" t="s">
        <v>132</v>
      </c>
      <c r="C235" s="207" t="s">
        <v>132</v>
      </c>
      <c r="D235" s="206" t="s">
        <v>132</v>
      </c>
      <c r="E235" s="202"/>
      <c r="F235" s="256"/>
      <c r="G235" s="216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5">
        <v>2</v>
      </c>
      <c r="B236" s="208" t="s">
        <v>132</v>
      </c>
      <c r="C236" s="207" t="s">
        <v>132</v>
      </c>
      <c r="D236" s="206" t="s">
        <v>132</v>
      </c>
      <c r="E236" s="202"/>
      <c r="F236" s="256"/>
      <c r="G236" s="216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5">
        <v>3</v>
      </c>
      <c r="B237" s="208" t="s">
        <v>132</v>
      </c>
      <c r="C237" s="207" t="s">
        <v>132</v>
      </c>
      <c r="D237" s="206" t="s">
        <v>132</v>
      </c>
      <c r="E237" s="202"/>
      <c r="F237" s="256"/>
      <c r="G237" s="216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5">
        <v>4</v>
      </c>
      <c r="B238" s="208" t="s">
        <v>132</v>
      </c>
      <c r="C238" s="207" t="s">
        <v>132</v>
      </c>
      <c r="D238" s="206" t="s">
        <v>132</v>
      </c>
      <c r="E238" s="202"/>
      <c r="F238" s="256"/>
      <c r="G238" s="216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5">
        <v>5</v>
      </c>
      <c r="B239" s="208" t="s">
        <v>132</v>
      </c>
      <c r="C239" s="207" t="s">
        <v>132</v>
      </c>
      <c r="D239" s="206" t="s">
        <v>132</v>
      </c>
      <c r="E239" s="202"/>
      <c r="F239" s="256"/>
      <c r="G239" s="217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88">
        <f>'Données projet'!A218</f>
        <v>0</v>
      </c>
      <c r="B240" s="189">
        <f>'Données projet'!D218</f>
        <v>0</v>
      </c>
      <c r="C240" s="202">
        <f>'Données projet'!E218*60+SUM('Données projet'!F218:G218)*13.8+'Données projet'!H218*10</f>
        <v>0</v>
      </c>
      <c r="D240" s="187">
        <f>B240*C240</f>
        <v>0</v>
      </c>
      <c r="E240" s="202"/>
      <c r="F240" s="257"/>
      <c r="G240" s="217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88">
        <f>'Données projet'!A219</f>
        <v>0</v>
      </c>
      <c r="B241" s="189">
        <f>'Données projet'!D219</f>
        <v>0</v>
      </c>
      <c r="C241" s="202">
        <f>'Données projet'!E219*60+SUM('Données projet'!F219:G219)*13.8+'Données projet'!H219*10</f>
        <v>0</v>
      </c>
      <c r="D241" s="187">
        <f t="shared" ref="D241:D259" si="13">B241*C241</f>
        <v>0</v>
      </c>
      <c r="E241" s="202"/>
      <c r="F241" s="257"/>
      <c r="G241" s="217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88">
        <f>'Données projet'!A220</f>
        <v>0</v>
      </c>
      <c r="B242" s="189">
        <f>'Données projet'!D220</f>
        <v>0</v>
      </c>
      <c r="C242" s="202">
        <f>'Données projet'!E220*60+SUM('Données projet'!F220:G220)*13.8+'Données projet'!H220*10</f>
        <v>0</v>
      </c>
      <c r="D242" s="187">
        <f t="shared" si="13"/>
        <v>0</v>
      </c>
      <c r="E242" s="202"/>
      <c r="F242" s="257"/>
      <c r="G242" s="217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88">
        <f>'Données projet'!A221</f>
        <v>0</v>
      </c>
      <c r="B243" s="189">
        <f>'Données projet'!D221</f>
        <v>0</v>
      </c>
      <c r="C243" s="202">
        <f>'Données projet'!E221*60+SUM('Données projet'!F221:G221)*13.8+'Données projet'!H221*10</f>
        <v>0</v>
      </c>
      <c r="D243" s="187">
        <f t="shared" si="13"/>
        <v>0</v>
      </c>
      <c r="E243" s="202"/>
      <c r="F243" s="257"/>
      <c r="G243" s="217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88">
        <f>'Données projet'!A222</f>
        <v>0</v>
      </c>
      <c r="B244" s="189">
        <f>'Données projet'!D222</f>
        <v>0</v>
      </c>
      <c r="C244" s="202">
        <f>'Données projet'!E222*60+SUM('Données projet'!F222:G222)*13.8+'Données projet'!H222*10</f>
        <v>0</v>
      </c>
      <c r="D244" s="187">
        <f t="shared" si="13"/>
        <v>0</v>
      </c>
      <c r="E244" s="202"/>
      <c r="F244" s="257"/>
      <c r="G244" s="217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88">
        <f>'Données projet'!A223</f>
        <v>0</v>
      </c>
      <c r="B245" s="189">
        <f>'Données projet'!D223</f>
        <v>0</v>
      </c>
      <c r="C245" s="202">
        <f>'Données projet'!E223*60+SUM('Données projet'!F223:G223)*13.8+'Données projet'!H223*10</f>
        <v>0</v>
      </c>
      <c r="D245" s="187">
        <f t="shared" si="13"/>
        <v>0</v>
      </c>
      <c r="E245" s="202"/>
      <c r="F245" s="257"/>
      <c r="G245" s="217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88">
        <f>'Données projet'!A224</f>
        <v>0</v>
      </c>
      <c r="B246" s="189">
        <f>'Données projet'!D224</f>
        <v>0</v>
      </c>
      <c r="C246" s="202">
        <f>'Données projet'!E224*60+SUM('Données projet'!F224:G224)*13.8+'Données projet'!H224*10</f>
        <v>0</v>
      </c>
      <c r="D246" s="187">
        <f t="shared" si="13"/>
        <v>0</v>
      </c>
      <c r="E246" s="202"/>
      <c r="F246" s="257"/>
      <c r="G246" s="218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88">
        <f>'Données projet'!A225</f>
        <v>0</v>
      </c>
      <c r="B247" s="189">
        <f>'Données projet'!D225</f>
        <v>0</v>
      </c>
      <c r="C247" s="202">
        <f>'Données projet'!E225*60+SUM('Données projet'!F225:G225)*13.8+'Données projet'!H225*10</f>
        <v>0</v>
      </c>
      <c r="D247" s="187">
        <f t="shared" si="13"/>
        <v>0</v>
      </c>
      <c r="E247" s="202"/>
      <c r="F247" s="257"/>
      <c r="G247" s="218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88">
        <f>'Données projet'!A226</f>
        <v>0</v>
      </c>
      <c r="B248" s="189">
        <f>'Données projet'!D226</f>
        <v>0</v>
      </c>
      <c r="C248" s="202">
        <f>'Données projet'!E226*60+SUM('Données projet'!F226:G226)*13.8+'Données projet'!H226*10</f>
        <v>0</v>
      </c>
      <c r="D248" s="187">
        <f t="shared" si="13"/>
        <v>0</v>
      </c>
      <c r="E248" s="202"/>
      <c r="F248" s="257"/>
      <c r="G248" s="218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88">
        <f>'Données projet'!A227</f>
        <v>0</v>
      </c>
      <c r="B249" s="189">
        <f>'Données projet'!D227</f>
        <v>0</v>
      </c>
      <c r="C249" s="202">
        <f>'Données projet'!E227*60+SUM('Données projet'!F227:G227)*13.8+'Données projet'!H227*10</f>
        <v>0</v>
      </c>
      <c r="D249" s="187">
        <f t="shared" si="13"/>
        <v>0</v>
      </c>
      <c r="E249" s="202"/>
      <c r="F249" s="257"/>
      <c r="G249" s="218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88">
        <f>'Données projet'!A228</f>
        <v>0</v>
      </c>
      <c r="B250" s="189">
        <f>'Données projet'!D228</f>
        <v>0</v>
      </c>
      <c r="C250" s="202">
        <f>'Données projet'!E228*60+SUM('Données projet'!F228:G228)*13.8+'Données projet'!H228*10</f>
        <v>0</v>
      </c>
      <c r="D250" s="187">
        <f t="shared" si="13"/>
        <v>0</v>
      </c>
      <c r="E250" s="202"/>
      <c r="F250" s="257"/>
      <c r="G250" s="218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88">
        <f>'Données projet'!A229</f>
        <v>0</v>
      </c>
      <c r="B251" s="189">
        <f>'Données projet'!D229</f>
        <v>0</v>
      </c>
      <c r="C251" s="202">
        <f>'Données projet'!E229*60+SUM('Données projet'!F229:G229)*13.8+'Données projet'!H229*10</f>
        <v>0</v>
      </c>
      <c r="D251" s="187">
        <f t="shared" si="13"/>
        <v>0</v>
      </c>
      <c r="E251" s="202"/>
      <c r="F251" s="257"/>
      <c r="G251" s="218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88">
        <f>'Données projet'!A230</f>
        <v>0</v>
      </c>
      <c r="B252" s="189">
        <f>'Données projet'!D230</f>
        <v>0</v>
      </c>
      <c r="C252" s="202">
        <f>'Données projet'!E230*60+SUM('Données projet'!F230:G230)*13.8+'Données projet'!H230*10</f>
        <v>0</v>
      </c>
      <c r="D252" s="187">
        <f t="shared" si="13"/>
        <v>0</v>
      </c>
      <c r="E252" s="202"/>
      <c r="F252" s="257"/>
      <c r="G252" s="218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88">
        <f>'Données projet'!A231</f>
        <v>0</v>
      </c>
      <c r="B253" s="189">
        <f>'Données projet'!D231</f>
        <v>0</v>
      </c>
      <c r="C253" s="202">
        <f>'Données projet'!E231*60+SUM('Données projet'!F231:G231)*13.8+'Données projet'!H231*10</f>
        <v>0</v>
      </c>
      <c r="D253" s="187">
        <f t="shared" si="13"/>
        <v>0</v>
      </c>
      <c r="E253" s="202"/>
      <c r="F253" s="257"/>
      <c r="G253" s="218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88">
        <f>'Données projet'!A232</f>
        <v>0</v>
      </c>
      <c r="B254" s="189">
        <f>'Données projet'!D232</f>
        <v>0</v>
      </c>
      <c r="C254" s="202">
        <f>'Données projet'!E232*60+SUM('Données projet'!F232:G232)*13.8+'Données projet'!H232*10</f>
        <v>0</v>
      </c>
      <c r="D254" s="187">
        <f t="shared" si="13"/>
        <v>0</v>
      </c>
      <c r="E254" s="202"/>
      <c r="F254" s="257"/>
      <c r="G254" s="218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88">
        <f>'Données projet'!A233</f>
        <v>0</v>
      </c>
      <c r="B255" s="189">
        <f>'Données projet'!D233</f>
        <v>0</v>
      </c>
      <c r="C255" s="202">
        <f>'Données projet'!E233*60+SUM('Données projet'!F233:G233)*13.8+'Données projet'!H233*10</f>
        <v>0</v>
      </c>
      <c r="D255" s="187">
        <f t="shared" si="13"/>
        <v>0</v>
      </c>
      <c r="E255" s="202"/>
      <c r="F255" s="257"/>
      <c r="G255" s="218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88">
        <f>'Données projet'!A234</f>
        <v>0</v>
      </c>
      <c r="B256" s="189">
        <f>'Données projet'!D234</f>
        <v>0</v>
      </c>
      <c r="C256" s="202">
        <f>'Données projet'!E234*60+SUM('Données projet'!F234:G234)*13.8+'Données projet'!H234*10</f>
        <v>0</v>
      </c>
      <c r="D256" s="187">
        <f t="shared" si="13"/>
        <v>0</v>
      </c>
      <c r="E256" s="202"/>
      <c r="F256" s="257"/>
      <c r="G256" s="218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88">
        <f>'Données projet'!A235</f>
        <v>0</v>
      </c>
      <c r="B257" s="189">
        <f>'Données projet'!D235</f>
        <v>0</v>
      </c>
      <c r="C257" s="202">
        <f>'Données projet'!E235*60+SUM('Données projet'!F235:G235)*13.8+'Données projet'!H235*10</f>
        <v>0</v>
      </c>
      <c r="D257" s="187">
        <f t="shared" si="13"/>
        <v>0</v>
      </c>
      <c r="E257" s="202"/>
      <c r="F257" s="257"/>
      <c r="G257" s="218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88">
        <f>'Données projet'!A236</f>
        <v>0</v>
      </c>
      <c r="B258" s="189">
        <f>'Données projet'!D236</f>
        <v>0</v>
      </c>
      <c r="C258" s="202">
        <f>'Données projet'!E236*60+SUM('Données projet'!F236:G236)*13.8+'Données projet'!H236*10</f>
        <v>0</v>
      </c>
      <c r="D258" s="187">
        <f t="shared" si="13"/>
        <v>0</v>
      </c>
      <c r="E258" s="202"/>
      <c r="F258" s="257"/>
      <c r="G258" s="218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88">
        <f>'Données projet'!A237</f>
        <v>0</v>
      </c>
      <c r="B259" s="189">
        <f>'Données projet'!D237</f>
        <v>0</v>
      </c>
      <c r="C259" s="202">
        <f>'Données projet'!E237*60+SUM('Données projet'!F237:G237)*13.8+'Données projet'!H237*10</f>
        <v>0</v>
      </c>
      <c r="D259" s="187">
        <f t="shared" si="13"/>
        <v>0</v>
      </c>
      <c r="E259" s="202"/>
      <c r="F259" s="257"/>
      <c r="G259" s="218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55"/>
      <c r="G260" s="218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55"/>
      <c r="G261" s="218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5"/>
      <c r="G262" s="218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55"/>
      <c r="G263" s="218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1" t="s">
        <v>180</v>
      </c>
      <c r="B264" s="51" t="s">
        <v>256</v>
      </c>
      <c r="C264" s="51" t="s">
        <v>255</v>
      </c>
      <c r="D264" s="251" t="s">
        <v>252</v>
      </c>
      <c r="E264" s="251" t="s">
        <v>287</v>
      </c>
      <c r="F264" s="256"/>
      <c r="G264" s="218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5">
        <v>0</v>
      </c>
      <c r="B265" s="208" t="s">
        <v>132</v>
      </c>
      <c r="C265" s="207" t="s">
        <v>132</v>
      </c>
      <c r="D265" s="206" t="s">
        <v>132</v>
      </c>
      <c r="E265" s="202"/>
      <c r="F265" s="256"/>
      <c r="G265" s="218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5">
        <v>1</v>
      </c>
      <c r="B266" s="208" t="s">
        <v>132</v>
      </c>
      <c r="C266" s="207" t="s">
        <v>132</v>
      </c>
      <c r="D266" s="206" t="s">
        <v>132</v>
      </c>
      <c r="E266" s="202"/>
      <c r="F266" s="256"/>
      <c r="G266" s="216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5">
        <v>2</v>
      </c>
      <c r="B267" s="208" t="s">
        <v>132</v>
      </c>
      <c r="C267" s="207" t="s">
        <v>132</v>
      </c>
      <c r="D267" s="206" t="s">
        <v>132</v>
      </c>
      <c r="E267" s="202"/>
      <c r="F267" s="256"/>
      <c r="G267" s="216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5">
        <v>3</v>
      </c>
      <c r="B268" s="208" t="s">
        <v>132</v>
      </c>
      <c r="C268" s="207" t="s">
        <v>132</v>
      </c>
      <c r="D268" s="206" t="s">
        <v>132</v>
      </c>
      <c r="E268" s="202"/>
      <c r="F268" s="256"/>
      <c r="G268" s="216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5">
        <v>4</v>
      </c>
      <c r="B269" s="208" t="s">
        <v>132</v>
      </c>
      <c r="C269" s="207" t="s">
        <v>132</v>
      </c>
      <c r="D269" s="206" t="s">
        <v>132</v>
      </c>
      <c r="E269" s="202"/>
      <c r="F269" s="256"/>
      <c r="G269" s="216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5">
        <v>5</v>
      </c>
      <c r="B270" s="208" t="s">
        <v>132</v>
      </c>
      <c r="C270" s="207" t="s">
        <v>132</v>
      </c>
      <c r="D270" s="206" t="s">
        <v>132</v>
      </c>
      <c r="E270" s="202"/>
      <c r="F270" s="256"/>
      <c r="G270" s="217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88">
        <f>'Données projet'!A244</f>
        <v>0</v>
      </c>
      <c r="B271" s="189">
        <f>'Données projet'!D244</f>
        <v>0</v>
      </c>
      <c r="C271" s="202">
        <f>'Données projet'!E244*50+SUM('Données projet'!F244:G244)*19.4+'Données projet'!H244*10</f>
        <v>0</v>
      </c>
      <c r="D271" s="187">
        <f>B271*C271</f>
        <v>0</v>
      </c>
      <c r="E271" s="202"/>
      <c r="F271" s="257"/>
      <c r="G271" s="217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88">
        <f>'Données projet'!A245</f>
        <v>0</v>
      </c>
      <c r="B272" s="189">
        <f>'Données projet'!D245</f>
        <v>0</v>
      </c>
      <c r="C272" s="202">
        <f>'Données projet'!E245*50+SUM('Données projet'!F245:G245)*19.4+'Données projet'!H245*10</f>
        <v>0</v>
      </c>
      <c r="D272" s="187">
        <f t="shared" ref="D272:D290" si="14">B272*C272</f>
        <v>0</v>
      </c>
      <c r="E272" s="202"/>
      <c r="F272" s="257"/>
      <c r="G272" s="217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88">
        <f>'Données projet'!A246</f>
        <v>0</v>
      </c>
      <c r="B273" s="189">
        <f>'Données projet'!D246</f>
        <v>0</v>
      </c>
      <c r="C273" s="202">
        <f>'Données projet'!E246*50+SUM('Données projet'!F246:G246)*19.4+'Données projet'!H246*10</f>
        <v>0</v>
      </c>
      <c r="D273" s="187">
        <f t="shared" si="14"/>
        <v>0</v>
      </c>
      <c r="E273" s="202"/>
      <c r="F273" s="257"/>
      <c r="G273" s="217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88">
        <f>'Données projet'!A247</f>
        <v>0</v>
      </c>
      <c r="B274" s="189">
        <f>'Données projet'!D247</f>
        <v>0</v>
      </c>
      <c r="C274" s="202">
        <f>'Données projet'!E247*50+SUM('Données projet'!F247:G247)*19.4+'Données projet'!H247*10</f>
        <v>0</v>
      </c>
      <c r="D274" s="187">
        <f t="shared" si="14"/>
        <v>0</v>
      </c>
      <c r="E274" s="202"/>
      <c r="F274" s="257"/>
      <c r="G274" s="217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88">
        <f>'Données projet'!A248</f>
        <v>0</v>
      </c>
      <c r="B275" s="189">
        <f>'Données projet'!D248</f>
        <v>0</v>
      </c>
      <c r="C275" s="202">
        <f>'Données projet'!E248*50+SUM('Données projet'!F248:G248)*19.4+'Données projet'!H248*10</f>
        <v>0</v>
      </c>
      <c r="D275" s="187">
        <f t="shared" si="14"/>
        <v>0</v>
      </c>
      <c r="E275" s="202"/>
      <c r="F275" s="257"/>
      <c r="G275" s="217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88">
        <f>'Données projet'!A249</f>
        <v>0</v>
      </c>
      <c r="B276" s="189">
        <f>'Données projet'!D249</f>
        <v>0</v>
      </c>
      <c r="C276" s="202">
        <f>'Données projet'!E249*50+SUM('Données projet'!F249:G249)*19.4+'Données projet'!H249*10</f>
        <v>0</v>
      </c>
      <c r="D276" s="187">
        <f t="shared" si="14"/>
        <v>0</v>
      </c>
      <c r="E276" s="202"/>
      <c r="F276" s="257"/>
      <c r="G276" s="217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88">
        <f>'Données projet'!A250</f>
        <v>0</v>
      </c>
      <c r="B277" s="189">
        <f>'Données projet'!D250</f>
        <v>0</v>
      </c>
      <c r="C277" s="202">
        <f>'Données projet'!E250*50+SUM('Données projet'!F250:G250)*19.4+'Données projet'!H250*10</f>
        <v>0</v>
      </c>
      <c r="D277" s="187">
        <f t="shared" si="14"/>
        <v>0</v>
      </c>
      <c r="E277" s="202"/>
      <c r="F277" s="257"/>
      <c r="G277" s="218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88">
        <f>'Données projet'!A251</f>
        <v>0</v>
      </c>
      <c r="B278" s="189">
        <f>'Données projet'!D251</f>
        <v>0</v>
      </c>
      <c r="C278" s="202">
        <f>'Données projet'!E251*50+SUM('Données projet'!F251:G251)*19.4+'Données projet'!H251*10</f>
        <v>0</v>
      </c>
      <c r="D278" s="187">
        <f t="shared" si="14"/>
        <v>0</v>
      </c>
      <c r="E278" s="202"/>
      <c r="F278" s="257"/>
      <c r="G278" s="218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88">
        <f>'Données projet'!A252</f>
        <v>0</v>
      </c>
      <c r="B279" s="189">
        <f>'Données projet'!D252</f>
        <v>0</v>
      </c>
      <c r="C279" s="202">
        <f>'Données projet'!E252*50+SUM('Données projet'!F252:G252)*19.4+'Données projet'!H252*10</f>
        <v>0</v>
      </c>
      <c r="D279" s="187">
        <f t="shared" si="14"/>
        <v>0</v>
      </c>
      <c r="E279" s="202"/>
      <c r="F279" s="257"/>
      <c r="G279" s="218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88">
        <f>'Données projet'!A253</f>
        <v>0</v>
      </c>
      <c r="B280" s="189">
        <f>'Données projet'!D253</f>
        <v>0</v>
      </c>
      <c r="C280" s="202">
        <f>'Données projet'!E253*50+SUM('Données projet'!F253:G253)*19.4+'Données projet'!H253*10</f>
        <v>0</v>
      </c>
      <c r="D280" s="187">
        <f t="shared" si="14"/>
        <v>0</v>
      </c>
      <c r="E280" s="202"/>
      <c r="F280" s="257"/>
      <c r="G280" s="218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88">
        <f>'Données projet'!A254</f>
        <v>0</v>
      </c>
      <c r="B281" s="189">
        <f>'Données projet'!D254</f>
        <v>0</v>
      </c>
      <c r="C281" s="202">
        <f>'Données projet'!E254*50+SUM('Données projet'!F254:G254)*19.4+'Données projet'!H254*10</f>
        <v>0</v>
      </c>
      <c r="D281" s="187">
        <f t="shared" si="14"/>
        <v>0</v>
      </c>
      <c r="E281" s="202"/>
      <c r="F281" s="257"/>
      <c r="G281" s="218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88">
        <f>'Données projet'!A255</f>
        <v>0</v>
      </c>
      <c r="B282" s="189">
        <f>'Données projet'!D255</f>
        <v>0</v>
      </c>
      <c r="C282" s="202">
        <f>'Données projet'!E255*50+SUM('Données projet'!F255:G255)*19.4+'Données projet'!H255*10</f>
        <v>0</v>
      </c>
      <c r="D282" s="187">
        <f t="shared" si="14"/>
        <v>0</v>
      </c>
      <c r="E282" s="202"/>
      <c r="F282" s="257"/>
      <c r="G282" s="218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88">
        <f>'Données projet'!A256</f>
        <v>0</v>
      </c>
      <c r="B283" s="189">
        <f>'Données projet'!D256</f>
        <v>0</v>
      </c>
      <c r="C283" s="202">
        <f>'Données projet'!E256*50+SUM('Données projet'!F256:G256)*19.4+'Données projet'!H256*10</f>
        <v>0</v>
      </c>
      <c r="D283" s="187">
        <f t="shared" si="14"/>
        <v>0</v>
      </c>
      <c r="E283" s="202"/>
      <c r="F283" s="257"/>
      <c r="G283" s="218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88">
        <f>'Données projet'!A257</f>
        <v>0</v>
      </c>
      <c r="B284" s="189">
        <f>'Données projet'!D257</f>
        <v>0</v>
      </c>
      <c r="C284" s="202">
        <f>'Données projet'!E257*50+SUM('Données projet'!F257:G257)*19.4+'Données projet'!H257*10</f>
        <v>0</v>
      </c>
      <c r="D284" s="187">
        <f t="shared" si="14"/>
        <v>0</v>
      </c>
      <c r="E284" s="202"/>
      <c r="F284" s="257"/>
      <c r="G284" s="218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88">
        <f>'Données projet'!A258</f>
        <v>0</v>
      </c>
      <c r="B285" s="189">
        <f>'Données projet'!D258</f>
        <v>0</v>
      </c>
      <c r="C285" s="202">
        <f>'Données projet'!E258*50+SUM('Données projet'!F258:G258)*19.4+'Données projet'!H258*10</f>
        <v>0</v>
      </c>
      <c r="D285" s="187">
        <f t="shared" si="14"/>
        <v>0</v>
      </c>
      <c r="E285" s="202"/>
      <c r="F285" s="257"/>
      <c r="G285" s="218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88">
        <f>'Données projet'!A259</f>
        <v>0</v>
      </c>
      <c r="B286" s="189">
        <f>'Données projet'!D259</f>
        <v>0</v>
      </c>
      <c r="C286" s="202">
        <f>'Données projet'!E259*50+SUM('Données projet'!F259:G259)*19.4+'Données projet'!H259*10</f>
        <v>0</v>
      </c>
      <c r="D286" s="187">
        <f t="shared" si="14"/>
        <v>0</v>
      </c>
      <c r="E286" s="202"/>
      <c r="F286" s="257"/>
      <c r="G286" s="218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88">
        <f>'Données projet'!A260</f>
        <v>0</v>
      </c>
      <c r="B287" s="189">
        <f>'Données projet'!D260</f>
        <v>0</v>
      </c>
      <c r="C287" s="202">
        <f>'Données projet'!E260*50+SUM('Données projet'!F260:G260)*19.4+'Données projet'!H260*10</f>
        <v>0</v>
      </c>
      <c r="D287" s="187">
        <f t="shared" si="14"/>
        <v>0</v>
      </c>
      <c r="E287" s="202"/>
      <c r="F287" s="257"/>
      <c r="G287" s="218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88">
        <f>'Données projet'!A261</f>
        <v>0</v>
      </c>
      <c r="B288" s="189">
        <f>'Données projet'!D261</f>
        <v>0</v>
      </c>
      <c r="C288" s="202">
        <f>'Données projet'!E261*50+SUM('Données projet'!F261:G261)*19.4+'Données projet'!H261*10</f>
        <v>0</v>
      </c>
      <c r="D288" s="187">
        <f t="shared" si="14"/>
        <v>0</v>
      </c>
      <c r="E288" s="202"/>
      <c r="F288" s="257"/>
      <c r="G288" s="218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88">
        <f>'Données projet'!A262</f>
        <v>0</v>
      </c>
      <c r="B289" s="189">
        <f>'Données projet'!D262</f>
        <v>0</v>
      </c>
      <c r="C289" s="202">
        <f>'Données projet'!E262*50+SUM('Données projet'!F262:G262)*19.4+'Données projet'!H262*10</f>
        <v>0</v>
      </c>
      <c r="D289" s="187">
        <f t="shared" si="14"/>
        <v>0</v>
      </c>
      <c r="E289" s="202"/>
      <c r="F289" s="257"/>
      <c r="G289" s="218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88">
        <f>'Données projet'!A263</f>
        <v>0</v>
      </c>
      <c r="B290" s="189">
        <f>'Données projet'!D263</f>
        <v>0</v>
      </c>
      <c r="C290" s="202">
        <f>'Données projet'!E263*50+SUM('Données projet'!F263:G263)*19.4+'Données projet'!H263*10</f>
        <v>0</v>
      </c>
      <c r="D290" s="187">
        <f t="shared" si="14"/>
        <v>0</v>
      </c>
      <c r="E290" s="202"/>
      <c r="F290" s="257"/>
      <c r="G290" s="218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55"/>
      <c r="G291" s="218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55"/>
      <c r="G292" s="218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5"/>
      <c r="G293" s="218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55"/>
      <c r="G294" s="218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1" t="s">
        <v>180</v>
      </c>
      <c r="B295" s="51" t="s">
        <v>256</v>
      </c>
      <c r="C295" s="51" t="s">
        <v>255</v>
      </c>
      <c r="D295" s="251" t="s">
        <v>252</v>
      </c>
      <c r="E295" s="251" t="s">
        <v>287</v>
      </c>
      <c r="F295" s="256"/>
      <c r="G295" s="218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5">
        <v>0</v>
      </c>
      <c r="B296" s="208" t="s">
        <v>132</v>
      </c>
      <c r="C296" s="207" t="s">
        <v>132</v>
      </c>
      <c r="D296" s="206" t="s">
        <v>132</v>
      </c>
      <c r="E296" s="202"/>
      <c r="F296" s="256"/>
      <c r="G296" s="218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5">
        <v>1</v>
      </c>
      <c r="B297" s="208" t="s">
        <v>132</v>
      </c>
      <c r="C297" s="207" t="s">
        <v>132</v>
      </c>
      <c r="D297" s="206" t="s">
        <v>132</v>
      </c>
      <c r="E297" s="202"/>
      <c r="F297" s="256"/>
      <c r="G297" s="216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5">
        <v>2</v>
      </c>
      <c r="B298" s="208" t="s">
        <v>132</v>
      </c>
      <c r="C298" s="207" t="s">
        <v>132</v>
      </c>
      <c r="D298" s="206" t="s">
        <v>132</v>
      </c>
      <c r="E298" s="202"/>
      <c r="F298" s="256"/>
      <c r="G298" s="216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5">
        <v>3</v>
      </c>
      <c r="B299" s="208" t="s">
        <v>132</v>
      </c>
      <c r="C299" s="207" t="s">
        <v>132</v>
      </c>
      <c r="D299" s="206" t="s">
        <v>132</v>
      </c>
      <c r="E299" s="202"/>
      <c r="F299" s="256"/>
      <c r="G299" s="216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5">
        <v>4</v>
      </c>
      <c r="B300" s="208" t="s">
        <v>132</v>
      </c>
      <c r="C300" s="207" t="s">
        <v>132</v>
      </c>
      <c r="D300" s="206" t="s">
        <v>132</v>
      </c>
      <c r="E300" s="202"/>
      <c r="F300" s="256"/>
      <c r="G300" s="216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5">
        <v>5</v>
      </c>
      <c r="B301" s="208" t="s">
        <v>132</v>
      </c>
      <c r="C301" s="207" t="s">
        <v>132</v>
      </c>
      <c r="D301" s="206" t="s">
        <v>132</v>
      </c>
      <c r="E301" s="202"/>
      <c r="F301" s="256"/>
      <c r="G301" s="217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88">
        <f>'Données projet'!A270</f>
        <v>0</v>
      </c>
      <c r="B302" s="189">
        <f>'Données projet'!D270</f>
        <v>0</v>
      </c>
      <c r="C302" s="200">
        <f>'Données projet'!E270*30+SUM('Données projet'!F270:G270)*19.4+'Données projet'!H270*10</f>
        <v>0</v>
      </c>
      <c r="D302" s="190">
        <f>B302*C302</f>
        <v>0</v>
      </c>
      <c r="E302" s="202"/>
      <c r="F302" s="258"/>
      <c r="G302" s="217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88">
        <f>'Données projet'!A271</f>
        <v>0</v>
      </c>
      <c r="B303" s="189">
        <f>'Données projet'!D271</f>
        <v>0</v>
      </c>
      <c r="C303" s="200">
        <f>'Données projet'!E271*30+SUM('Données projet'!F271:G271)*19.4+'Données projet'!H271*10</f>
        <v>0</v>
      </c>
      <c r="D303" s="190">
        <f t="shared" ref="D303:D321" si="15">B303*C303</f>
        <v>0</v>
      </c>
      <c r="E303" s="202"/>
      <c r="F303" s="258"/>
      <c r="G303" s="217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88">
        <f>'Données projet'!A272</f>
        <v>0</v>
      </c>
      <c r="B304" s="189">
        <f>'Données projet'!D272</f>
        <v>0</v>
      </c>
      <c r="C304" s="200">
        <f>'Données projet'!E272*30+SUM('Données projet'!F272:G272)*19.4+'Données projet'!H272*10</f>
        <v>0</v>
      </c>
      <c r="D304" s="190">
        <f t="shared" si="15"/>
        <v>0</v>
      </c>
      <c r="E304" s="202"/>
      <c r="F304" s="258"/>
      <c r="G304" s="217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88">
        <f>'Données projet'!A273</f>
        <v>0</v>
      </c>
      <c r="B305" s="189">
        <f>'Données projet'!D273</f>
        <v>0</v>
      </c>
      <c r="C305" s="200">
        <f>'Données projet'!E273*30+SUM('Données projet'!F273:G273)*19.4+'Données projet'!H273*10</f>
        <v>0</v>
      </c>
      <c r="D305" s="190">
        <f t="shared" si="15"/>
        <v>0</v>
      </c>
      <c r="E305" s="202"/>
      <c r="F305" s="258"/>
      <c r="G305" s="217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88">
        <f>'Données projet'!A274</f>
        <v>0</v>
      </c>
      <c r="B306" s="189">
        <f>'Données projet'!D274</f>
        <v>0</v>
      </c>
      <c r="C306" s="200">
        <f>'Données projet'!E274*30+SUM('Données projet'!F274:G274)*19.4+'Données projet'!H274*10</f>
        <v>0</v>
      </c>
      <c r="D306" s="190">
        <f t="shared" si="15"/>
        <v>0</v>
      </c>
      <c r="E306" s="202"/>
      <c r="F306" s="258"/>
      <c r="G306" s="217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88">
        <f>'Données projet'!A275</f>
        <v>0</v>
      </c>
      <c r="B307" s="189">
        <f>'Données projet'!D275</f>
        <v>0</v>
      </c>
      <c r="C307" s="200">
        <f>'Données projet'!E275*30+SUM('Données projet'!F275:G275)*19.4+'Données projet'!H275*10</f>
        <v>0</v>
      </c>
      <c r="D307" s="190">
        <f t="shared" si="15"/>
        <v>0</v>
      </c>
      <c r="E307" s="202"/>
      <c r="F307" s="258"/>
      <c r="G307" s="217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88">
        <f>'Données projet'!A276</f>
        <v>0</v>
      </c>
      <c r="B308" s="189">
        <f>'Données projet'!D276</f>
        <v>0</v>
      </c>
      <c r="C308" s="200">
        <f>'Données projet'!E276*30+SUM('Données projet'!F276:G276)*19.4+'Données projet'!H276*10</f>
        <v>0</v>
      </c>
      <c r="D308" s="190">
        <f t="shared" si="15"/>
        <v>0</v>
      </c>
      <c r="E308" s="202"/>
      <c r="F308" s="258"/>
      <c r="G308" s="213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88">
        <f>'Données projet'!A277</f>
        <v>0</v>
      </c>
      <c r="B309" s="189">
        <f>'Données projet'!D277</f>
        <v>0</v>
      </c>
      <c r="C309" s="200">
        <f>'Données projet'!E277*30+SUM('Données projet'!F277:G277)*19.4+'Données projet'!H277*10</f>
        <v>0</v>
      </c>
      <c r="D309" s="190">
        <f t="shared" si="15"/>
        <v>0</v>
      </c>
      <c r="E309" s="202"/>
      <c r="F309" s="258"/>
      <c r="G309" s="213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88">
        <f>'Données projet'!A278</f>
        <v>0</v>
      </c>
      <c r="B310" s="189">
        <f>'Données projet'!D278</f>
        <v>0</v>
      </c>
      <c r="C310" s="200">
        <f>'Données projet'!E278*30+SUM('Données projet'!F278:G278)*19.4+'Données projet'!H278*10</f>
        <v>0</v>
      </c>
      <c r="D310" s="190">
        <f t="shared" si="15"/>
        <v>0</v>
      </c>
      <c r="E310" s="202"/>
      <c r="F310" s="258"/>
      <c r="G310" s="213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88">
        <f>'Données projet'!A279</f>
        <v>0</v>
      </c>
      <c r="B311" s="189">
        <f>'Données projet'!D279</f>
        <v>0</v>
      </c>
      <c r="C311" s="200">
        <f>'Données projet'!E279*30+SUM('Données projet'!F279:G279)*19.4+'Données projet'!H279*10</f>
        <v>0</v>
      </c>
      <c r="D311" s="190">
        <f t="shared" si="15"/>
        <v>0</v>
      </c>
      <c r="E311" s="202"/>
      <c r="F311" s="258"/>
      <c r="G311" s="213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88">
        <f>'Données projet'!A280</f>
        <v>0</v>
      </c>
      <c r="B312" s="189">
        <f>'Données projet'!D280</f>
        <v>0</v>
      </c>
      <c r="C312" s="200">
        <f>'Données projet'!E280*30+SUM('Données projet'!F280:G280)*19.4+'Données projet'!H280*10</f>
        <v>0</v>
      </c>
      <c r="D312" s="190">
        <f t="shared" si="15"/>
        <v>0</v>
      </c>
      <c r="E312" s="202"/>
      <c r="F312" s="258"/>
      <c r="G312" s="213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88">
        <f>'Données projet'!A281</f>
        <v>0</v>
      </c>
      <c r="B313" s="189">
        <f>'Données projet'!D281</f>
        <v>0</v>
      </c>
      <c r="C313" s="200">
        <f>'Données projet'!E281*30+SUM('Données projet'!F281:G281)*19.4+'Données projet'!H281*10</f>
        <v>0</v>
      </c>
      <c r="D313" s="190">
        <f t="shared" si="15"/>
        <v>0</v>
      </c>
      <c r="E313" s="202"/>
      <c r="F313" s="258"/>
      <c r="G313" s="213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88">
        <f>'Données projet'!A282</f>
        <v>0</v>
      </c>
      <c r="B314" s="189">
        <f>'Données projet'!D282</f>
        <v>0</v>
      </c>
      <c r="C314" s="200">
        <f>'Données projet'!E282*30+SUM('Données projet'!F282:G282)*19.4+'Données projet'!H282*10</f>
        <v>0</v>
      </c>
      <c r="D314" s="190">
        <f t="shared" si="15"/>
        <v>0</v>
      </c>
      <c r="E314" s="202"/>
      <c r="F314" s="258"/>
      <c r="G314" s="213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88">
        <f>'Données projet'!A283</f>
        <v>0</v>
      </c>
      <c r="B315" s="189">
        <f>'Données projet'!D283</f>
        <v>0</v>
      </c>
      <c r="C315" s="200">
        <f>'Données projet'!E283*30+SUM('Données projet'!F283:G283)*19.4+'Données projet'!H283*10</f>
        <v>0</v>
      </c>
      <c r="D315" s="190">
        <f t="shared" si="15"/>
        <v>0</v>
      </c>
      <c r="E315" s="202"/>
      <c r="F315" s="258"/>
      <c r="G315" s="213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88">
        <f>'Données projet'!A284</f>
        <v>0</v>
      </c>
      <c r="B316" s="189">
        <f>'Données projet'!D284</f>
        <v>0</v>
      </c>
      <c r="C316" s="200">
        <f>'Données projet'!E284*30+SUM('Données projet'!F284:G284)*19.4+'Données projet'!H284*10</f>
        <v>0</v>
      </c>
      <c r="D316" s="190">
        <f t="shared" si="15"/>
        <v>0</v>
      </c>
      <c r="E316" s="202"/>
      <c r="F316" s="258"/>
      <c r="G316" s="213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88">
        <f>'Données projet'!A285</f>
        <v>0</v>
      </c>
      <c r="B317" s="189">
        <f>'Données projet'!D285</f>
        <v>0</v>
      </c>
      <c r="C317" s="200">
        <f>'Données projet'!E285*30+SUM('Données projet'!F285:G285)*19.4+'Données projet'!H285*10</f>
        <v>0</v>
      </c>
      <c r="D317" s="190">
        <f t="shared" si="15"/>
        <v>0</v>
      </c>
      <c r="E317" s="202"/>
      <c r="F317" s="258"/>
      <c r="G317" s="213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88">
        <f>'Données projet'!A286</f>
        <v>0</v>
      </c>
      <c r="B318" s="189">
        <f>'Données projet'!D286</f>
        <v>0</v>
      </c>
      <c r="C318" s="200">
        <f>'Données projet'!E286*30+SUM('Données projet'!F286:G286)*19.4+'Données projet'!H286*10</f>
        <v>0</v>
      </c>
      <c r="D318" s="190">
        <f t="shared" si="15"/>
        <v>0</v>
      </c>
      <c r="E318" s="202"/>
      <c r="F318" s="258"/>
      <c r="G318" s="213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88">
        <f>'Données projet'!A287</f>
        <v>0</v>
      </c>
      <c r="B319" s="189">
        <f>'Données projet'!D287</f>
        <v>0</v>
      </c>
      <c r="C319" s="200">
        <f>'Données projet'!E287*30+SUM('Données projet'!F287:G287)*19.4+'Données projet'!H287*10</f>
        <v>0</v>
      </c>
      <c r="D319" s="190">
        <f t="shared" si="15"/>
        <v>0</v>
      </c>
      <c r="E319" s="202"/>
      <c r="F319" s="258"/>
      <c r="G319" s="213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88">
        <f>'Données projet'!A288</f>
        <v>0</v>
      </c>
      <c r="B320" s="189">
        <f>'Données projet'!D288</f>
        <v>0</v>
      </c>
      <c r="C320" s="200">
        <f>'Données projet'!E288*30+SUM('Données projet'!F288:G288)*19.4+'Données projet'!H288*10</f>
        <v>0</v>
      </c>
      <c r="D320" s="190">
        <f t="shared" si="15"/>
        <v>0</v>
      </c>
      <c r="E320" s="202"/>
      <c r="F320" s="258"/>
      <c r="G320" s="213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88">
        <f>'Données projet'!A289</f>
        <v>0</v>
      </c>
      <c r="B321" s="189">
        <f>'Données projet'!D289</f>
        <v>0</v>
      </c>
      <c r="C321" s="200">
        <f>'Données projet'!E289*30+SUM('Données projet'!F289:G289)*19.4+'Données projet'!H289*10</f>
        <v>0</v>
      </c>
      <c r="D321" s="190">
        <f t="shared" si="15"/>
        <v>0</v>
      </c>
      <c r="E321" s="202"/>
      <c r="F321" s="258"/>
      <c r="G321" s="213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3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3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3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3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3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3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26"/>
      <c r="G328" s="22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26"/>
      <c r="G329" s="22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26"/>
      <c r="G330" s="22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26"/>
      <c r="G331" s="22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26"/>
      <c r="G332" s="22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26"/>
      <c r="G333" s="22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26"/>
      <c r="G334" s="22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26"/>
      <c r="G335" s="22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26"/>
      <c r="G336" s="22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26"/>
      <c r="G337" s="22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26"/>
      <c r="G338" s="22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26"/>
      <c r="G339" s="22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26"/>
      <c r="G340" s="22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26"/>
      <c r="G341" s="22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26"/>
      <c r="G342" s="22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26"/>
      <c r="G343" s="22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26"/>
      <c r="G344" s="22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26"/>
      <c r="G345" s="22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26"/>
      <c r="G346" s="22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26"/>
      <c r="G347" s="22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26"/>
      <c r="G348" s="22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26"/>
      <c r="G349" s="22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26"/>
      <c r="G350" s="22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26"/>
      <c r="G351" s="22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26"/>
      <c r="G352" s="22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26"/>
      <c r="G353" s="22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26"/>
      <c r="G354" s="22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26"/>
      <c r="G355" s="22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26"/>
      <c r="G356" s="22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26"/>
      <c r="G357" s="22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26"/>
      <c r="G358" s="22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26"/>
      <c r="G359" s="22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26"/>
      <c r="G360" s="22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26"/>
      <c r="G361" s="22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26"/>
      <c r="G362" s="22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26"/>
      <c r="G363" s="22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26"/>
      <c r="G364" s="22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26"/>
      <c r="G365" s="22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26"/>
      <c r="G366" s="22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26"/>
      <c r="G367" s="22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26"/>
      <c r="G368" s="22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26"/>
      <c r="G369" s="22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26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26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26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26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26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26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26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26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26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26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26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26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26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26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26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26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26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26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26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26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26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26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26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26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26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26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25" right="0.25" top="0.75" bottom="0.75" header="0.3" footer="0.3"/>
  <pageSetup paperSize="9" scale="25" fitToHeight="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G76"/>
  <sheetViews>
    <sheetView topLeftCell="A42" workbookViewId="0">
      <selection activeCell="D57" sqref="D57"/>
    </sheetView>
  </sheetViews>
  <sheetFormatPr baseColWidth="10" defaultRowHeight="15" x14ac:dyDescent="0.2"/>
  <sheetData>
    <row r="2" spans="2:7" ht="30" x14ac:dyDescent="0.2">
      <c r="B2" s="281" t="s">
        <v>404</v>
      </c>
      <c r="C2" s="281" t="s">
        <v>321</v>
      </c>
      <c r="D2" s="282" t="s">
        <v>322</v>
      </c>
      <c r="E2" s="281" t="s">
        <v>323</v>
      </c>
      <c r="F2" s="281" t="s">
        <v>324</v>
      </c>
      <c r="G2" s="281" t="s">
        <v>325</v>
      </c>
    </row>
    <row r="3" spans="2:7" x14ac:dyDescent="0.2">
      <c r="B3" s="283" t="s">
        <v>326</v>
      </c>
      <c r="C3" s="284">
        <v>0.62</v>
      </c>
      <c r="D3" s="282" t="s">
        <v>327</v>
      </c>
      <c r="E3" s="285">
        <v>300</v>
      </c>
      <c r="F3" s="286" t="e">
        <f>IF([1]VAN!$D3="Feuillus",11*1.25,15.5*1.25)</f>
        <v>#REF!</v>
      </c>
      <c r="G3" s="285">
        <v>10</v>
      </c>
    </row>
    <row r="4" spans="2:7" x14ac:dyDescent="0.2">
      <c r="B4" s="283" t="s">
        <v>328</v>
      </c>
      <c r="C4" s="284">
        <v>0.64</v>
      </c>
      <c r="D4" s="282" t="s">
        <v>327</v>
      </c>
      <c r="E4" s="287" t="s">
        <v>329</v>
      </c>
      <c r="F4" s="286" t="e">
        <f>IF([1]VAN!$D4="Feuillus",11*1.25,15.5*1.25)</f>
        <v>#REF!</v>
      </c>
      <c r="G4" s="285">
        <v>10</v>
      </c>
    </row>
    <row r="5" spans="2:7" x14ac:dyDescent="0.2">
      <c r="B5" s="283" t="s">
        <v>330</v>
      </c>
      <c r="C5" s="284">
        <v>0.42</v>
      </c>
      <c r="D5" s="282" t="s">
        <v>327</v>
      </c>
      <c r="E5" s="285">
        <v>40</v>
      </c>
      <c r="F5" s="286" t="e">
        <f>IF([1]VAN!$D5="Feuillus",11*1.25,15.5*1.25)</f>
        <v>#REF!</v>
      </c>
      <c r="G5" s="285">
        <v>10</v>
      </c>
    </row>
    <row r="6" spans="2:7" x14ac:dyDescent="0.2">
      <c r="B6" s="283" t="s">
        <v>331</v>
      </c>
      <c r="C6" s="284">
        <v>0.42</v>
      </c>
      <c r="D6" s="282" t="s">
        <v>327</v>
      </c>
      <c r="E6" s="285">
        <v>40</v>
      </c>
      <c r="F6" s="286" t="e">
        <f>IF([1]VAN!$D6="Feuillus",11*1.25,15.5*1.25)</f>
        <v>#REF!</v>
      </c>
      <c r="G6" s="285">
        <v>10</v>
      </c>
    </row>
    <row r="7" spans="2:7" x14ac:dyDescent="0.2">
      <c r="B7" s="283" t="s">
        <v>332</v>
      </c>
      <c r="C7" s="284">
        <v>0.52</v>
      </c>
      <c r="D7" s="282" t="s">
        <v>327</v>
      </c>
      <c r="E7" s="285">
        <v>40</v>
      </c>
      <c r="F7" s="286" t="e">
        <f>IF([1]VAN!$D7="Feuillus",11*1.25,15.5*1.25)</f>
        <v>#REF!</v>
      </c>
      <c r="G7" s="285">
        <v>10</v>
      </c>
    </row>
    <row r="8" spans="2:7" x14ac:dyDescent="0.2">
      <c r="B8" s="283" t="s">
        <v>333</v>
      </c>
      <c r="C8" s="284">
        <v>0.36</v>
      </c>
      <c r="D8" s="282" t="s">
        <v>334</v>
      </c>
      <c r="E8" s="297">
        <v>30</v>
      </c>
      <c r="F8" s="286" t="e">
        <f>IF([1]VAN!$D8="Feuillus",11*1.25,15.5*1.25)</f>
        <v>#REF!</v>
      </c>
      <c r="G8" s="285">
        <v>10</v>
      </c>
    </row>
    <row r="9" spans="2:7" x14ac:dyDescent="0.2">
      <c r="B9" s="283" t="s">
        <v>335</v>
      </c>
      <c r="C9" s="284">
        <v>0.61</v>
      </c>
      <c r="D9" s="282" t="s">
        <v>327</v>
      </c>
      <c r="E9" s="285">
        <v>50</v>
      </c>
      <c r="F9" s="286" t="e">
        <f>IF([1]VAN!$D9="Feuillus",11*1.25,15.5*1.25)</f>
        <v>#REF!</v>
      </c>
      <c r="G9" s="285">
        <v>10</v>
      </c>
    </row>
    <row r="10" spans="2:7" x14ac:dyDescent="0.2">
      <c r="B10" s="283" t="s">
        <v>336</v>
      </c>
      <c r="C10" s="284">
        <v>0.66</v>
      </c>
      <c r="D10" s="282" t="s">
        <v>327</v>
      </c>
      <c r="E10" s="285">
        <v>50</v>
      </c>
      <c r="F10" s="286" t="e">
        <f>IF([1]VAN!$D10="Feuillus",11*1.25,15.5*1.25)</f>
        <v>#REF!</v>
      </c>
      <c r="G10" s="285">
        <v>10</v>
      </c>
    </row>
    <row r="11" spans="2:7" x14ac:dyDescent="0.2">
      <c r="B11" s="288" t="s">
        <v>337</v>
      </c>
      <c r="C11" s="289">
        <v>0.47</v>
      </c>
      <c r="D11" s="282" t="s">
        <v>327</v>
      </c>
      <c r="E11" s="285">
        <v>100</v>
      </c>
      <c r="F11" s="286" t="e">
        <f>IF([1]VAN!$D11="Feuillus",11*1.25,15.5*1.25)</f>
        <v>#REF!</v>
      </c>
      <c r="G11" s="285">
        <v>10</v>
      </c>
    </row>
    <row r="12" spans="2:7" x14ac:dyDescent="0.2">
      <c r="B12" s="283" t="s">
        <v>338</v>
      </c>
      <c r="C12" s="284">
        <v>0.67</v>
      </c>
      <c r="D12" s="282" t="s">
        <v>327</v>
      </c>
      <c r="E12" s="285">
        <v>150</v>
      </c>
      <c r="F12" s="286" t="e">
        <f>IF([1]VAN!$D12="Feuillus",11*1.25,15.5*1.25)</f>
        <v>#REF!</v>
      </c>
      <c r="G12" s="285">
        <v>10</v>
      </c>
    </row>
    <row r="13" spans="2:7" x14ac:dyDescent="0.2">
      <c r="B13" s="283" t="s">
        <v>339</v>
      </c>
      <c r="C13" s="284">
        <v>0.7</v>
      </c>
      <c r="D13" s="282" t="s">
        <v>327</v>
      </c>
      <c r="E13" s="285">
        <v>150</v>
      </c>
      <c r="F13" s="286" t="e">
        <f>IF([1]VAN!$D13="Feuillus",11*1.25,15.5*1.25)</f>
        <v>#REF!</v>
      </c>
      <c r="G13" s="285">
        <v>10</v>
      </c>
    </row>
    <row r="14" spans="2:7" x14ac:dyDescent="0.2">
      <c r="B14" s="283" t="s">
        <v>340</v>
      </c>
      <c r="C14" s="284">
        <v>0.54</v>
      </c>
      <c r="D14" s="282" t="s">
        <v>327</v>
      </c>
      <c r="E14" s="285">
        <v>150</v>
      </c>
      <c r="F14" s="286" t="e">
        <f>IF([1]VAN!$D14="Feuillus",11*1.25,15.5*1.25)</f>
        <v>#REF!</v>
      </c>
      <c r="G14" s="285">
        <v>10</v>
      </c>
    </row>
    <row r="15" spans="2:7" x14ac:dyDescent="0.2">
      <c r="B15" s="283" t="s">
        <v>341</v>
      </c>
      <c r="C15" s="284">
        <v>0.65</v>
      </c>
      <c r="D15" s="282" t="s">
        <v>327</v>
      </c>
      <c r="E15" s="285">
        <v>150</v>
      </c>
      <c r="F15" s="286" t="e">
        <f>IF([1]VAN!$D15="Feuillus",11*1.25,15.5*1.25)</f>
        <v>#REF!</v>
      </c>
      <c r="G15" s="285">
        <v>10</v>
      </c>
    </row>
    <row r="16" spans="2:7" x14ac:dyDescent="0.2">
      <c r="B16" s="283" t="s">
        <v>342</v>
      </c>
      <c r="C16" s="284">
        <v>0.56000000000000005</v>
      </c>
      <c r="D16" s="282" t="s">
        <v>327</v>
      </c>
      <c r="E16" s="285">
        <v>150</v>
      </c>
      <c r="F16" s="286" t="e">
        <f>IF([1]VAN!$D16="Feuillus",11*1.25,15.5*1.25)</f>
        <v>#REF!</v>
      </c>
      <c r="G16" s="285">
        <v>10</v>
      </c>
    </row>
    <row r="17" spans="2:7" x14ac:dyDescent="0.2">
      <c r="B17" s="283" t="s">
        <v>343</v>
      </c>
      <c r="C17" s="284">
        <v>0.57999999999999996</v>
      </c>
      <c r="D17" s="282" t="s">
        <v>327</v>
      </c>
      <c r="E17" s="285">
        <v>150</v>
      </c>
      <c r="F17" s="286" t="e">
        <f>IF([1]VAN!$D17="Feuillus",11*1.25,15.5*1.25)</f>
        <v>#REF!</v>
      </c>
      <c r="G17" s="285">
        <v>10</v>
      </c>
    </row>
    <row r="18" spans="2:7" x14ac:dyDescent="0.2">
      <c r="B18" s="283" t="s">
        <v>344</v>
      </c>
      <c r="C18" s="284">
        <v>0.64</v>
      </c>
      <c r="D18" s="282" t="s">
        <v>327</v>
      </c>
      <c r="E18" s="285">
        <v>150</v>
      </c>
      <c r="F18" s="286" t="e">
        <f>IF([1]VAN!$D18="Feuillus",11*1.25,15.5*1.25)</f>
        <v>#REF!</v>
      </c>
      <c r="G18" s="285">
        <v>10</v>
      </c>
    </row>
    <row r="19" spans="2:7" x14ac:dyDescent="0.2">
      <c r="B19" s="283" t="s">
        <v>345</v>
      </c>
      <c r="C19" s="284">
        <v>0.73</v>
      </c>
      <c r="D19" s="282" t="s">
        <v>327</v>
      </c>
      <c r="E19" s="285">
        <v>150</v>
      </c>
      <c r="F19" s="286" t="e">
        <f>IF([1]VAN!$D19="Feuillus",11*1.25,15.5*1.25)</f>
        <v>#REF!</v>
      </c>
      <c r="G19" s="285">
        <v>10</v>
      </c>
    </row>
    <row r="20" spans="2:7" x14ac:dyDescent="0.2">
      <c r="B20" s="283" t="s">
        <v>346</v>
      </c>
      <c r="C20" s="284">
        <v>0.56000000000000005</v>
      </c>
      <c r="D20" s="282" t="s">
        <v>327</v>
      </c>
      <c r="E20" s="285">
        <v>150</v>
      </c>
      <c r="F20" s="286" t="e">
        <f>IF([1]VAN!$D20="Feuillus",11*1.25,15.5*1.25)</f>
        <v>#REF!</v>
      </c>
      <c r="G20" s="285">
        <v>10</v>
      </c>
    </row>
    <row r="21" spans="2:7" x14ac:dyDescent="0.2">
      <c r="B21" s="283" t="s">
        <v>347</v>
      </c>
      <c r="C21" s="284">
        <v>0.74</v>
      </c>
      <c r="D21" s="282" t="s">
        <v>327</v>
      </c>
      <c r="E21" s="285">
        <v>300</v>
      </c>
      <c r="F21" s="286" t="e">
        <f>IF([1]VAN!$D21="Feuillus",11*1.25,15.5*1.25)</f>
        <v>#REF!</v>
      </c>
      <c r="G21" s="285">
        <v>10</v>
      </c>
    </row>
    <row r="22" spans="2:7" x14ac:dyDescent="0.2">
      <c r="B22" s="283" t="s">
        <v>348</v>
      </c>
      <c r="C22" s="284">
        <v>0.4</v>
      </c>
      <c r="D22" s="282" t="s">
        <v>334</v>
      </c>
      <c r="E22" s="287">
        <v>30</v>
      </c>
      <c r="F22" s="286" t="e">
        <f>IF([1]VAN!$D22="Feuillus",11*1.25,15.5*1.25)</f>
        <v>#REF!</v>
      </c>
      <c r="G22" s="285">
        <v>10</v>
      </c>
    </row>
    <row r="23" spans="2:7" x14ac:dyDescent="0.2">
      <c r="B23" s="283" t="s">
        <v>349</v>
      </c>
      <c r="C23" s="284">
        <v>0.6</v>
      </c>
      <c r="D23" s="282" t="s">
        <v>327</v>
      </c>
      <c r="E23" s="285">
        <v>300</v>
      </c>
      <c r="F23" s="286" t="e">
        <f>IF([1]VAN!$D23="Feuillus",11*1.25,15.5*1.25)</f>
        <v>#REF!</v>
      </c>
      <c r="G23" s="285">
        <v>10</v>
      </c>
    </row>
    <row r="24" spans="2:7" x14ac:dyDescent="0.2">
      <c r="B24" s="283" t="s">
        <v>350</v>
      </c>
      <c r="C24" s="284">
        <v>0.43</v>
      </c>
      <c r="D24" s="282" t="s">
        <v>334</v>
      </c>
      <c r="E24" s="285">
        <v>59</v>
      </c>
      <c r="F24" s="286" t="e">
        <f>IF([1]VAN!$D24="Feuillus",11*1.25,15.5*1.25)</f>
        <v>#REF!</v>
      </c>
      <c r="G24" s="285">
        <v>10</v>
      </c>
    </row>
    <row r="25" spans="2:7" x14ac:dyDescent="0.2">
      <c r="B25" s="283" t="s">
        <v>351</v>
      </c>
      <c r="C25" s="284">
        <v>0.37</v>
      </c>
      <c r="D25" s="282" t="s">
        <v>334</v>
      </c>
      <c r="E25" s="287">
        <v>36</v>
      </c>
      <c r="F25" s="286" t="e">
        <f>IF([1]VAN!$D25="Feuillus",11*1.25,15.5*1.25)</f>
        <v>#REF!</v>
      </c>
      <c r="G25" s="285">
        <v>10</v>
      </c>
    </row>
    <row r="26" spans="2:7" x14ac:dyDescent="0.2">
      <c r="B26" s="283" t="s">
        <v>352</v>
      </c>
      <c r="C26" s="284">
        <v>0.36</v>
      </c>
      <c r="D26" s="282" t="s">
        <v>334</v>
      </c>
      <c r="E26" s="285">
        <v>47</v>
      </c>
      <c r="F26" s="286" t="e">
        <f>IF([1]VAN!$D26="Feuillus",11*1.25,15.5*1.25)</f>
        <v>#REF!</v>
      </c>
      <c r="G26" s="285">
        <v>10</v>
      </c>
    </row>
    <row r="27" spans="2:7" x14ac:dyDescent="0.2">
      <c r="B27" s="283" t="s">
        <v>353</v>
      </c>
      <c r="C27" s="284">
        <v>0.51</v>
      </c>
      <c r="D27" s="282" t="s">
        <v>327</v>
      </c>
      <c r="E27" s="285">
        <v>60</v>
      </c>
      <c r="F27" s="286" t="e">
        <f>IF([1]VAN!$D27="Feuillus",11*1.25,15.5*1.25)</f>
        <v>#REF!</v>
      </c>
      <c r="G27" s="285">
        <v>10</v>
      </c>
    </row>
    <row r="28" spans="2:7" x14ac:dyDescent="0.2">
      <c r="B28" s="283" t="s">
        <v>354</v>
      </c>
      <c r="C28" s="284">
        <v>0.56000000000000005</v>
      </c>
      <c r="D28" s="282" t="s">
        <v>327</v>
      </c>
      <c r="E28" s="285">
        <v>60</v>
      </c>
      <c r="F28" s="286" t="e">
        <f>IF([1]VAN!$D28="Feuillus",11*1.25,15.5*1.25)</f>
        <v>#REF!</v>
      </c>
      <c r="G28" s="285">
        <v>10</v>
      </c>
    </row>
    <row r="29" spans="2:7" x14ac:dyDescent="0.2">
      <c r="B29" s="283" t="s">
        <v>355</v>
      </c>
      <c r="C29" s="284">
        <v>0.56000000000000005</v>
      </c>
      <c r="D29" s="282" t="s">
        <v>327</v>
      </c>
      <c r="E29" s="287" t="s">
        <v>329</v>
      </c>
      <c r="F29" s="286" t="e">
        <f>IF([1]VAN!$D29="Feuillus",11*1.25,15.5*1.25)</f>
        <v>#REF!</v>
      </c>
      <c r="G29" s="285">
        <v>10</v>
      </c>
    </row>
    <row r="30" spans="2:7" x14ac:dyDescent="0.2">
      <c r="B30" s="283" t="s">
        <v>356</v>
      </c>
      <c r="C30" s="284">
        <v>0.48</v>
      </c>
      <c r="D30" s="282" t="s">
        <v>327</v>
      </c>
      <c r="E30" s="285">
        <v>300</v>
      </c>
      <c r="F30" s="286" t="e">
        <f>IF([1]VAN!$D30="Feuillus",11*1.25,15.5*1.25)</f>
        <v>#REF!</v>
      </c>
      <c r="G30" s="285">
        <v>10</v>
      </c>
    </row>
    <row r="31" spans="2:7" x14ac:dyDescent="0.2">
      <c r="B31" s="283" t="s">
        <v>357</v>
      </c>
      <c r="C31" s="284">
        <v>0.55000000000000004</v>
      </c>
      <c r="D31" s="282" t="s">
        <v>327</v>
      </c>
      <c r="E31" s="285">
        <v>45</v>
      </c>
      <c r="F31" s="286" t="e">
        <f>IF([1]VAN!$D31="Feuillus",11*1.25,15.5*1.25)</f>
        <v>#REF!</v>
      </c>
      <c r="G31" s="285">
        <v>10</v>
      </c>
    </row>
    <row r="32" spans="2:7" x14ac:dyDescent="0.2">
      <c r="B32" s="283" t="s">
        <v>358</v>
      </c>
      <c r="C32" s="284">
        <v>0.56000000000000005</v>
      </c>
      <c r="D32" s="282" t="s">
        <v>327</v>
      </c>
      <c r="E32" s="285">
        <v>90</v>
      </c>
      <c r="F32" s="286" t="e">
        <f>IF([1]VAN!$D32="Feuillus",11*1.25,15.5*1.25)</f>
        <v>#REF!</v>
      </c>
      <c r="G32" s="285">
        <v>10</v>
      </c>
    </row>
    <row r="33" spans="2:7" x14ac:dyDescent="0.2">
      <c r="B33" s="283" t="s">
        <v>359</v>
      </c>
      <c r="C33" s="284">
        <v>0.57999999999999996</v>
      </c>
      <c r="D33" s="282" t="s">
        <v>327</v>
      </c>
      <c r="E33" s="285">
        <v>300</v>
      </c>
      <c r="F33" s="286" t="e">
        <f>IF([1]VAN!$D33="Feuillus",11*1.25,15.5*1.25)</f>
        <v>#REF!</v>
      </c>
      <c r="G33" s="285">
        <v>10</v>
      </c>
    </row>
    <row r="34" spans="2:7" x14ac:dyDescent="0.2">
      <c r="B34" s="283" t="s">
        <v>360</v>
      </c>
      <c r="C34" s="284">
        <v>0.57999999999999996</v>
      </c>
      <c r="D34" s="282" t="s">
        <v>334</v>
      </c>
      <c r="E34" s="285">
        <v>25</v>
      </c>
      <c r="F34" s="286" t="e">
        <f>IF([1]VAN!$D34="Feuillus",11*1.25,15.5*1.25)</f>
        <v>#REF!</v>
      </c>
      <c r="G34" s="285">
        <v>10</v>
      </c>
    </row>
    <row r="35" spans="2:7" x14ac:dyDescent="0.2">
      <c r="B35" s="283" t="s">
        <v>361</v>
      </c>
      <c r="C35" s="284">
        <v>0.48</v>
      </c>
      <c r="D35" s="282" t="s">
        <v>334</v>
      </c>
      <c r="E35" s="285">
        <v>50</v>
      </c>
      <c r="F35" s="286" t="e">
        <f>IF([1]VAN!$D35="Feuillus",11*1.25,15.5*1.25)</f>
        <v>#REF!</v>
      </c>
      <c r="G35" s="285">
        <v>10</v>
      </c>
    </row>
    <row r="36" spans="2:7" x14ac:dyDescent="0.2">
      <c r="B36" s="283" t="s">
        <v>362</v>
      </c>
      <c r="C36" s="284">
        <v>0.42</v>
      </c>
      <c r="D36" s="282" t="s">
        <v>334</v>
      </c>
      <c r="E36" s="285">
        <v>50</v>
      </c>
      <c r="F36" s="286" t="e">
        <f>IF([1]VAN!$D36="Feuillus",11*1.25,15.5*1.25)</f>
        <v>#REF!</v>
      </c>
      <c r="G36" s="285">
        <v>10</v>
      </c>
    </row>
    <row r="37" spans="2:7" x14ac:dyDescent="0.2">
      <c r="B37" s="283" t="s">
        <v>363</v>
      </c>
      <c r="C37" s="284">
        <v>0.5</v>
      </c>
      <c r="D37" s="282" t="s">
        <v>327</v>
      </c>
      <c r="E37" s="285">
        <v>80</v>
      </c>
      <c r="F37" s="286" t="e">
        <f>IF([1]VAN!$D37="Feuillus",11*1.25,15.5*1.25)</f>
        <v>#REF!</v>
      </c>
      <c r="G37" s="285">
        <v>10</v>
      </c>
    </row>
    <row r="38" spans="2:7" x14ac:dyDescent="0.2">
      <c r="B38" s="283" t="s">
        <v>364</v>
      </c>
      <c r="C38" s="284">
        <v>0.55000000000000004</v>
      </c>
      <c r="D38" s="282" t="s">
        <v>327</v>
      </c>
      <c r="E38" s="287" t="s">
        <v>329</v>
      </c>
      <c r="F38" s="286" t="e">
        <f>IF([1]VAN!$D38="Feuillus",11*1.25,15.5*1.25)</f>
        <v>#REF!</v>
      </c>
      <c r="G38" s="285">
        <v>10</v>
      </c>
    </row>
    <row r="39" spans="2:7" x14ac:dyDescent="0.2">
      <c r="B39" s="283" t="s">
        <v>365</v>
      </c>
      <c r="C39" s="284">
        <v>0.53</v>
      </c>
      <c r="D39" s="282" t="s">
        <v>327</v>
      </c>
      <c r="E39" s="287" t="s">
        <v>329</v>
      </c>
      <c r="F39" s="286" t="e">
        <f>IF([1]VAN!$D39="Feuillus",11*1.25,15.5*1.25)</f>
        <v>#REF!</v>
      </c>
      <c r="G39" s="285">
        <v>10</v>
      </c>
    </row>
    <row r="40" spans="2:7" x14ac:dyDescent="0.2">
      <c r="B40" s="283" t="s">
        <v>366</v>
      </c>
      <c r="C40" s="284">
        <v>0.52</v>
      </c>
      <c r="D40" s="282" t="s">
        <v>327</v>
      </c>
      <c r="E40" s="287" t="s">
        <v>329</v>
      </c>
      <c r="F40" s="286" t="e">
        <f>IF([1]VAN!$D40="Feuillus",11*1.25,15.5*1.25)</f>
        <v>#REF!</v>
      </c>
      <c r="G40" s="285">
        <v>10</v>
      </c>
    </row>
    <row r="41" spans="2:7" x14ac:dyDescent="0.2">
      <c r="B41" s="283" t="s">
        <v>367</v>
      </c>
      <c r="C41" s="284">
        <v>0.52</v>
      </c>
      <c r="D41" s="282" t="s">
        <v>327</v>
      </c>
      <c r="E41" s="285">
        <v>300</v>
      </c>
      <c r="F41" s="286" t="e">
        <f>IF([1]VAN!$D41="Feuillus",11*1.25,15.5*1.25)</f>
        <v>#REF!</v>
      </c>
      <c r="G41" s="285">
        <v>10</v>
      </c>
    </row>
    <row r="42" spans="2:7" x14ac:dyDescent="0.2">
      <c r="B42" s="283" t="s">
        <v>368</v>
      </c>
      <c r="C42" s="284">
        <v>0.75</v>
      </c>
      <c r="D42" s="282" t="s">
        <v>327</v>
      </c>
      <c r="E42" s="287" t="s">
        <v>329</v>
      </c>
      <c r="F42" s="286" t="e">
        <f>IF([1]VAN!$D42="Feuillus",11*1.25,15.5*1.25)</f>
        <v>#REF!</v>
      </c>
      <c r="G42" s="285">
        <v>10</v>
      </c>
    </row>
    <row r="43" spans="2:7" x14ac:dyDescent="0.2">
      <c r="B43" s="283" t="s">
        <v>369</v>
      </c>
      <c r="C43" s="284">
        <v>0.52</v>
      </c>
      <c r="D43" s="282" t="s">
        <v>327</v>
      </c>
      <c r="E43" s="285">
        <v>50</v>
      </c>
      <c r="F43" s="286" t="e">
        <f>IF([1]VAN!$D43="Feuillus",11*1.25,15.5*1.25)</f>
        <v>#REF!</v>
      </c>
      <c r="G43" s="285">
        <v>10</v>
      </c>
    </row>
    <row r="44" spans="2:7" x14ac:dyDescent="0.2">
      <c r="B44" s="283" t="s">
        <v>370</v>
      </c>
      <c r="C44" s="284">
        <v>0.35</v>
      </c>
      <c r="D44" s="282" t="s">
        <v>371</v>
      </c>
      <c r="E44" s="285">
        <v>42</v>
      </c>
      <c r="F44" s="286" t="e">
        <f>IF([1]VAN!$D44="Feuillus",11*1.25,15.5*1.25)</f>
        <v>#REF!</v>
      </c>
      <c r="G44" s="285">
        <v>10</v>
      </c>
    </row>
    <row r="45" spans="2:7" x14ac:dyDescent="0.2">
      <c r="B45" s="283" t="s">
        <v>372</v>
      </c>
      <c r="C45" s="284">
        <v>0.37</v>
      </c>
      <c r="D45" s="282" t="s">
        <v>327</v>
      </c>
      <c r="E45" s="285">
        <v>17.5</v>
      </c>
      <c r="F45" s="286" t="e">
        <f>IF([1]VAN!$D45="Feuillus",11*1.25,15.5*1.25)</f>
        <v>#REF!</v>
      </c>
      <c r="G45" s="285">
        <v>10</v>
      </c>
    </row>
    <row r="46" spans="2:7" x14ac:dyDescent="0.2">
      <c r="B46" s="283" t="s">
        <v>373</v>
      </c>
      <c r="C46" s="284">
        <v>0.45</v>
      </c>
      <c r="D46" s="282" t="s">
        <v>334</v>
      </c>
      <c r="E46" s="285">
        <v>30</v>
      </c>
      <c r="F46" s="286" t="e">
        <f>IF([1]VAN!$D46="Feuillus",11*1.25,15.5*1.25)</f>
        <v>#REF!</v>
      </c>
      <c r="G46" s="285">
        <v>10</v>
      </c>
    </row>
    <row r="47" spans="2:7" x14ac:dyDescent="0.2">
      <c r="B47" s="283" t="s">
        <v>374</v>
      </c>
      <c r="C47" s="284">
        <v>0.39</v>
      </c>
      <c r="D47" s="282" t="s">
        <v>334</v>
      </c>
      <c r="E47" s="285">
        <v>30</v>
      </c>
      <c r="F47" s="286" t="e">
        <f>IF([1]VAN!$D47="Feuillus",11*1.25,15.5*1.25)</f>
        <v>#REF!</v>
      </c>
      <c r="G47" s="285">
        <v>10</v>
      </c>
    </row>
    <row r="48" spans="2:7" x14ac:dyDescent="0.2">
      <c r="B48" s="283" t="s">
        <v>375</v>
      </c>
      <c r="C48" s="284">
        <v>0.44</v>
      </c>
      <c r="D48" s="282" t="s">
        <v>334</v>
      </c>
      <c r="E48" s="285">
        <v>30</v>
      </c>
      <c r="F48" s="286" t="e">
        <f>IF([1]VAN!$D48="Feuillus",11*1.25,15.5*1.25)</f>
        <v>#REF!</v>
      </c>
      <c r="G48" s="285">
        <v>10</v>
      </c>
    </row>
    <row r="49" spans="2:7" x14ac:dyDescent="0.2">
      <c r="B49" s="283" t="s">
        <v>376</v>
      </c>
      <c r="C49" s="284">
        <v>0.46</v>
      </c>
      <c r="D49" s="282" t="s">
        <v>334</v>
      </c>
      <c r="E49" s="285">
        <v>30</v>
      </c>
      <c r="F49" s="286" t="e">
        <f>IF([1]VAN!$D49="Feuillus",11*1.25,15.5*1.25)</f>
        <v>#REF!</v>
      </c>
      <c r="G49" s="285">
        <v>10</v>
      </c>
    </row>
    <row r="50" spans="2:7" ht="45" x14ac:dyDescent="0.2">
      <c r="B50" s="283" t="s">
        <v>377</v>
      </c>
      <c r="C50" s="284">
        <v>0.46</v>
      </c>
      <c r="D50" s="282" t="s">
        <v>378</v>
      </c>
      <c r="E50" s="285">
        <v>42</v>
      </c>
      <c r="F50" s="286" t="e">
        <f>IF([1]VAN!$D50="Feuillus",11*1.25,15.5*1.25)</f>
        <v>#REF!</v>
      </c>
      <c r="G50" s="285">
        <v>10</v>
      </c>
    </row>
    <row r="51" spans="2:7" x14ac:dyDescent="0.2">
      <c r="B51" s="283" t="s">
        <v>379</v>
      </c>
      <c r="C51" s="284">
        <v>0.44</v>
      </c>
      <c r="D51" s="282" t="s">
        <v>334</v>
      </c>
      <c r="E51" s="285">
        <v>30</v>
      </c>
      <c r="F51" s="286" t="e">
        <f>IF([1]VAN!$D51="Feuillus",11*1.25,15.5*1.25)</f>
        <v>#REF!</v>
      </c>
      <c r="G51" s="285">
        <v>10</v>
      </c>
    </row>
    <row r="52" spans="2:7" x14ac:dyDescent="0.2">
      <c r="B52" s="283" t="s">
        <v>380</v>
      </c>
      <c r="C52" s="284">
        <v>0.46</v>
      </c>
      <c r="D52" s="282" t="s">
        <v>334</v>
      </c>
      <c r="E52" s="285">
        <v>30</v>
      </c>
      <c r="F52" s="286" t="e">
        <f>IF([1]VAN!$D52="Feuillus",11*1.25,15.5*1.25)</f>
        <v>#REF!</v>
      </c>
      <c r="G52" s="285">
        <v>10</v>
      </c>
    </row>
    <row r="53" spans="2:7" x14ac:dyDescent="0.2">
      <c r="B53" s="283" t="s">
        <v>381</v>
      </c>
      <c r="C53" s="284">
        <v>0.48</v>
      </c>
      <c r="D53" s="282" t="s">
        <v>334</v>
      </c>
      <c r="E53" s="285">
        <v>30</v>
      </c>
      <c r="F53" s="286" t="e">
        <f>IF([1]VAN!$D53="Feuillus",11*1.25,15.5*1.25)</f>
        <v>#REF!</v>
      </c>
      <c r="G53" s="285">
        <v>10</v>
      </c>
    </row>
    <row r="54" spans="2:7" x14ac:dyDescent="0.2">
      <c r="B54" s="283" t="s">
        <v>382</v>
      </c>
      <c r="C54" s="284">
        <v>0.44</v>
      </c>
      <c r="D54" s="282" t="s">
        <v>334</v>
      </c>
      <c r="E54" s="285">
        <v>30</v>
      </c>
      <c r="F54" s="286" t="e">
        <f>IF([1]VAN!$D54="Feuillus",11*1.25,15.5*1.25)</f>
        <v>#REF!</v>
      </c>
      <c r="G54" s="285">
        <v>10</v>
      </c>
    </row>
    <row r="55" spans="2:7" x14ac:dyDescent="0.2">
      <c r="B55" s="283" t="s">
        <v>383</v>
      </c>
      <c r="C55" s="284">
        <v>0.34</v>
      </c>
      <c r="D55" s="282" t="s">
        <v>334</v>
      </c>
      <c r="E55" s="285">
        <v>30</v>
      </c>
      <c r="F55" s="286" t="e">
        <f>IF([1]VAN!$D55="Feuillus",11*1.25,15.5*1.25)</f>
        <v>#REF!</v>
      </c>
      <c r="G55" s="285">
        <v>10</v>
      </c>
    </row>
    <row r="56" spans="2:7" x14ac:dyDescent="0.2">
      <c r="B56" s="283" t="s">
        <v>384</v>
      </c>
      <c r="C56" s="284">
        <v>0.5</v>
      </c>
      <c r="D56" s="282" t="s">
        <v>327</v>
      </c>
      <c r="E56" s="285">
        <v>50</v>
      </c>
      <c r="F56" s="286" t="e">
        <f>IF([1]VAN!$D56="Feuillus",11*1.25,15.5*1.25)</f>
        <v>#REF!</v>
      </c>
      <c r="G56" s="285">
        <v>10</v>
      </c>
    </row>
    <row r="57" spans="2:7" x14ac:dyDescent="0.2">
      <c r="B57" s="283" t="s">
        <v>385</v>
      </c>
      <c r="C57" s="284">
        <v>0.57999999999999996</v>
      </c>
      <c r="D57" s="282" t="s">
        <v>327</v>
      </c>
      <c r="E57" s="285">
        <v>70</v>
      </c>
      <c r="F57" s="286" t="e">
        <f>IF([1]VAN!$D57="Feuillus",11*1.25,15.5*1.25)</f>
        <v>#REF!</v>
      </c>
      <c r="G57" s="285">
        <v>10</v>
      </c>
    </row>
    <row r="58" spans="2:7" x14ac:dyDescent="0.2">
      <c r="B58" s="283" t="s">
        <v>386</v>
      </c>
      <c r="C58" s="284">
        <v>0.37</v>
      </c>
      <c r="D58" s="282" t="s">
        <v>334</v>
      </c>
      <c r="E58" s="285">
        <v>44</v>
      </c>
      <c r="F58" s="286" t="e">
        <f>IF([1]VAN!$D58="Feuillus",11*1.25,15.5*1.25)</f>
        <v>#REF!</v>
      </c>
      <c r="G58" s="285">
        <v>10</v>
      </c>
    </row>
    <row r="59" spans="2:7" x14ac:dyDescent="0.2">
      <c r="B59" s="283" t="s">
        <v>387</v>
      </c>
      <c r="C59" s="284">
        <v>0.37</v>
      </c>
      <c r="D59" s="282" t="s">
        <v>334</v>
      </c>
      <c r="E59" s="285">
        <v>44</v>
      </c>
      <c r="F59" s="286" t="e">
        <f>IF([1]VAN!$D59="Feuillus",11*1.25,15.5*1.25)</f>
        <v>#REF!</v>
      </c>
      <c r="G59" s="285">
        <v>10</v>
      </c>
    </row>
    <row r="60" spans="2:7" x14ac:dyDescent="0.2">
      <c r="B60" s="283" t="s">
        <v>388</v>
      </c>
      <c r="C60" s="284">
        <v>0.38</v>
      </c>
      <c r="D60" s="282" t="s">
        <v>334</v>
      </c>
      <c r="E60" s="285">
        <v>37</v>
      </c>
      <c r="F60" s="286" t="e">
        <f>IF([1]VAN!$D60="Feuillus",11*1.25,15.5*1.25)</f>
        <v>#REF!</v>
      </c>
      <c r="G60" s="285">
        <v>10</v>
      </c>
    </row>
    <row r="61" spans="2:7" x14ac:dyDescent="0.2">
      <c r="B61" s="283" t="s">
        <v>389</v>
      </c>
      <c r="C61" s="284">
        <v>0.36</v>
      </c>
      <c r="D61" s="282" t="s">
        <v>334</v>
      </c>
      <c r="E61" s="285">
        <v>44</v>
      </c>
      <c r="F61" s="286" t="e">
        <f>IF([1]VAN!$D61="Feuillus",11*1.25,15.5*1.25)</f>
        <v>#REF!</v>
      </c>
      <c r="G61" s="285">
        <v>10</v>
      </c>
    </row>
    <row r="62" spans="2:7" x14ac:dyDescent="0.2">
      <c r="B62" s="283" t="s">
        <v>390</v>
      </c>
      <c r="C62" s="284">
        <v>0.37</v>
      </c>
      <c r="D62" s="282" t="s">
        <v>327</v>
      </c>
      <c r="E62" s="285">
        <v>25</v>
      </c>
      <c r="F62" s="286" t="e">
        <f>IF([1]VAN!$D62="Feuillus",11*1.25,15.5*1.25)</f>
        <v>#REF!</v>
      </c>
      <c r="G62" s="285">
        <v>10</v>
      </c>
    </row>
    <row r="63" spans="2:7" x14ac:dyDescent="0.2">
      <c r="B63" s="283" t="s">
        <v>391</v>
      </c>
      <c r="C63" s="284">
        <v>0.53</v>
      </c>
      <c r="D63" s="282" t="s">
        <v>327</v>
      </c>
      <c r="E63" s="287" t="s">
        <v>329</v>
      </c>
      <c r="F63" s="286" t="e">
        <f>IF([1]VAN!$D63="Feuillus",11*1.25,15.5*1.25)</f>
        <v>#REF!</v>
      </c>
      <c r="G63" s="285">
        <v>10</v>
      </c>
    </row>
    <row r="64" spans="2:7" x14ac:dyDescent="0.2">
      <c r="B64" s="283" t="s">
        <v>392</v>
      </c>
      <c r="C64" s="284">
        <v>0.43</v>
      </c>
      <c r="D64" s="282" t="s">
        <v>327</v>
      </c>
      <c r="E64" s="285">
        <v>50</v>
      </c>
      <c r="F64" s="286" t="e">
        <f>IF([1]VAN!$D64="Feuillus",11*1.25,15.5*1.25)</f>
        <v>#REF!</v>
      </c>
      <c r="G64" s="285">
        <v>10</v>
      </c>
    </row>
    <row r="65" spans="2:7" x14ac:dyDescent="0.2">
      <c r="B65" s="283" t="s">
        <v>393</v>
      </c>
      <c r="C65" s="284">
        <v>0.38</v>
      </c>
      <c r="D65" s="282" t="s">
        <v>327</v>
      </c>
      <c r="E65" s="285">
        <v>25</v>
      </c>
      <c r="F65" s="286" t="e">
        <f>IF([1]VAN!$D65="Feuillus",11*1.25,15.5*1.25)</f>
        <v>#REF!</v>
      </c>
      <c r="G65" s="285">
        <v>10</v>
      </c>
    </row>
    <row r="66" spans="2:7" x14ac:dyDescent="0.2">
      <c r="B66" s="290" t="s">
        <v>394</v>
      </c>
      <c r="C66" s="281">
        <v>0.42</v>
      </c>
      <c r="D66" s="282" t="s">
        <v>334</v>
      </c>
      <c r="E66" s="285">
        <v>44</v>
      </c>
      <c r="F66" s="286" t="e">
        <f>IF([1]VAN!$D66="Feuillus",11*1.25,15.5*1.25)</f>
        <v>#REF!</v>
      </c>
      <c r="G66" s="285">
        <v>10</v>
      </c>
    </row>
    <row r="67" spans="2:7" x14ac:dyDescent="0.2">
      <c r="B67" s="290" t="s">
        <v>395</v>
      </c>
      <c r="C67" s="281">
        <v>0.56999999999999995</v>
      </c>
      <c r="D67" s="282" t="s">
        <v>327</v>
      </c>
      <c r="E67" s="287">
        <v>50</v>
      </c>
      <c r="F67" s="286" t="e">
        <f>IF([1]VAN!$D67="Feuillus",11*1.25,15.5*1.25)</f>
        <v>#REF!</v>
      </c>
      <c r="G67" s="285">
        <v>10</v>
      </c>
    </row>
    <row r="68" spans="2:7" x14ac:dyDescent="0.2">
      <c r="B68" s="290" t="s">
        <v>396</v>
      </c>
      <c r="C68" s="281">
        <v>0.54</v>
      </c>
      <c r="D68" s="282"/>
      <c r="E68" s="285">
        <v>60</v>
      </c>
      <c r="F68" s="285"/>
      <c r="G68" s="285">
        <v>10</v>
      </c>
    </row>
    <row r="70" spans="2:7" x14ac:dyDescent="0.2">
      <c r="B70" s="291" t="s">
        <v>397</v>
      </c>
    </row>
    <row r="71" spans="2:7" x14ac:dyDescent="0.2">
      <c r="B71" s="291" t="s">
        <v>398</v>
      </c>
    </row>
    <row r="72" spans="2:7" x14ac:dyDescent="0.2">
      <c r="B72" s="291" t="s">
        <v>399</v>
      </c>
    </row>
    <row r="73" spans="2:7" x14ac:dyDescent="0.2">
      <c r="B73" s="291" t="s">
        <v>400</v>
      </c>
    </row>
    <row r="74" spans="2:7" x14ac:dyDescent="0.2">
      <c r="B74" s="291" t="s">
        <v>401</v>
      </c>
    </row>
    <row r="75" spans="2:7" x14ac:dyDescent="0.2">
      <c r="B75" s="291" t="s">
        <v>402</v>
      </c>
    </row>
    <row r="76" spans="2:7" x14ac:dyDescent="0.2">
      <c r="B76" s="291" t="s">
        <v>403</v>
      </c>
    </row>
  </sheetData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Valeur BO BI BE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cp:lastPrinted>2021-11-12T14:02:01Z</cp:lastPrinted>
  <dcterms:created xsi:type="dcterms:W3CDTF">2021-02-01T08:22:39Z</dcterms:created>
  <dcterms:modified xsi:type="dcterms:W3CDTF">2022-01-26T14:22:32Z</dcterms:modified>
</cp:coreProperties>
</file>