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Q:\GCF\ENVIRONNEMENT\7_CARBONE\Coopératives\AFB\Projets_LBC\Projets_Tests\Agence de Pierroton\Projet Saint-Jean-d'Illac_102021\"/>
    </mc:Choice>
  </mc:AlternateContent>
  <bookViews>
    <workbookView xWindow="0" yWindow="0" windowWidth="19200" windowHeight="7308" tabRatio="866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GL4" i="2" s="1"/>
  <c r="CI4" i="2"/>
  <c r="ET4" i="2"/>
  <c r="DC4" i="2"/>
  <c r="BM4" i="2"/>
  <c r="DD4" i="2"/>
  <c r="CH4" i="2"/>
  <c r="BN4" i="2"/>
  <c r="BQ4" i="2" s="1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HI4" i="2" l="1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EA5" i="2" s="1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HI5" i="2" l="1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V6" i="2" l="1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EW7" i="2" s="1"/>
  <c r="FO7" i="2"/>
  <c r="FN7" i="2"/>
  <c r="DY7" i="2"/>
  <c r="EB7" i="2" s="1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FS7" i="2" l="1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I9" i="2" l="1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I10" i="2" l="1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I12" i="2" l="1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B14" i="2" s="1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I14" i="2" l="1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HI15" i="2" l="1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EA16" i="2" s="1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C16" i="2" l="1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I18" i="2" l="1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EV20" i="2" s="1"/>
  <c r="DX20" i="2"/>
  <c r="CI20" i="2"/>
  <c r="BM20" i="2"/>
  <c r="GI20" i="2"/>
  <c r="ET20" i="2"/>
  <c r="EW20" i="2" s="1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I20" i="2" l="1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B21" i="2" s="1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X21" i="2" l="1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EW22" i="2" s="1"/>
  <c r="FO22" i="2"/>
  <c r="FN22" i="2"/>
  <c r="DY22" i="2"/>
  <c r="EB22" i="2" s="1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I22" i="2" l="1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EW24" i="2" s="1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C24" i="2" l="1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B28" i="2" s="1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X28" i="2" l="1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 l="1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HI30" i="2" l="1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DG31" i="2" s="1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EC31" i="2" l="1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EB33" i="2" s="1"/>
  <c r="DD33" i="2"/>
  <c r="ET33" i="2"/>
  <c r="EW33" i="2" s="1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GM33" i="2" l="1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S35" i="2" l="1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B37" i="2" s="1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I37" i="2" l="1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V38" i="2" l="1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EV42" i="2" s="1"/>
  <c r="DX42" i="2"/>
  <c r="EA42" i="2" s="1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C42" i="2" l="1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DG43" i="2" s="1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FS43" i="2" l="1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I44" i="2" l="1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B45" i="2" s="1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C45" i="2" l="1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FS46" i="2" l="1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FS47" i="2" l="1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FS48" i="2" l="1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W50" i="2" l="1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HI52" i="2" l="1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EA53" i="2" s="1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C53" i="2" l="1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EB57" i="2" s="1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C57" i="2" l="1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FS59" i="2" l="1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FS60" i="2" l="1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HI61" i="2" l="1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B62" i="2" s="1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C62" i="2" l="1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I63" i="2" l="1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EV64" i="2" s="1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I64" i="2" l="1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FS67" i="2" l="1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EW70" i="2" s="1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C70" i="2" l="1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I71" i="2" l="1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FR74" i="2" s="1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C74" i="2" l="1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X75" i="2" l="1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FS77" i="2" l="1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AU78" i="2" l="1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X82" i="2" l="1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W85" i="2" s="1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FS85" i="2" l="1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FS86" i="2" l="1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I87" i="2" l="1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EW92" i="2" s="1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HI92" i="2" l="1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FQ95" i="2" s="1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S95" i="2" l="1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C98" i="2" l="1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X99" i="2" l="1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EW100" i="2" s="1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AU100" i="2" l="1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HI104" i="2" l="1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X105" i="2" l="1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I107" i="2" l="1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X108" i="2" l="1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EB109" i="2" s="1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HI109" i="2" l="1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S112" i="2" l="1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EW113" i="2" s="1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AW113" i="2" l="1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C114" i="2" l="1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EV116" i="2" s="1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I116" i="2" l="1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X117" i="2" l="1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FQ118" i="2" s="1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I118" i="2" l="1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I119" i="2" l="1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HH120" i="2" s="1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C120" i="2" l="1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AW121" i="2" l="1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AU122" i="2" l="1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C124" i="2" l="1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I126" i="2" l="1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C127" i="2" l="1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I128" i="2" l="1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EW130" i="2" s="1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A130" i="2" l="1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I132" i="2" l="1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W133" i="2" s="1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I133" i="2" l="1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EW134" i="2" s="1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C134" i="2" l="1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HI135" i="2" l="1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FS137" i="2" l="1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HI138" i="2" l="1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X139" i="2" l="1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FR140" i="2" s="1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I140" i="2" l="1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X141" i="2" l="1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FS142" i="2" l="1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C143" i="2" l="1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FR144" i="2" s="1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I144" i="2" l="1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I145" i="2" l="1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X146" i="2" l="1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I147" i="2" l="1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EX149" i="2" s="1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FS149" i="2" l="1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X150" i="2" l="1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HI151" i="2" l="1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HI153" i="2" l="1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EV156" i="2" l="1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FS157" i="2" l="1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FS159" i="2" l="1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X160" i="2" l="1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AW161" i="2" l="1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FS162" i="2" l="1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V163" i="2" s="1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FS163" i="2" l="1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C164" i="2" l="1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S167" i="2" l="1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FS168" i="2" l="1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I169" i="2" l="1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C172" i="2" l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C173" i="2" l="1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EW175" i="2" s="1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I178" i="2" l="1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FS179" i="2" l="1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C180" i="2" l="1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X183" i="2" l="1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AU185" i="2" l="1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X186" i="2" l="1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I187" i="2" l="1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I190" i="2" l="1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AW192" i="2" l="1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FS193" i="2" l="1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AW194" i="2" l="1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AU195" i="2" l="1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I199" i="2" l="1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I200" i="2" l="1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HI201" i="2" l="1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V202" i="2" l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EC203" i="2" l="1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<sst xmlns="http://schemas.openxmlformats.org/spreadsheetml/2006/main" count="1171" uniqueCount="325">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</sst>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2.2584223289766427</c:v>
                </c:pt>
                <c:pt idx="2">
                  <c:v>3.2897798309182904</c:v>
                </c:pt>
                <c:pt idx="3">
                  <c:v>4.7942417443715932</c:v>
                </c:pt>
                <c:pt idx="4">
                  <c:v>6.9897407135911749</c:v>
                </c:pt>
                <c:pt idx="5">
                  <c:v>10.1949890619745</c:v>
                </c:pt>
                <c:pt idx="6">
                  <c:v>14.876249553593672</c:v>
                </c:pt>
                <c:pt idx="7">
                  <c:v>21.715882885787966</c:v>
                </c:pt>
                <c:pt idx="8">
                  <c:v>31.712841348608066</c:v>
                </c:pt>
                <c:pt idx="9">
                  <c:v>46.330039778774669</c:v>
                </c:pt>
                <c:pt idx="10">
                  <c:v>67.710531573545708</c:v>
                </c:pt>
                <c:pt idx="11">
                  <c:v>98.994700355620111</c:v>
                </c:pt>
                <c:pt idx="12">
                  <c:v>144.78579354706758</c:v>
                </c:pt>
                <c:pt idx="13">
                  <c:v>135.13931046280351</c:v>
                </c:pt>
                <c:pt idx="14">
                  <c:v>162.2153785999964</c:v>
                </c:pt>
                <c:pt idx="15">
                  <c:v>190.4784874800213</c:v>
                </c:pt>
                <c:pt idx="16">
                  <c:v>219.54672196983498</c:v>
                </c:pt>
                <c:pt idx="17">
                  <c:v>249.04094971920577</c:v>
                </c:pt>
                <c:pt idx="18">
                  <c:v>278.84076430725935</c:v>
                </c:pt>
                <c:pt idx="19">
                  <c:v>308.69711413237644</c:v>
                </c:pt>
                <c:pt idx="20">
                  <c:v>338.36159407720407</c:v>
                </c:pt>
                <c:pt idx="21">
                  <c:v>280.63665542007823</c:v>
                </c:pt>
                <c:pt idx="22">
                  <c:v>305.88091275728743</c:v>
                </c:pt>
                <c:pt idx="23">
                  <c:v>331.07886476976091</c:v>
                </c:pt>
                <c:pt idx="24">
                  <c:v>355.72415105802401</c:v>
                </c:pt>
                <c:pt idx="25">
                  <c:v>380.0772337590052</c:v>
                </c:pt>
                <c:pt idx="26">
                  <c:v>403.63292021997989</c:v>
                </c:pt>
                <c:pt idx="27">
                  <c:v>426.65051968814259</c:v>
                </c:pt>
                <c:pt idx="28">
                  <c:v>449.26056638683218</c:v>
                </c:pt>
                <c:pt idx="29">
                  <c:v>470.70486410233576</c:v>
                </c:pt>
                <c:pt idx="30">
                  <c:v>491.49482053067408</c:v>
                </c:pt>
                <c:pt idx="31">
                  <c:v>1.0676332069095257E-12</c:v>
                </c:pt>
                <c:pt idx="32">
                  <c:v>1.0676332069095257E-12</c:v>
                </c:pt>
                <c:pt idx="33">
                  <c:v>1.0676332069095257E-12</c:v>
                </c:pt>
                <c:pt idx="34">
                  <c:v>1.0676332069095257E-12</c:v>
                </c:pt>
                <c:pt idx="35">
                  <c:v>1.0676332069095257E-12</c:v>
                </c:pt>
                <c:pt idx="36">
                  <c:v>1.0676332069095257E-12</c:v>
                </c:pt>
                <c:pt idx="37">
                  <c:v>1.0676332069095257E-12</c:v>
                </c:pt>
                <c:pt idx="38">
                  <c:v>1.0676332069095257E-12</c:v>
                </c:pt>
                <c:pt idx="39">
                  <c:v>1.0676332069095257E-12</c:v>
                </c:pt>
                <c:pt idx="40">
                  <c:v>1.0676332069095257E-12</c:v>
                </c:pt>
                <c:pt idx="41">
                  <c:v>1.0676332069095257E-12</c:v>
                </c:pt>
                <c:pt idx="42">
                  <c:v>1.0676332069095257E-12</c:v>
                </c:pt>
                <c:pt idx="43">
                  <c:v>1.0676332069095257E-12</c:v>
                </c:pt>
                <c:pt idx="44">
                  <c:v>1.0676332069095257E-12</c:v>
                </c:pt>
                <c:pt idx="45">
                  <c:v>1.0676332069095257E-12</c:v>
                </c:pt>
                <c:pt idx="46">
                  <c:v>1.0676332069095257E-12</c:v>
                </c:pt>
                <c:pt idx="47">
                  <c:v>1.0676332069095257E-12</c:v>
                </c:pt>
                <c:pt idx="48">
                  <c:v>1.0676332069095257E-12</c:v>
                </c:pt>
                <c:pt idx="49">
                  <c:v>1.0676332069095257E-12</c:v>
                </c:pt>
                <c:pt idx="50">
                  <c:v>1.0676332069095257E-12</c:v>
                </c:pt>
                <c:pt idx="51">
                  <c:v>1.0676332069095257E-12</c:v>
                </c:pt>
                <c:pt idx="52">
                  <c:v>1.0676332069095257E-12</c:v>
                </c:pt>
                <c:pt idx="53">
                  <c:v>1.0676332069095257E-12</c:v>
                </c:pt>
                <c:pt idx="54">
                  <c:v>1.0676332069095257E-12</c:v>
                </c:pt>
                <c:pt idx="55">
                  <c:v>1.0676332069095257E-12</c:v>
                </c:pt>
                <c:pt idx="56">
                  <c:v>1.0676332069095257E-12</c:v>
                </c:pt>
                <c:pt idx="57">
                  <c:v>1.0676332069095257E-12</c:v>
                </c:pt>
                <c:pt idx="58">
                  <c:v>1.0676332069095257E-12</c:v>
                </c:pt>
                <c:pt idx="59">
                  <c:v>1.0676332069095257E-12</c:v>
                </c:pt>
                <c:pt idx="60">
                  <c:v>1.0676332069095257E-12</c:v>
                </c:pt>
                <c:pt idx="61">
                  <c:v>1.0676332069095257E-12</c:v>
                </c:pt>
                <c:pt idx="62">
                  <c:v>1.0676332069095257E-12</c:v>
                </c:pt>
                <c:pt idx="63">
                  <c:v>1.0676332069095257E-12</c:v>
                </c:pt>
                <c:pt idx="64">
                  <c:v>1.0676332069095257E-12</c:v>
                </c:pt>
                <c:pt idx="65">
                  <c:v>1.0676332069095257E-12</c:v>
                </c:pt>
                <c:pt idx="66">
                  <c:v>1.0676332069095257E-12</c:v>
                </c:pt>
                <c:pt idx="67">
                  <c:v>1.0676332069095257E-12</c:v>
                </c:pt>
                <c:pt idx="68">
                  <c:v>1.0676332069095257E-12</c:v>
                </c:pt>
                <c:pt idx="69">
                  <c:v>1.0676332069095257E-12</c:v>
                </c:pt>
                <c:pt idx="70">
                  <c:v>1.0676332069095257E-12</c:v>
                </c:pt>
                <c:pt idx="71">
                  <c:v>1.0676332069095257E-12</c:v>
                </c:pt>
                <c:pt idx="72">
                  <c:v>1.0676332069095257E-12</c:v>
                </c:pt>
                <c:pt idx="73">
                  <c:v>1.0676332069095257E-12</c:v>
                </c:pt>
                <c:pt idx="74">
                  <c:v>1.0676332069095257E-12</c:v>
                </c:pt>
                <c:pt idx="75">
                  <c:v>1.0676332069095257E-12</c:v>
                </c:pt>
                <c:pt idx="76">
                  <c:v>1.0676332069095257E-12</c:v>
                </c:pt>
                <c:pt idx="77">
                  <c:v>1.0676332069095257E-12</c:v>
                </c:pt>
                <c:pt idx="78">
                  <c:v>1.0676332069095257E-12</c:v>
                </c:pt>
                <c:pt idx="79">
                  <c:v>1.0676332069095257E-12</c:v>
                </c:pt>
                <c:pt idx="80">
                  <c:v>1.0676332069095257E-12</c:v>
                </c:pt>
                <c:pt idx="81">
                  <c:v>1.0676332069095257E-12</c:v>
                </c:pt>
                <c:pt idx="82">
                  <c:v>1.0676332069095257E-12</c:v>
                </c:pt>
                <c:pt idx="83">
                  <c:v>1.0676332069095257E-12</c:v>
                </c:pt>
                <c:pt idx="84">
                  <c:v>1.0676332069095257E-12</c:v>
                </c:pt>
                <c:pt idx="85">
                  <c:v>1.0676332069095257E-12</c:v>
                </c:pt>
                <c:pt idx="86">
                  <c:v>1.0676332069095257E-12</c:v>
                </c:pt>
                <c:pt idx="87">
                  <c:v>1.0676332069095257E-12</c:v>
                </c:pt>
                <c:pt idx="88">
                  <c:v>1.0676332069095257E-12</c:v>
                </c:pt>
                <c:pt idx="89">
                  <c:v>1.0676332069095257E-12</c:v>
                </c:pt>
                <c:pt idx="90">
                  <c:v>1.0676332069095257E-12</c:v>
                </c:pt>
                <c:pt idx="91">
                  <c:v>1.0676332069095257E-12</c:v>
                </c:pt>
                <c:pt idx="92">
                  <c:v>1.0676332069095257E-12</c:v>
                </c:pt>
                <c:pt idx="93">
                  <c:v>1.0676332069095257E-12</c:v>
                </c:pt>
                <c:pt idx="94">
                  <c:v>1.0676332069095257E-12</c:v>
                </c:pt>
                <c:pt idx="95">
                  <c:v>1.0676332069095257E-12</c:v>
                </c:pt>
                <c:pt idx="96">
                  <c:v>1.0676332069095257E-12</c:v>
                </c:pt>
                <c:pt idx="97">
                  <c:v>1.0676332069095257E-12</c:v>
                </c:pt>
                <c:pt idx="98">
                  <c:v>1.0676332069095257E-12</c:v>
                </c:pt>
                <c:pt idx="99">
                  <c:v>1.0676332069095257E-12</c:v>
                </c:pt>
                <c:pt idx="100">
                  <c:v>1.0676332069095257E-12</c:v>
                </c:pt>
                <c:pt idx="101">
                  <c:v>1.0676332069095257E-12</c:v>
                </c:pt>
                <c:pt idx="102">
                  <c:v>1.0676332069095257E-12</c:v>
                </c:pt>
                <c:pt idx="103">
                  <c:v>1.0676332069095257E-12</c:v>
                </c:pt>
                <c:pt idx="104">
                  <c:v>1.0676332069095257E-12</c:v>
                </c:pt>
                <c:pt idx="105">
                  <c:v>1.0676332069095257E-12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95642416"/>
        <c:axId val="642381600"/>
      </c:scatterChart>
      <c:valAx>
        <c:axId val="109564241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42381600"/>
        <c:crosses val="autoZero"/>
        <c:crossBetween val="midCat"/>
      </c:valAx>
      <c:valAx>
        <c:axId val="642381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956424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8609104"/>
        <c:axId val="518605296"/>
      </c:scatterChart>
      <c:valAx>
        <c:axId val="5186091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18605296"/>
        <c:crosses val="autoZero"/>
        <c:crossBetween val="midCat"/>
      </c:valAx>
      <c:valAx>
        <c:axId val="51860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186091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42375616"/>
        <c:axId val="642377792"/>
      </c:scatterChart>
      <c:valAx>
        <c:axId val="64237561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42377792"/>
        <c:crosses val="autoZero"/>
        <c:crossBetween val="midCat"/>
      </c:valAx>
      <c:valAx>
        <c:axId val="642377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423756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42376704"/>
        <c:axId val="642378336"/>
      </c:scatterChart>
      <c:valAx>
        <c:axId val="6423767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42378336"/>
        <c:crosses val="autoZero"/>
        <c:crossBetween val="midCat"/>
      </c:valAx>
      <c:valAx>
        <c:axId val="642378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423767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42379968"/>
        <c:axId val="642380512"/>
      </c:scatterChart>
      <c:valAx>
        <c:axId val="6423799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42380512"/>
        <c:crosses val="autoZero"/>
        <c:crossBetween val="midCat"/>
      </c:valAx>
      <c:valAx>
        <c:axId val="642380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423799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507168"/>
        <c:axId val="797508800"/>
      </c:scatterChart>
      <c:valAx>
        <c:axId val="797507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97508800"/>
        <c:crosses val="autoZero"/>
        <c:crossBetween val="midCat"/>
      </c:valAx>
      <c:valAx>
        <c:axId val="797508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97507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507712"/>
        <c:axId val="797509344"/>
      </c:scatterChart>
      <c:valAx>
        <c:axId val="797507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97509344"/>
        <c:crosses val="autoZero"/>
        <c:crossBetween val="midCat"/>
      </c:valAx>
      <c:valAx>
        <c:axId val="797509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97507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511520"/>
        <c:axId val="797512064"/>
      </c:scatterChart>
      <c:valAx>
        <c:axId val="7975115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97512064"/>
        <c:crosses val="autoZero"/>
        <c:crossBetween val="midCat"/>
      </c:valAx>
      <c:valAx>
        <c:axId val="797512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975115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506080"/>
        <c:axId val="518604208"/>
      </c:scatterChart>
      <c:valAx>
        <c:axId val="7975060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18604208"/>
        <c:crosses val="autoZero"/>
        <c:crossBetween val="midCat"/>
      </c:valAx>
      <c:valAx>
        <c:axId val="518604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975060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8607472"/>
        <c:axId val="518602576"/>
      </c:scatterChart>
      <c:valAx>
        <c:axId val="5186074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18602576"/>
        <c:crosses val="autoZero"/>
        <c:crossBetween val="midCat"/>
      </c:valAx>
      <c:valAx>
        <c:axId val="518602576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186074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77734375" customWidth="1"/>
    <col min="2" max="13" width="15.77734375" customWidth="1"/>
  </cols>
  <sheetData>
    <row r="12" spans="2:13" ht="15" customHeight="1" x14ac:dyDescent="0.3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3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3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3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3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3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3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3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3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3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3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3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3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3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3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3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3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3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3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A34" zoomScale="90" zoomScaleNormal="90" workbookViewId="0">
      <selection activeCell="O21" sqref="O21"/>
    </sheetView>
  </sheetViews>
  <sheetFormatPr baseColWidth="10" defaultColWidth="11.44140625" defaultRowHeight="14.4" x14ac:dyDescent="0.3"/>
  <cols>
    <col min="1" max="1" width="13.77734375" style="25" customWidth="1"/>
    <col min="2" max="2" width="36.21875" style="25" customWidth="1"/>
    <col min="3" max="3" width="14.77734375" style="25" bestFit="1" customWidth="1"/>
    <col min="4" max="4" width="16.44140625" style="25" customWidth="1"/>
    <col min="5" max="5" width="23.21875" style="25" customWidth="1"/>
    <col min="6" max="6" width="28.77734375" style="25" bestFit="1" customWidth="1"/>
    <col min="7" max="8" width="14.77734375" style="25" customWidth="1"/>
    <col min="9" max="9" width="17" style="25" customWidth="1"/>
    <col min="10" max="10" width="13.77734375" style="25" customWidth="1"/>
    <col min="11" max="16384" width="11.44140625" style="25"/>
  </cols>
  <sheetData>
    <row r="1" spans="1:38" x14ac:dyDescent="0.3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4" t="s">
        <v>231</v>
      </c>
      <c r="B5" s="304"/>
      <c r="C5" s="26">
        <v>1.4237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36</v>
      </c>
      <c r="C9" s="35">
        <v>1</v>
      </c>
      <c r="D9" s="36">
        <f t="shared" ref="D9:D18" si="0">C9*$C$5</f>
        <v>1.4237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1</v>
      </c>
      <c r="D19" s="41">
        <f>SUM(D9:D18)</f>
        <v>1.4237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12</v>
      </c>
      <c r="B36" s="63">
        <v>108.3</v>
      </c>
      <c r="C36" s="63">
        <v>1</v>
      </c>
      <c r="D36" s="63">
        <v>26.2</v>
      </c>
      <c r="E36" s="54"/>
      <c r="F36" s="54"/>
      <c r="G36" s="54">
        <v>1</v>
      </c>
      <c r="H36" s="54"/>
      <c r="I36" s="52">
        <f>IFERROR(B36/A36,"")</f>
        <v>9.0250000000000004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13</v>
      </c>
      <c r="B37" s="63">
        <v>100.9</v>
      </c>
      <c r="C37" s="63"/>
      <c r="D37" s="63"/>
      <c r="E37" s="54"/>
      <c r="F37" s="54"/>
      <c r="G37" s="54"/>
      <c r="H37" s="54"/>
      <c r="I37" s="56">
        <f t="shared" ref="I37:I55" si="1">IF(A37&lt;&gt;0,(B37-(B36-D36))/(A37-A36),"")</f>
        <v>18.800000000000011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14</v>
      </c>
      <c r="B38" s="63">
        <v>121.7</v>
      </c>
      <c r="C38" s="63"/>
      <c r="D38" s="63"/>
      <c r="E38" s="54"/>
      <c r="F38" s="54"/>
      <c r="G38" s="54"/>
      <c r="H38" s="54"/>
      <c r="I38" s="56">
        <f t="shared" si="1"/>
        <v>20.799999999999997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15</v>
      </c>
      <c r="B39" s="63">
        <v>143.5</v>
      </c>
      <c r="C39" s="63"/>
      <c r="D39" s="63"/>
      <c r="E39" s="54"/>
      <c r="F39" s="54"/>
      <c r="G39" s="54"/>
      <c r="H39" s="54"/>
      <c r="I39" s="52">
        <f t="shared" si="1"/>
        <v>21.799999999999997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16</v>
      </c>
      <c r="B40" s="63">
        <v>166</v>
      </c>
      <c r="C40" s="63"/>
      <c r="D40" s="63"/>
      <c r="E40" s="54"/>
      <c r="F40" s="54"/>
      <c r="G40" s="54"/>
      <c r="H40" s="54"/>
      <c r="I40" s="52">
        <f t="shared" si="1"/>
        <v>22.5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17</v>
      </c>
      <c r="B41" s="63">
        <v>188.9</v>
      </c>
      <c r="C41" s="63"/>
      <c r="D41" s="63"/>
      <c r="E41" s="54"/>
      <c r="F41" s="54"/>
      <c r="G41" s="54"/>
      <c r="H41" s="54"/>
      <c r="I41" s="56">
        <f t="shared" si="1"/>
        <v>22.900000000000006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18</v>
      </c>
      <c r="B42" s="63">
        <v>212.1</v>
      </c>
      <c r="C42" s="63"/>
      <c r="D42" s="63"/>
      <c r="E42" s="54"/>
      <c r="F42" s="54"/>
      <c r="G42" s="54"/>
      <c r="H42" s="54"/>
      <c r="I42" s="56">
        <f t="shared" si="1"/>
        <v>23.199999999999989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3">
        <v>19</v>
      </c>
      <c r="B43" s="63">
        <v>235.4</v>
      </c>
      <c r="C43" s="63"/>
      <c r="D43" s="63"/>
      <c r="E43" s="54"/>
      <c r="F43" s="54"/>
      <c r="G43" s="54"/>
      <c r="H43" s="54"/>
      <c r="I43" s="52">
        <f t="shared" si="1"/>
        <v>23.300000000000011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3">
        <v>20</v>
      </c>
      <c r="B44" s="63">
        <v>258.60000000000002</v>
      </c>
      <c r="C44" s="63">
        <v>2</v>
      </c>
      <c r="D44" s="63">
        <v>62.6</v>
      </c>
      <c r="E44" s="54"/>
      <c r="F44" s="54">
        <v>0.2</v>
      </c>
      <c r="G44" s="54">
        <v>0.8</v>
      </c>
      <c r="H44" s="54"/>
      <c r="I44" s="52">
        <f t="shared" si="1"/>
        <v>23.200000000000017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3">
        <v>21</v>
      </c>
      <c r="B45" s="63">
        <v>213.5</v>
      </c>
      <c r="C45" s="63"/>
      <c r="D45" s="63"/>
      <c r="E45" s="54"/>
      <c r="F45" s="54"/>
      <c r="G45" s="54"/>
      <c r="H45" s="54"/>
      <c r="I45" s="52">
        <f t="shared" si="1"/>
        <v>17.499999999999972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3">
        <v>22</v>
      </c>
      <c r="B46" s="63">
        <v>233.2</v>
      </c>
      <c r="C46" s="63"/>
      <c r="D46" s="63"/>
      <c r="E46" s="54"/>
      <c r="F46" s="54"/>
      <c r="G46" s="54"/>
      <c r="H46" s="54"/>
      <c r="I46" s="52">
        <f t="shared" si="1"/>
        <v>19.699999999999989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3">
        <v>23</v>
      </c>
      <c r="B47" s="63">
        <v>252.9</v>
      </c>
      <c r="C47" s="63"/>
      <c r="D47" s="63"/>
      <c r="E47" s="54"/>
      <c r="F47" s="54"/>
      <c r="G47" s="54"/>
      <c r="H47" s="54"/>
      <c r="I47" s="52">
        <f t="shared" si="1"/>
        <v>19.700000000000017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3">
        <v>24</v>
      </c>
      <c r="B48" s="63">
        <v>272.2</v>
      </c>
      <c r="C48" s="63"/>
      <c r="D48" s="63"/>
      <c r="E48" s="54"/>
      <c r="F48" s="54"/>
      <c r="G48" s="54"/>
      <c r="H48" s="54"/>
      <c r="I48" s="52">
        <f t="shared" si="1"/>
        <v>19.299999999999983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3">
        <v>25</v>
      </c>
      <c r="B49" s="63">
        <v>291.3</v>
      </c>
      <c r="C49" s="63"/>
      <c r="D49" s="63"/>
      <c r="E49" s="54"/>
      <c r="F49" s="54"/>
      <c r="G49" s="54"/>
      <c r="H49" s="54"/>
      <c r="I49" s="52">
        <f t="shared" si="1"/>
        <v>19.100000000000023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>
        <v>26</v>
      </c>
      <c r="B50" s="53">
        <v>309.8</v>
      </c>
      <c r="C50" s="53"/>
      <c r="D50" s="53"/>
      <c r="E50" s="54"/>
      <c r="F50" s="54"/>
      <c r="G50" s="54"/>
      <c r="H50" s="54"/>
      <c r="I50" s="52">
        <f t="shared" si="1"/>
        <v>18.5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3">
        <v>27</v>
      </c>
      <c r="B51" s="53">
        <v>327.9</v>
      </c>
      <c r="C51" s="53"/>
      <c r="D51" s="53"/>
      <c r="E51" s="54"/>
      <c r="F51" s="54"/>
      <c r="G51" s="54"/>
      <c r="H51" s="54"/>
      <c r="I51" s="52">
        <f t="shared" si="1"/>
        <v>18.099999999999966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>
        <v>28</v>
      </c>
      <c r="B52" s="53">
        <v>345.7</v>
      </c>
      <c r="C52" s="53"/>
      <c r="D52" s="53"/>
      <c r="E52" s="54"/>
      <c r="F52" s="54"/>
      <c r="G52" s="54"/>
      <c r="H52" s="54"/>
      <c r="I52" s="52">
        <f t="shared" si="1"/>
        <v>17.800000000000011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3">
        <v>29</v>
      </c>
      <c r="B53" s="53">
        <v>362.6</v>
      </c>
      <c r="C53" s="53"/>
      <c r="D53" s="53"/>
      <c r="E53" s="54"/>
      <c r="F53" s="54"/>
      <c r="G53" s="54"/>
      <c r="H53" s="54"/>
      <c r="I53" s="52">
        <f t="shared" si="1"/>
        <v>16.900000000000034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>
        <v>30</v>
      </c>
      <c r="B54" s="53">
        <v>379</v>
      </c>
      <c r="C54" s="53" t="s">
        <v>324</v>
      </c>
      <c r="D54" s="53">
        <v>379</v>
      </c>
      <c r="E54" s="54">
        <v>0.4</v>
      </c>
      <c r="F54" s="54">
        <v>0.4</v>
      </c>
      <c r="G54" s="54">
        <v>0.2</v>
      </c>
      <c r="H54" s="54"/>
      <c r="I54" s="52">
        <f t="shared" si="1"/>
        <v>16.399999999999977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="115" zoomScaleNormal="115" workbookViewId="0">
      <selection activeCell="G15" sqref="G15"/>
    </sheetView>
  </sheetViews>
  <sheetFormatPr baseColWidth="10" defaultColWidth="11.44140625" defaultRowHeight="14.4" x14ac:dyDescent="0.3"/>
  <cols>
    <col min="1" max="1" width="5.77734375" style="1" customWidth="1"/>
    <col min="2" max="2" width="14.21875" style="1" customWidth="1"/>
    <col min="3" max="3" width="62.21875" style="1" customWidth="1"/>
    <col min="4" max="5" width="4.21875" style="1" customWidth="1"/>
    <col min="6" max="6" width="14.21875" style="1" customWidth="1"/>
    <col min="7" max="7" width="73.2187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71" bestFit="1" customWidth="1"/>
    <col min="2" max="4" width="11.44140625" style="71"/>
    <col min="5" max="5" width="9.5546875" style="71" customWidth="1"/>
    <col min="6" max="7" width="11.44140625" style="71"/>
    <col min="8" max="8" width="10.7773437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77734375" style="71" bestFit="1" customWidth="1"/>
    <col min="25" max="25" width="14.5546875" style="71" bestFit="1" customWidth="1"/>
    <col min="26" max="26" width="12.44140625" style="71" bestFit="1" customWidth="1"/>
    <col min="27" max="27" width="9.7773437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21875" style="71" bestFit="1" customWidth="1"/>
    <col min="45" max="45" width="11.77734375" style="71" bestFit="1" customWidth="1"/>
    <col min="46" max="46" width="8.44140625" style="71" bestFit="1" customWidth="1"/>
    <col min="47" max="47" width="9.44140625" style="71" bestFit="1" customWidth="1"/>
    <col min="48" max="48" width="9.7773437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2187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21875" style="71" bestFit="1" customWidth="1"/>
    <col min="66" max="66" width="11.77734375" style="71" bestFit="1" customWidth="1"/>
    <col min="67" max="67" width="8.44140625" style="71" bestFit="1" customWidth="1"/>
    <col min="68" max="68" width="9.44140625" style="71" bestFit="1" customWidth="1"/>
    <col min="69" max="69" width="9.7773437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777343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21875" style="71" bestFit="1" customWidth="1"/>
    <col min="87" max="87" width="11.77734375" style="71" bestFit="1" customWidth="1"/>
    <col min="88" max="88" width="8.44140625" style="71" bestFit="1" customWidth="1"/>
    <col min="89" max="89" width="9.44140625" style="71" bestFit="1" customWidth="1"/>
    <col min="90" max="90" width="9.7773437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21875" style="71" bestFit="1" customWidth="1"/>
    <col min="108" max="108" width="11.77734375" style="71" bestFit="1" customWidth="1"/>
    <col min="109" max="109" width="8.44140625" style="71" bestFit="1" customWidth="1"/>
    <col min="110" max="110" width="9.44140625" style="71" bestFit="1" customWidth="1"/>
    <col min="111" max="111" width="9.7773437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2187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21875" style="71" bestFit="1" customWidth="1"/>
    <col min="129" max="129" width="11.77734375" style="71" bestFit="1" customWidth="1"/>
    <col min="130" max="130" width="8.44140625" style="71" bestFit="1" customWidth="1"/>
    <col min="131" max="131" width="9.44140625" style="71" bestFit="1" customWidth="1"/>
    <col min="132" max="132" width="9.7773437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21875" style="71" bestFit="1" customWidth="1"/>
    <col min="150" max="150" width="11.77734375" style="71" bestFit="1" customWidth="1"/>
    <col min="151" max="151" width="8.44140625" style="71" bestFit="1" customWidth="1"/>
    <col min="152" max="152" width="9.44140625" style="71" bestFit="1" customWidth="1"/>
    <col min="153" max="153" width="9.7773437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21875" style="71" bestFit="1" customWidth="1"/>
    <col min="171" max="171" width="11.77734375" style="71" bestFit="1" customWidth="1"/>
    <col min="172" max="172" width="8.21875" style="71" bestFit="1" customWidth="1"/>
    <col min="173" max="173" width="9.44140625" style="71" bestFit="1" customWidth="1"/>
    <col min="174" max="174" width="9.7773437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2187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7773437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2187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21875" style="71" bestFit="1" customWidth="1"/>
    <col min="213" max="213" width="11.77734375" style="71" bestFit="1" customWidth="1"/>
    <col min="214" max="214" width="8.44140625" style="71" bestFit="1" customWidth="1"/>
    <col min="215" max="215" width="9.44140625" style="71" bestFit="1" customWidth="1"/>
    <col min="216" max="216" width="9.7773437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179.92943593637102</v>
      </c>
      <c r="T3" s="62">
        <f>IF('Données projet'!E9&gt;30,$R$33-$H$33,LOOKUP('Données projet'!$E$9,$A$3:$A$203,R3:R203)-LOOKUP('Données projet'!$E$9,$A$3:$A$203,$H$3:$H$203))</f>
        <v>449.95981246883593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9.0250000000000004</v>
      </c>
      <c r="N4" s="14">
        <f>IF('Données projet'!$A$36&gt;35,N3+M4-V3,IF(A4&lt;'Données projet'!$A$36,$K$205^A4,IF(A4='Données projet'!$A$36,'Données projet'!$B$36,N3+M4-V3)))</f>
        <v>1.4775846521465832</v>
      </c>
      <c r="O4" s="14">
        <f>N4*VLOOKUP('Données projet'!$B$9,Paramètres!$A$1:$I$89,3,0)*VLOOKUP('Données projet'!$B$9,Paramètres!$A$1:$I$89,5,0)</f>
        <v>0.88359562198365682</v>
      </c>
      <c r="P4" s="14">
        <f>EXP(-1.0587+0.8836*LN(O4)+0.284)</f>
        <v>0.41310619369671242</v>
      </c>
      <c r="Q4" s="22">
        <f t="shared" ref="Q4:Q34" si="2">(O4+P4)*0.475*44/12</f>
        <v>2.2584223289766427</v>
      </c>
      <c r="R4" s="62">
        <f t="shared" si="0"/>
        <v>295.59175566230994</v>
      </c>
      <c r="S4" s="62">
        <f ca="1">AVERAGE(OFFSET($R$3,0,0,'Données projet'!$E$9+1,1))-AVERAGE(OFFSET($H$3,0,0,'Données projet'!$E$9+1,1))</f>
        <v>179.92943593637102</v>
      </c>
      <c r="T4" s="62">
        <f>$T$3</f>
        <v>449.95981246883593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9.0250000000000004</v>
      </c>
      <c r="N5" s="14">
        <f>IF('Données projet'!$A$36&gt;35,N4+M5-V4,IF(A5&lt;'Données projet'!$A$36,$K$205^A5,IF(A5='Données projet'!$A$36,'Données projet'!$B$36,N4+M5-V4)))</f>
        <v>2.1832564042591391</v>
      </c>
      <c r="O5" s="14">
        <f>N5*VLOOKUP('Données projet'!$B$9,Paramètres!$A$1:$I$89,3,0)*VLOOKUP('Données projet'!$B$9,Paramètres!$A$1:$I$89,5,0)</f>
        <v>1.3055873297469653</v>
      </c>
      <c r="P5" s="14">
        <f t="shared" ref="P5:P68" si="33">EXP(-1.0587+0.8836*LN(O5)+0.284)</f>
        <v>0.58328147269415853</v>
      </c>
      <c r="Q5" s="22">
        <f t="shared" si="2"/>
        <v>3.2897798309182904</v>
      </c>
      <c r="R5" s="62">
        <f t="shared" si="0"/>
        <v>296.62311316425161</v>
      </c>
      <c r="S5" s="62">
        <f ca="1">AVERAGE(OFFSET($R$3,0,0,'Données projet'!$E$9+1,1))-AVERAGE(OFFSET($H$3,0,0,'Données projet'!$E$9+1,1))</f>
        <v>179.92943593637102</v>
      </c>
      <c r="T5" s="62">
        <f t="shared" ref="T5:T68" si="34">$T$3</f>
        <v>449.95981246883593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9.0250000000000004</v>
      </c>
      <c r="N6" s="14">
        <f>IF('Données projet'!$A$36&gt;35,N5+M6-V5,IF(A6&lt;'Données projet'!$A$36,$K$205^A6,IF(A6='Données projet'!$A$36,'Données projet'!$B$36,N5+M6-V5)))</f>
        <v>3.2259461546340402</v>
      </c>
      <c r="O6" s="14">
        <f>N6*VLOOKUP('Données projet'!$B$9,Paramètres!$A$1:$I$89,3,0)*VLOOKUP('Données projet'!$B$9,Paramètres!$A$1:$I$89,5,0)</f>
        <v>1.9291158004711562</v>
      </c>
      <c r="P6" s="14">
        <f t="shared" si="33"/>
        <v>0.82355888529243781</v>
      </c>
      <c r="Q6" s="22">
        <f t="shared" si="2"/>
        <v>4.7942417443715932</v>
      </c>
      <c r="R6" s="62">
        <f t="shared" si="0"/>
        <v>298.12757507770493</v>
      </c>
      <c r="S6" s="62">
        <f ca="1">AVERAGE(OFFSET($R$3,0,0,'Données projet'!$E$9+1,1))-AVERAGE(OFFSET($H$3,0,0,'Données projet'!$E$9+1,1))</f>
        <v>179.92943593637102</v>
      </c>
      <c r="T6" s="62">
        <f t="shared" si="34"/>
        <v>449.95981246883593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9.0250000000000004</v>
      </c>
      <c r="N7" s="14">
        <f>IF('Données projet'!$A$36&gt;35,N6+M7-V6,IF(A7&lt;'Données projet'!$A$36,$K$205^A7,IF(A7='Données projet'!$A$36,'Données projet'!$B$36,N6+M7-V6)))</f>
        <v>4.7666085267385458</v>
      </c>
      <c r="O7" s="14">
        <f>N7*VLOOKUP('Données projet'!$B$9,Paramètres!$A$1:$I$89,3,0)*VLOOKUP('Données projet'!$B$9,Paramètres!$A$1:$I$89,5,0)</f>
        <v>2.8504318989896507</v>
      </c>
      <c r="P7" s="14">
        <f t="shared" si="33"/>
        <v>1.1628163576177228</v>
      </c>
      <c r="Q7" s="22">
        <f t="shared" si="2"/>
        <v>6.9897407135911749</v>
      </c>
      <c r="R7" s="62">
        <f t="shared" si="0"/>
        <v>300.32307404692449</v>
      </c>
      <c r="S7" s="62">
        <f ca="1">AVERAGE(OFFSET($R$3,0,0,'Données projet'!$E$9+1,1))-AVERAGE(OFFSET($H$3,0,0,'Données projet'!$E$9+1,1))</f>
        <v>179.92943593637102</v>
      </c>
      <c r="T7" s="62">
        <f t="shared" si="34"/>
        <v>449.95981246883593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9.0250000000000004</v>
      </c>
      <c r="N8" s="14">
        <f>IF('Données projet'!$A$36&gt;35,N7+M8-V7,IF(A8&lt;'Données projet'!$A$36,$K$205^A8,IF(A8='Données projet'!$A$36,'Données projet'!$B$36,N7+M8-V7)))</f>
        <v>7.0430676018999119</v>
      </c>
      <c r="O8" s="14">
        <f>N8*VLOOKUP('Données projet'!$B$9,Paramètres!$A$1:$I$89,3,0)*VLOOKUP('Données projet'!$B$9,Paramètres!$A$1:$I$89,5,0)</f>
        <v>4.2117544259361477</v>
      </c>
      <c r="P8" s="14">
        <f t="shared" si="33"/>
        <v>1.6418278106042359</v>
      </c>
      <c r="Q8" s="22">
        <f t="shared" si="2"/>
        <v>10.1949890619745</v>
      </c>
      <c r="R8" s="62">
        <f t="shared" si="0"/>
        <v>303.52832239530784</v>
      </c>
      <c r="S8" s="62">
        <f ca="1">AVERAGE(OFFSET($R$3,0,0,'Données projet'!$E$9+1,1))-AVERAGE(OFFSET($H$3,0,0,'Données projet'!$E$9+1,1))</f>
        <v>179.92943593637102</v>
      </c>
      <c r="T8" s="62">
        <f t="shared" si="34"/>
        <v>449.95981246883593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9.0250000000000004</v>
      </c>
      <c r="N9" s="14">
        <f>IF('Données projet'!$A$36&gt;35,N8+M9-V8,IF(A9&lt;'Données projet'!$A$36,$K$205^A9,IF(A9='Données projet'!$A$36,'Données projet'!$B$36,N8+M9-V8)))</f>
        <v>10.406728592598149</v>
      </c>
      <c r="O9" s="14">
        <f>N9*VLOOKUP('Données projet'!$B$9,Paramètres!$A$1:$I$89,3,0)*VLOOKUP('Données projet'!$B$9,Paramètres!$A$1:$I$89,5,0)</f>
        <v>6.2232236983736939</v>
      </c>
      <c r="P9" s="14">
        <f t="shared" si="33"/>
        <v>2.3181636051250658</v>
      </c>
      <c r="Q9" s="22">
        <f t="shared" si="2"/>
        <v>14.876249553593672</v>
      </c>
      <c r="R9" s="62">
        <f t="shared" si="0"/>
        <v>308.20958288692697</v>
      </c>
      <c r="S9" s="62">
        <f ca="1">AVERAGE(OFFSET($R$3,0,0,'Données projet'!$E$9+1,1))-AVERAGE(OFFSET($H$3,0,0,'Données projet'!$E$9+1,1))</f>
        <v>179.92943593637102</v>
      </c>
      <c r="T9" s="62">
        <f t="shared" si="34"/>
        <v>449.95981246883593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9.0250000000000004</v>
      </c>
      <c r="N10" s="14">
        <f>IF('Données projet'!$A$36&gt;35,N9+M10-V9,IF(A10&lt;'Données projet'!$A$36,$K$205^A10,IF(A10='Données projet'!$A$36,'Données projet'!$B$36,N9+M10-V9)))</f>
        <v>15.376822447478039</v>
      </c>
      <c r="O10" s="14">
        <f>N10*VLOOKUP('Données projet'!$B$9,Paramètres!$A$1:$I$89,3,0)*VLOOKUP('Données projet'!$B$9,Paramètres!$A$1:$I$89,5,0)</f>
        <v>9.1953398235918691</v>
      </c>
      <c r="P10" s="14">
        <f t="shared" si="33"/>
        <v>3.2731096802098341</v>
      </c>
      <c r="Q10" s="22">
        <f t="shared" si="2"/>
        <v>21.715882885787966</v>
      </c>
      <c r="R10" s="62">
        <f t="shared" si="0"/>
        <v>315.04921621912126</v>
      </c>
      <c r="S10" s="62">
        <f ca="1">AVERAGE(OFFSET($R$3,0,0,'Données projet'!$E$9+1,1))-AVERAGE(OFFSET($H$3,0,0,'Données projet'!$E$9+1,1))</f>
        <v>179.92943593637102</v>
      </c>
      <c r="T10" s="62">
        <f t="shared" si="34"/>
        <v>449.95981246883593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9.0250000000000004</v>
      </c>
      <c r="N11" s="14">
        <f>IF('Données projet'!$A$36&gt;35,N10+M11-V10,IF(A11&lt;'Données projet'!$A$36,$K$205^A11,IF(A11='Données projet'!$A$36,'Données projet'!$B$36,N10+M11-V10)))</f>
        <v>22.72055684717661</v>
      </c>
      <c r="O11" s="14">
        <f>N11*VLOOKUP('Données projet'!$B$9,Paramètres!$A$1:$I$89,3,0)*VLOOKUP('Données projet'!$B$9,Paramètres!$A$1:$I$89,5,0)</f>
        <v>13.586892994611613</v>
      </c>
      <c r="P11" s="14">
        <f t="shared" si="33"/>
        <v>4.621436966311677</v>
      </c>
      <c r="Q11" s="22">
        <f t="shared" si="2"/>
        <v>31.712841348608066</v>
      </c>
      <c r="R11" s="62">
        <f t="shared" si="0"/>
        <v>325.04617468194135</v>
      </c>
      <c r="S11" s="62">
        <f ca="1">AVERAGE(OFFSET($R$3,0,0,'Données projet'!$E$9+1,1))-AVERAGE(OFFSET($H$3,0,0,'Données projet'!$E$9+1,1))</f>
        <v>179.92943593637102</v>
      </c>
      <c r="T11" s="62">
        <f t="shared" si="34"/>
        <v>449.95981246883593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9.0250000000000004</v>
      </c>
      <c r="N12" s="14">
        <f>IF('Données projet'!$A$36&gt;35,N11+M12-V11,IF(A12&lt;'Données projet'!$A$36,$K$205^A12,IF(A12='Données projet'!$A$36,'Données projet'!$B$36,N11+M12-V11)))</f>
        <v>33.57154608561212</v>
      </c>
      <c r="O12" s="14">
        <f>N12*VLOOKUP('Données projet'!$B$9,Paramètres!$A$1:$I$89,3,0)*VLOOKUP('Données projet'!$B$9,Paramètres!$A$1:$I$89,5,0)</f>
        <v>20.075784559196048</v>
      </c>
      <c r="P12" s="14">
        <f t="shared" si="33"/>
        <v>6.5251952180908432</v>
      </c>
      <c r="Q12" s="22">
        <f t="shared" si="2"/>
        <v>46.330039778774669</v>
      </c>
      <c r="R12" s="62">
        <f t="shared" si="0"/>
        <v>339.66337311210799</v>
      </c>
      <c r="S12" s="62">
        <f ca="1">AVERAGE(OFFSET($R$3,0,0,'Données projet'!$E$9+1,1))-AVERAGE(OFFSET($H$3,0,0,'Données projet'!$E$9+1,1))</f>
        <v>179.92943593637102</v>
      </c>
      <c r="T12" s="62">
        <f t="shared" si="34"/>
        <v>449.95981246883593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9.0250000000000004</v>
      </c>
      <c r="N13" s="14">
        <f>IF('Données projet'!$A$36&gt;35,N12+M13-V12,IF(A13&lt;'Données projet'!$A$36,$K$205^A13,IF(A13='Données projet'!$A$36,'Données projet'!$B$36,N12+M13-V12)))</f>
        <v>49.604801244932169</v>
      </c>
      <c r="O13" s="14">
        <f>N13*VLOOKUP('Données projet'!$B$9,Paramètres!$A$1:$I$89,3,0)*VLOOKUP('Données projet'!$B$9,Paramètres!$A$1:$I$89,5,0)</f>
        <v>29.66367114446944</v>
      </c>
      <c r="P13" s="14">
        <f t="shared" si="33"/>
        <v>9.2131890891453274</v>
      </c>
      <c r="Q13" s="22">
        <f t="shared" si="2"/>
        <v>67.710531573545708</v>
      </c>
      <c r="R13" s="62">
        <f t="shared" si="0"/>
        <v>361.04386490687904</v>
      </c>
      <c r="S13" s="62">
        <f ca="1">AVERAGE(OFFSET($R$3,0,0,'Données projet'!$E$9+1,1))-AVERAGE(OFFSET($H$3,0,0,'Données projet'!$E$9+1,1))</f>
        <v>179.92943593637102</v>
      </c>
      <c r="T13" s="62">
        <f t="shared" si="34"/>
        <v>449.95981246883593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9.0250000000000004</v>
      </c>
      <c r="N14" s="14">
        <f>IF('Données projet'!$A$36&gt;35,N13+M14-V13,IF(A14&lt;'Données projet'!$A$36,$K$205^A14,IF(A14='Données projet'!$A$36,'Données projet'!$B$36,N13+M14-V13)))</f>
        <v>73.295292992293497</v>
      </c>
      <c r="O14" s="14">
        <f>N14*VLOOKUP('Données projet'!$B$9,Paramètres!$A$1:$I$89,3,0)*VLOOKUP('Données projet'!$B$9,Paramètres!$A$1:$I$89,5,0)</f>
        <v>43.830585209391515</v>
      </c>
      <c r="P14" s="14">
        <f t="shared" si="33"/>
        <v>13.008477195749215</v>
      </c>
      <c r="Q14" s="22">
        <f t="shared" si="2"/>
        <v>98.994700355620111</v>
      </c>
      <c r="R14" s="62">
        <f t="shared" si="0"/>
        <v>392.32803368895344</v>
      </c>
      <c r="S14" s="62">
        <f ca="1">AVERAGE(OFFSET($R$3,0,0,'Données projet'!$E$9+1,1))-AVERAGE(OFFSET($H$3,0,0,'Données projet'!$E$9+1,1))</f>
        <v>179.92943593637102</v>
      </c>
      <c r="T14" s="62">
        <f t="shared" si="34"/>
        <v>449.95981246883593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>
        <f>VLOOKUP(A15,'Données projet'!$A$35:$I$55,2,0)</f>
        <v>108.3</v>
      </c>
      <c r="L15" s="13">
        <f>VLOOKUP(A15,'Données projet'!$A$35:$I$55,9,0)</f>
        <v>9.0250000000000004</v>
      </c>
      <c r="M15" s="13">
        <f t="array" ref="M15">INDEX(L:L,MIN(IF(ISNUMBER(L15:L211),ROW(L15:L211),"")))</f>
        <v>9.0250000000000004</v>
      </c>
      <c r="N15" s="14">
        <f>IF('Données projet'!$A$36&gt;35,N14+M15-V14,IF(A15&lt;'Données projet'!$A$36,$K$205^A15,IF(A15='Données projet'!$A$36,'Données projet'!$B$36,N14+M15-V14)))</f>
        <v>108.3</v>
      </c>
      <c r="O15" s="14">
        <f>N15*VLOOKUP('Données projet'!$B$9,Paramètres!$A$1:$I$89,3,0)*VLOOKUP('Données projet'!$B$9,Paramètres!$A$1:$I$89,5,0)</f>
        <v>64.763400000000004</v>
      </c>
      <c r="P15" s="14">
        <f t="shared" si="33"/>
        <v>18.367199165780438</v>
      </c>
      <c r="Q15" s="22">
        <f t="shared" si="2"/>
        <v>144.78579354706758</v>
      </c>
      <c r="R15" s="62">
        <f t="shared" si="0"/>
        <v>438.11912688040093</v>
      </c>
      <c r="S15" s="62">
        <f ca="1">AVERAGE(OFFSET($R$3,0,0,'Données projet'!$E$9+1,1))-AVERAGE(OFFSET($H$3,0,0,'Données projet'!$E$9+1,1))</f>
        <v>179.92943593637102</v>
      </c>
      <c r="T15" s="62">
        <f t="shared" si="34"/>
        <v>449.95981246883593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26.2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17.739362744725653</v>
      </c>
      <c r="AC15" s="24">
        <f t="shared" si="3"/>
        <v>17.739362744725653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>
        <f>VLOOKUP(A16,'Données projet'!$A$35:$I$55,2,0)</f>
        <v>100.9</v>
      </c>
      <c r="L16" s="13">
        <f>VLOOKUP(A16,'Données projet'!$A$35:$I$55,9,0)</f>
        <v>18.800000000000011</v>
      </c>
      <c r="M16" s="13">
        <f t="array" ref="M16">INDEX(L:L,MIN(IF(ISNUMBER(L16:L212),ROW(L16:L212),"")))</f>
        <v>18.800000000000011</v>
      </c>
      <c r="N16" s="14">
        <f>IF('Données projet'!$A$36&gt;35,N15+M16-V15,IF(A16&lt;'Données projet'!$A$36,$K$205^A16,IF(A16='Données projet'!$A$36,'Données projet'!$B$36,N15+M16-V15)))</f>
        <v>100.9</v>
      </c>
      <c r="O16" s="14">
        <f>N16*VLOOKUP('Données projet'!$B$9,Paramètres!$A$1:$I$89,3,0)*VLOOKUP('Données projet'!$B$9,Paramètres!$A$1:$I$89,5,0)</f>
        <v>60.338200000000001</v>
      </c>
      <c r="P16" s="14">
        <f t="shared" si="33"/>
        <v>17.253748591083351</v>
      </c>
      <c r="Q16" s="22">
        <f t="shared" si="2"/>
        <v>135.13931046280351</v>
      </c>
      <c r="R16" s="62">
        <f t="shared" si="0"/>
        <v>428.47264379613682</v>
      </c>
      <c r="S16" s="62">
        <f ca="1">AVERAGE(OFFSET($R$3,0,0,'Données projet'!$E$9+1,1))-AVERAGE(OFFSET($H$3,0,0,'Données projet'!$E$9+1,1))</f>
        <v>179.92943593637102</v>
      </c>
      <c r="T16" s="62">
        <f t="shared" si="34"/>
        <v>449.95981246883593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12.543623690723516</v>
      </c>
      <c r="AC16" s="24">
        <f t="shared" si="3"/>
        <v>12.543623690723516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>
        <f>VLOOKUP(A17,'Données projet'!$A$35:$I$55,2,0)</f>
        <v>121.7</v>
      </c>
      <c r="L17" s="13">
        <f>VLOOKUP(A17,'Données projet'!$A$35:$I$55,9,0)</f>
        <v>20.799999999999997</v>
      </c>
      <c r="M17" s="13">
        <f t="array" ref="M17">INDEX(L:L,MIN(IF(ISNUMBER(L17:L213),ROW(L17:L213),"")))</f>
        <v>20.799999999999997</v>
      </c>
      <c r="N17" s="14">
        <f>IF('Données projet'!$A$36&gt;35,N16+M17-V16,IF(A17&lt;'Données projet'!$A$36,$K$205^A17,IF(A17='Données projet'!$A$36,'Données projet'!$B$36,N16+M17-V16)))</f>
        <v>121.7</v>
      </c>
      <c r="O17" s="14">
        <f>N17*VLOOKUP('Données projet'!$B$9,Paramètres!$A$1:$I$89,3,0)*VLOOKUP('Données projet'!$B$9,Paramètres!$A$1:$I$89,5,0)</f>
        <v>72.776600000000016</v>
      </c>
      <c r="P17" s="14">
        <f t="shared" si="33"/>
        <v>20.361416421050556</v>
      </c>
      <c r="Q17" s="22">
        <f t="shared" si="2"/>
        <v>162.2153785999964</v>
      </c>
      <c r="R17" s="62">
        <f t="shared" si="0"/>
        <v>455.54871193332974</v>
      </c>
      <c r="S17" s="62">
        <f ca="1">AVERAGE(OFFSET($R$3,0,0,'Données projet'!$E$9+1,1))-AVERAGE(OFFSET($H$3,0,0,'Données projet'!$E$9+1,1))</f>
        <v>179.92943593637102</v>
      </c>
      <c r="T17" s="62">
        <f t="shared" si="34"/>
        <v>449.95981246883593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8.8696813723628267</v>
      </c>
      <c r="AC17" s="24">
        <f t="shared" si="3"/>
        <v>8.8696813723628267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>
        <f>VLOOKUP(A18,'Données projet'!$A$35:$I$55,2,0)</f>
        <v>143.5</v>
      </c>
      <c r="L18" s="13">
        <f>VLOOKUP(A18,'Données projet'!$A$35:$I$55,9,0)</f>
        <v>21.799999999999997</v>
      </c>
      <c r="M18" s="13">
        <f t="array" ref="M18">INDEX(L:L,MIN(IF(ISNUMBER(L18:L214),ROW(L18:L214),"")))</f>
        <v>21.799999999999997</v>
      </c>
      <c r="N18" s="14">
        <f>IF('Données projet'!$A$36&gt;35,N17+M18-V17,IF(A18&lt;'Données projet'!$A$36,$K$205^A18,IF(A18='Données projet'!$A$36,'Données projet'!$B$36,N17+M18-V17)))</f>
        <v>143.5</v>
      </c>
      <c r="O18" s="14">
        <f>N18*VLOOKUP('Données projet'!$B$9,Paramètres!$A$1:$I$89,3,0)*VLOOKUP('Données projet'!$B$9,Paramètres!$A$1:$I$89,5,0)</f>
        <v>85.813000000000017</v>
      </c>
      <c r="P18" s="14">
        <f t="shared" si="33"/>
        <v>23.552638744509842</v>
      </c>
      <c r="Q18" s="22">
        <f t="shared" si="2"/>
        <v>190.4784874800213</v>
      </c>
      <c r="R18" s="62">
        <f t="shared" si="0"/>
        <v>483.81182081335464</v>
      </c>
      <c r="S18" s="62">
        <f ca="1">AVERAGE(OFFSET($R$3,0,0,'Données projet'!$E$9+1,1))-AVERAGE(OFFSET($H$3,0,0,'Données projet'!$E$9+1,1))</f>
        <v>179.92943593637102</v>
      </c>
      <c r="T18" s="62">
        <f t="shared" si="34"/>
        <v>449.95981246883593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6.271811845361758</v>
      </c>
      <c r="AC18" s="24">
        <f t="shared" si="3"/>
        <v>6.271811845361758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>
        <f>VLOOKUP(A19,'Données projet'!$A$35:$I$55,2,0)</f>
        <v>166</v>
      </c>
      <c r="L19" s="13">
        <f>VLOOKUP(A19,'Données projet'!$A$35:$I$55,9,0)</f>
        <v>22.5</v>
      </c>
      <c r="M19" s="13">
        <f t="array" ref="M19">INDEX(L:L,MIN(IF(ISNUMBER(L19:L215),ROW(L19:L215),"")))</f>
        <v>22.5</v>
      </c>
      <c r="N19" s="14">
        <f>IF('Données projet'!$A$36&gt;35,N18+M19-V18,IF(A19&lt;'Données projet'!$A$36,$K$205^A19,IF(A19='Données projet'!$A$36,'Données projet'!$B$36,N18+M19-V18)))</f>
        <v>166</v>
      </c>
      <c r="O19" s="14">
        <f>N19*VLOOKUP('Données projet'!$B$9,Paramètres!$A$1:$I$89,3,0)*VLOOKUP('Données projet'!$B$9,Paramètres!$A$1:$I$89,5,0)</f>
        <v>99.268000000000001</v>
      </c>
      <c r="P19" s="14">
        <f t="shared" si="33"/>
        <v>26.78753414535981</v>
      </c>
      <c r="Q19" s="22">
        <f t="shared" si="2"/>
        <v>219.54672196983498</v>
      </c>
      <c r="R19" s="62">
        <f t="shared" si="0"/>
        <v>512.88005530316832</v>
      </c>
      <c r="S19" s="62">
        <f ca="1">AVERAGE(OFFSET($R$3,0,0,'Données projet'!$E$9+1,1))-AVERAGE(OFFSET($H$3,0,0,'Données projet'!$E$9+1,1))</f>
        <v>179.92943593637102</v>
      </c>
      <c r="T19" s="62">
        <f t="shared" si="34"/>
        <v>449.95981246883593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4.4348406861814134</v>
      </c>
      <c r="AC19" s="24">
        <f t="shared" si="3"/>
        <v>4.4348406861814134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>
        <f>VLOOKUP(A20,'Données projet'!$A$35:$I$55,2,0)</f>
        <v>188.9</v>
      </c>
      <c r="L20" s="13">
        <f>VLOOKUP(A20,'Données projet'!$A$35:$I$55,9,0)</f>
        <v>22.900000000000006</v>
      </c>
      <c r="M20" s="13">
        <f t="array" ref="M20">INDEX(L:L,MIN(IF(ISNUMBER(L20:L216),ROW(L20:L216),"")))</f>
        <v>22.900000000000006</v>
      </c>
      <c r="N20" s="14">
        <f>IF('Données projet'!$A$36&gt;35,N19+M20-V19,IF(A20&lt;'Données projet'!$A$36,$K$205^A20,IF(A20='Données projet'!$A$36,'Données projet'!$B$36,N19+M20-V19)))</f>
        <v>188.9</v>
      </c>
      <c r="O20" s="14">
        <f>N20*VLOOKUP('Données projet'!$B$9,Paramètres!$A$1:$I$89,3,0)*VLOOKUP('Données projet'!$B$9,Paramètres!$A$1:$I$89,5,0)</f>
        <v>112.96220000000001</v>
      </c>
      <c r="P20" s="14">
        <f t="shared" si="33"/>
        <v>30.027818977534416</v>
      </c>
      <c r="Q20" s="22">
        <f t="shared" si="2"/>
        <v>249.04094971920577</v>
      </c>
      <c r="R20" s="62">
        <f t="shared" si="0"/>
        <v>542.37428305253911</v>
      </c>
      <c r="S20" s="62">
        <f ca="1">AVERAGE(OFFSET($R$3,0,0,'Données projet'!$E$9+1,1))-AVERAGE(OFFSET($H$3,0,0,'Données projet'!$E$9+1,1))</f>
        <v>179.92943593637102</v>
      </c>
      <c r="T20" s="62">
        <f t="shared" si="34"/>
        <v>449.95981246883593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3.135905922680879</v>
      </c>
      <c r="AC20" s="24">
        <f t="shared" si="3"/>
        <v>3.135905922680879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>
        <f>VLOOKUP(A21,'Données projet'!$A$35:$I$55,2,0)</f>
        <v>212.1</v>
      </c>
      <c r="L21" s="13">
        <f>VLOOKUP(A21,'Données projet'!$A$35:$I$55,9,0)</f>
        <v>23.199999999999989</v>
      </c>
      <c r="M21" s="13">
        <f t="array" ref="M21">INDEX(L:L,MIN(IF(ISNUMBER(L21:L217),ROW(L21:L217),"")))</f>
        <v>23.199999999999989</v>
      </c>
      <c r="N21" s="14">
        <f>IF('Données projet'!$A$36&gt;35,N20+M21-V20,IF(A21&lt;'Données projet'!$A$36,$K$205^A21,IF(A21='Données projet'!$A$36,'Données projet'!$B$36,N20+M21-V20)))</f>
        <v>212.1</v>
      </c>
      <c r="O21" s="14">
        <f>N21*VLOOKUP('Données projet'!$B$9,Paramètres!$A$1:$I$89,3,0)*VLOOKUP('Données projet'!$B$9,Paramètres!$A$1:$I$89,5,0)</f>
        <v>126.83580000000001</v>
      </c>
      <c r="P21" s="14">
        <f t="shared" si="33"/>
        <v>33.264160367804408</v>
      </c>
      <c r="Q21" s="22">
        <f t="shared" si="2"/>
        <v>278.84076430725935</v>
      </c>
      <c r="R21" s="62">
        <f t="shared" si="0"/>
        <v>572.17409764059266</v>
      </c>
      <c r="S21" s="62">
        <f ca="1">AVERAGE(OFFSET($R$3,0,0,'Données projet'!$E$9+1,1))-AVERAGE(OFFSET($H$3,0,0,'Données projet'!$E$9+1,1))</f>
        <v>179.92943593637102</v>
      </c>
      <c r="T21" s="62">
        <f t="shared" si="34"/>
        <v>449.95981246883593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2.2174203430907067</v>
      </c>
      <c r="AC21" s="24">
        <f t="shared" si="3"/>
        <v>2.2174203430907067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>
        <f>VLOOKUP(A22,'Données projet'!$A$35:$I$55,2,0)</f>
        <v>235.4</v>
      </c>
      <c r="L22" s="13">
        <f>VLOOKUP(A22,'Données projet'!$A$35:$I$55,9,0)</f>
        <v>23.300000000000011</v>
      </c>
      <c r="M22" s="13">
        <f t="array" ref="M22">INDEX(L:L,MIN(IF(ISNUMBER(L22:L218),ROW(L22:L218),"")))</f>
        <v>23.300000000000011</v>
      </c>
      <c r="N22" s="14">
        <f>IF('Données projet'!$A$36&gt;35,N21+M22-V21,IF(A22&lt;'Données projet'!$A$36,$K$205^A22,IF(A22='Données projet'!$A$36,'Données projet'!$B$36,N21+M22-V21)))</f>
        <v>235.4</v>
      </c>
      <c r="O22" s="14">
        <f>N22*VLOOKUP('Données projet'!$B$9,Paramètres!$A$1:$I$89,3,0)*VLOOKUP('Données projet'!$B$9,Paramètres!$A$1:$I$89,5,0)</f>
        <v>140.76920000000001</v>
      </c>
      <c r="P22" s="14">
        <f t="shared" si="33"/>
        <v>36.473162181268776</v>
      </c>
      <c r="Q22" s="22">
        <f t="shared" si="2"/>
        <v>308.69711413237644</v>
      </c>
      <c r="R22" s="62">
        <f t="shared" si="0"/>
        <v>602.03044746570981</v>
      </c>
      <c r="S22" s="62">
        <f ca="1">AVERAGE(OFFSET($R$3,0,0,'Données projet'!$E$9+1,1))-AVERAGE(OFFSET($H$3,0,0,'Données projet'!$E$9+1,1))</f>
        <v>179.92943593637102</v>
      </c>
      <c r="T22" s="62">
        <f t="shared" si="34"/>
        <v>449.95981246883593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1.5679529613404395</v>
      </c>
      <c r="AC22" s="24">
        <f t="shared" si="3"/>
        <v>1.5679529613404395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>
        <f>VLOOKUP(A23,'Données projet'!$A$35:$I$55,2,0)</f>
        <v>258.60000000000002</v>
      </c>
      <c r="L23" s="13">
        <f>VLOOKUP(A23,'Données projet'!$A$35:$I$55,9,0)</f>
        <v>23.200000000000017</v>
      </c>
      <c r="M23" s="13">
        <f t="array" ref="M23">INDEX(L:L,MIN(IF(ISNUMBER(L23:L219),ROW(L23:L219),"")))</f>
        <v>23.200000000000017</v>
      </c>
      <c r="N23" s="14">
        <f>IF('Données projet'!$A$36&gt;35,N22+M23-V22,IF(A23&lt;'Données projet'!$A$36,$K$205^A23,IF(A23='Données projet'!$A$36,'Données projet'!$B$36,N22+M23-V22)))</f>
        <v>258.60000000000002</v>
      </c>
      <c r="O23" s="14">
        <f>N23*VLOOKUP('Données projet'!$B$9,Paramètres!$A$1:$I$89,3,0)*VLOOKUP('Données projet'!$B$9,Paramètres!$A$1:$I$89,5,0)</f>
        <v>154.64280000000002</v>
      </c>
      <c r="P23" s="14">
        <f t="shared" si="33"/>
        <v>39.631799470164985</v>
      </c>
      <c r="Q23" s="22">
        <f t="shared" si="2"/>
        <v>338.36159407720407</v>
      </c>
      <c r="R23" s="62">
        <f t="shared" si="0"/>
        <v>631.69492741053739</v>
      </c>
      <c r="S23" s="62">
        <f ca="1">AVERAGE(OFFSET($R$3,0,0,'Données projet'!$E$9+1,1))-AVERAGE(OFFSET($H$3,0,0,'Données projet'!$E$9+1,1))</f>
        <v>179.92943593637102</v>
      </c>
      <c r="T23" s="62">
        <f t="shared" si="34"/>
        <v>449.95981246883593</v>
      </c>
      <c r="U23" s="16">
        <f>IF(ISNA(VLOOKUP(A23,'Données projet'!$A$35:$I$55,3,0)),0,VLOOKUP(A23,'Données projet'!$A$35:$I$55,3,0))</f>
        <v>2</v>
      </c>
      <c r="V23" s="16">
        <f>IF(ISNA(VLOOKUP(A23,'Données projet'!$A$35:$I$55,4,0)),0,VLOOKUP(A23,'Données projet'!$A$35:$I$55,4,0))</f>
        <v>62.6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9.0000000000000011E-2</v>
      </c>
      <c r="Y23" s="17">
        <f>IF(ISNA(VLOOKUP(A23,'Données projet'!$A$35:$I$55,7,0)),0%,VLOOKUP(A23,'Données projet'!$A$35:$I$55,7,0))</f>
        <v>0.8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4.4517731412503094</v>
      </c>
      <c r="AB23" s="23">
        <f>EXP(-LN(2)/2)*AB22+(1-EXP(-LN(2)/2))/(LN(2)/2)*V23*Y23*VLOOKUP('Données projet'!$B$9,Paramètres!$A$1:$I$89,3,0)*0.475*44/12</f>
        <v>35.016621860700347</v>
      </c>
      <c r="AC23" s="24">
        <f t="shared" si="3"/>
        <v>39.468395001950654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>
        <f>VLOOKUP(A24,'Données projet'!$A$35:$I$55,2,0)</f>
        <v>213.5</v>
      </c>
      <c r="L24" s="13">
        <f>VLOOKUP(A24,'Données projet'!$A$35:$I$55,9,0)</f>
        <v>17.499999999999972</v>
      </c>
      <c r="M24" s="13">
        <f t="array" ref="M24">INDEX(L:L,MIN(IF(ISNUMBER(L24:L220),ROW(L24:L220),"")))</f>
        <v>17.499999999999972</v>
      </c>
      <c r="N24" s="14">
        <f>IF('Données projet'!$A$36&gt;35,N23+M24-V23,IF(A24&lt;'Données projet'!$A$36,$K$205^A24,IF(A24='Données projet'!$A$36,'Données projet'!$B$36,N23+M24-V23)))</f>
        <v>213.50000000000003</v>
      </c>
      <c r="O24" s="14">
        <f>N24*VLOOKUP('Données projet'!$B$9,Paramètres!$A$1:$I$89,3,0)*VLOOKUP('Données projet'!$B$9,Paramètres!$A$1:$I$89,5,0)</f>
        <v>127.67300000000003</v>
      </c>
      <c r="P24" s="14">
        <f t="shared" si="33"/>
        <v>33.458094021097544</v>
      </c>
      <c r="Q24" s="22">
        <f t="shared" si="2"/>
        <v>280.63665542007823</v>
      </c>
      <c r="R24" s="62">
        <f t="shared" si="0"/>
        <v>573.9699887534116</v>
      </c>
      <c r="S24" s="62">
        <f ca="1">AVERAGE(OFFSET($R$3,0,0,'Données projet'!$E$9+1,1))-AVERAGE(OFFSET($H$3,0,0,'Données projet'!$E$9+1,1))</f>
        <v>179.92943593637102</v>
      </c>
      <c r="T24" s="62">
        <f t="shared" si="34"/>
        <v>449.95981246883593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4.3300391705942447</v>
      </c>
      <c r="AB24" s="23">
        <f>EXP(-LN(2)/2)*AB23+(1-EXP(-LN(2)/2))/(LN(2)/2)*V24*Y24*VLOOKUP('Données projet'!$B$9,Paramètres!$A$1:$I$89,3,0)*0.475*44/12</f>
        <v>24.760490771946319</v>
      </c>
      <c r="AC24" s="24">
        <f t="shared" si="3"/>
        <v>29.090529942540563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>
        <f>VLOOKUP(A25,'Données projet'!$A$35:$I$55,2,0)</f>
        <v>233.2</v>
      </c>
      <c r="L25" s="13">
        <f>VLOOKUP(A25,'Données projet'!$A$35:$I$55,9,0)</f>
        <v>19.699999999999989</v>
      </c>
      <c r="M25" s="13">
        <f t="array" ref="M25">INDEX(L:L,MIN(IF(ISNUMBER(L25:L221),ROW(L25:L221),"")))</f>
        <v>19.699999999999989</v>
      </c>
      <c r="N25" s="14">
        <f>IF('Données projet'!$A$36&gt;35,N24+M25-V24,IF(A25&lt;'Données projet'!$A$36,$K$205^A25,IF(A25='Données projet'!$A$36,'Données projet'!$B$36,N24+M25-V24)))</f>
        <v>233.20000000000002</v>
      </c>
      <c r="O25" s="14">
        <f>N25*VLOOKUP('Données projet'!$B$9,Paramètres!$A$1:$I$89,3,0)*VLOOKUP('Données projet'!$B$9,Paramètres!$A$1:$I$89,5,0)</f>
        <v>139.45360000000002</v>
      </c>
      <c r="P25" s="14">
        <f t="shared" si="33"/>
        <v>36.171804453944937</v>
      </c>
      <c r="Q25" s="22">
        <f t="shared" si="2"/>
        <v>305.88091275728743</v>
      </c>
      <c r="R25" s="62">
        <f t="shared" si="0"/>
        <v>599.21424609062069</v>
      </c>
      <c r="S25" s="62">
        <f ca="1">AVERAGE(OFFSET($R$3,0,0,'Données projet'!$E$9+1,1))-AVERAGE(OFFSET($H$3,0,0,'Données projet'!$E$9+1,1))</f>
        <v>179.92943593637102</v>
      </c>
      <c r="T25" s="62">
        <f t="shared" si="34"/>
        <v>449.95981246883593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4.2116340217674813</v>
      </c>
      <c r="AB25" s="23">
        <f>EXP(-LN(2)/2)*AB24+(1-EXP(-LN(2)/2))/(LN(2)/2)*V25*Y25*VLOOKUP('Données projet'!$B$9,Paramètres!$A$1:$I$89,3,0)*0.475*44/12</f>
        <v>17.508310930350177</v>
      </c>
      <c r="AC25" s="24">
        <f t="shared" si="3"/>
        <v>21.719944952117658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>
        <f>VLOOKUP(A26,'Données projet'!$A$35:$I$55,2,0)</f>
        <v>252.9</v>
      </c>
      <c r="L26" s="13">
        <f>VLOOKUP(A26,'Données projet'!$A$35:$I$55,9,0)</f>
        <v>19.700000000000017</v>
      </c>
      <c r="M26" s="13">
        <f t="array" ref="M26">INDEX(L:L,MIN(IF(ISNUMBER(L26:L222),ROW(L26:L222),"")))</f>
        <v>19.700000000000017</v>
      </c>
      <c r="N26" s="14">
        <f>IF('Données projet'!$A$36&gt;35,N25+M26-V25,IF(A26&lt;'Données projet'!$A$36,$K$205^A26,IF(A26='Données projet'!$A$36,'Données projet'!$B$36,N25+M26-V25)))</f>
        <v>252.90000000000003</v>
      </c>
      <c r="O26" s="14">
        <f>N26*VLOOKUP('Données projet'!$B$9,Paramètres!$A$1:$I$89,3,0)*VLOOKUP('Données projet'!$B$9,Paramètres!$A$1:$I$89,5,0)</f>
        <v>151.23420000000002</v>
      </c>
      <c r="P26" s="14">
        <f t="shared" si="33"/>
        <v>38.858928097470375</v>
      </c>
      <c r="Q26" s="22">
        <f t="shared" si="2"/>
        <v>331.07886476976091</v>
      </c>
      <c r="R26" s="62">
        <f t="shared" si="0"/>
        <v>624.41219810309417</v>
      </c>
      <c r="S26" s="62">
        <f ca="1">AVERAGE(OFFSET($R$3,0,0,'Données projet'!$E$9+1,1))-AVERAGE(OFFSET($H$3,0,0,'Données projet'!$E$9+1,1))</f>
        <v>179.92943593637102</v>
      </c>
      <c r="T26" s="62">
        <f t="shared" si="34"/>
        <v>449.95981246883593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4.0964666679620425</v>
      </c>
      <c r="AB26" s="23">
        <f>EXP(-LN(2)/2)*AB25+(1-EXP(-LN(2)/2))/(LN(2)/2)*V26*Y26*VLOOKUP('Données projet'!$B$9,Paramètres!$A$1:$I$89,3,0)*0.475*44/12</f>
        <v>12.380245385973161</v>
      </c>
      <c r="AC26" s="24">
        <f t="shared" si="3"/>
        <v>16.476712053935202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>
        <f>VLOOKUP(A27,'Données projet'!$A$35:$I$55,2,0)</f>
        <v>272.2</v>
      </c>
      <c r="L27" s="13">
        <f>VLOOKUP(A27,'Données projet'!$A$35:$I$55,9,0)</f>
        <v>19.299999999999983</v>
      </c>
      <c r="M27" s="13">
        <f t="array" ref="M27">INDEX(L:L,MIN(IF(ISNUMBER(L27:L223),ROW(L27:L223),"")))</f>
        <v>19.299999999999983</v>
      </c>
      <c r="N27" s="14">
        <f>IF('Données projet'!$A$36&gt;35,N26+M27-V26,IF(A27&lt;'Données projet'!$A$36,$K$205^A27,IF(A27='Données projet'!$A$36,'Données projet'!$B$36,N26+M27-V26)))</f>
        <v>272.20000000000005</v>
      </c>
      <c r="O27" s="14">
        <f>N27*VLOOKUP('Données projet'!$B$9,Paramètres!$A$1:$I$89,3,0)*VLOOKUP('Données projet'!$B$9,Paramètres!$A$1:$I$89,5,0)</f>
        <v>162.77560000000005</v>
      </c>
      <c r="P27" s="14">
        <f t="shared" si="33"/>
        <v>41.467931707956311</v>
      </c>
      <c r="Q27" s="22">
        <f t="shared" si="2"/>
        <v>355.72415105802401</v>
      </c>
      <c r="R27" s="62">
        <f t="shared" si="0"/>
        <v>649.05748439135732</v>
      </c>
      <c r="S27" s="62">
        <f ca="1">AVERAGE(OFFSET($R$3,0,0,'Données projet'!$E$9+1,1))-AVERAGE(OFFSET($H$3,0,0,'Données projet'!$E$9+1,1))</f>
        <v>179.92943593637102</v>
      </c>
      <c r="T27" s="62">
        <f t="shared" si="34"/>
        <v>449.95981246883593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3.9844485715028011</v>
      </c>
      <c r="AB27" s="23">
        <f>EXP(-LN(2)/2)*AB26+(1-EXP(-LN(2)/2))/(LN(2)/2)*V27*Y27*VLOOKUP('Données projet'!$B$9,Paramètres!$A$1:$I$89,3,0)*0.475*44/12</f>
        <v>8.7541554651750886</v>
      </c>
      <c r="AC27" s="24">
        <f t="shared" si="3"/>
        <v>12.73860403667789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291.3</v>
      </c>
      <c r="L28" s="13">
        <f>VLOOKUP(A28,'Données projet'!$A$35:$I$55,9,0)</f>
        <v>19.100000000000023</v>
      </c>
      <c r="M28" s="13">
        <f t="array" ref="M28">INDEX(L:L,MIN(IF(ISNUMBER(L28:L224),ROW(L28:L224),"")))</f>
        <v>19.100000000000023</v>
      </c>
      <c r="N28" s="14">
        <f>IF('Données projet'!$A$36&gt;35,N27+M28-V27,IF(A28&lt;'Données projet'!$A$36,$K$205^A28,IF(A28='Données projet'!$A$36,'Données projet'!$B$36,N27+M28-V27)))</f>
        <v>291.30000000000007</v>
      </c>
      <c r="O28" s="14">
        <f>N28*VLOOKUP('Données projet'!$B$9,Paramètres!$A$1:$I$89,3,0)*VLOOKUP('Données projet'!$B$9,Paramètres!$A$1:$I$89,5,0)</f>
        <v>174.19740000000007</v>
      </c>
      <c r="P28" s="14">
        <f t="shared" si="33"/>
        <v>44.028762923830691</v>
      </c>
      <c r="Q28" s="22">
        <f t="shared" si="2"/>
        <v>380.0772337590052</v>
      </c>
      <c r="R28" s="62">
        <f t="shared" si="0"/>
        <v>673.41056709233851</v>
      </c>
      <c r="S28" s="62">
        <f ca="1">AVERAGE(OFFSET($R$3,0,0,'Données projet'!$E$9+1,1))-AVERAGE(OFFSET($H$3,0,0,'Données projet'!$E$9+1,1))</f>
        <v>179.92943593637102</v>
      </c>
      <c r="T28" s="62">
        <f t="shared" si="34"/>
        <v>449.95981246883593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3.875493615782013</v>
      </c>
      <c r="AB28" s="23">
        <f>EXP(-LN(2)/2)*AB27+(1-EXP(-LN(2)/2))/(LN(2)/2)*V28*Y28*VLOOKUP('Données projet'!$B$9,Paramètres!$A$1:$I$89,3,0)*0.475*44/12</f>
        <v>6.1901226929865807</v>
      </c>
      <c r="AC28" s="24">
        <f t="shared" si="3"/>
        <v>10.065616308768593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>
        <f>VLOOKUP(A29,'Données projet'!$A$35:$I$55,2,0)</f>
        <v>309.8</v>
      </c>
      <c r="L29" s="13">
        <f>VLOOKUP(A29,'Données projet'!$A$35:$I$55,9,0)</f>
        <v>18.5</v>
      </c>
      <c r="M29" s="13">
        <f t="array" ref="M29">INDEX(L:L,MIN(IF(ISNUMBER(L29:L225),ROW(L29:L225),"")))</f>
        <v>18.5</v>
      </c>
      <c r="N29" s="14">
        <f>IF('Données projet'!$A$36&gt;35,N28+M29-V28,IF(A29&lt;'Données projet'!$A$36,$K$205^A29,IF(A29='Données projet'!$A$36,'Données projet'!$B$36,N28+M29-V28)))</f>
        <v>309.80000000000007</v>
      </c>
      <c r="O29" s="14">
        <f>N29*VLOOKUP('Données projet'!$B$9,Paramètres!$A$1:$I$89,3,0)*VLOOKUP('Données projet'!$B$9,Paramètres!$A$1:$I$89,5,0)</f>
        <v>185.26040000000006</v>
      </c>
      <c r="P29" s="14">
        <f t="shared" si="33"/>
        <v>46.490558977978807</v>
      </c>
      <c r="Q29" s="22">
        <f t="shared" si="2"/>
        <v>403.63292021997989</v>
      </c>
      <c r="R29" s="62">
        <f t="shared" si="0"/>
        <v>696.96625355331321</v>
      </c>
      <c r="S29" s="62">
        <f ca="1">AVERAGE(OFFSET($R$3,0,0,'Données projet'!$E$9+1,1))-AVERAGE(OFFSET($H$3,0,0,'Données projet'!$E$9+1,1))</f>
        <v>179.92943593637102</v>
      </c>
      <c r="T29" s="62">
        <f t="shared" si="34"/>
        <v>449.95981246883593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3.769518039055102</v>
      </c>
      <c r="AB29" s="23">
        <f>EXP(-LN(2)/2)*AB28+(1-EXP(-LN(2)/2))/(LN(2)/2)*V29*Y29*VLOOKUP('Données projet'!$B$9,Paramètres!$A$1:$I$89,3,0)*0.475*44/12</f>
        <v>4.3770777325875443</v>
      </c>
      <c r="AC29" s="24">
        <f t="shared" si="3"/>
        <v>8.1465957716426463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>
        <f>VLOOKUP(A30,'Données projet'!$A$35:$I$55,2,0)</f>
        <v>327.9</v>
      </c>
      <c r="L30" s="13">
        <f>VLOOKUP(A30,'Données projet'!$A$35:$I$55,9,0)</f>
        <v>18.099999999999966</v>
      </c>
      <c r="M30" s="13">
        <f t="array" ref="M30">INDEX(L:L,MIN(IF(ISNUMBER(L30:L226),ROW(L30:L226),"")))</f>
        <v>18.099999999999966</v>
      </c>
      <c r="N30" s="14">
        <f>IF('Données projet'!$A$36&gt;35,N29+M30-V29,IF(A30&lt;'Données projet'!$A$36,$K$205^A30,IF(A30='Données projet'!$A$36,'Données projet'!$B$36,N29+M30-V29)))</f>
        <v>327.90000000000003</v>
      </c>
      <c r="O30" s="14">
        <f>N30*VLOOKUP('Données projet'!$B$9,Paramètres!$A$1:$I$89,3,0)*VLOOKUP('Données projet'!$B$9,Paramètres!$A$1:$I$89,5,0)</f>
        <v>196.08420000000004</v>
      </c>
      <c r="P30" s="14">
        <f t="shared" si="33"/>
        <v>48.882605562569879</v>
      </c>
      <c r="Q30" s="22">
        <f t="shared" si="2"/>
        <v>426.65051968814259</v>
      </c>
      <c r="R30" s="62">
        <f t="shared" si="0"/>
        <v>719.98385302147585</v>
      </c>
      <c r="S30" s="62">
        <f ca="1">AVERAGE(OFFSET($R$3,0,0,'Données projet'!$E$9+1,1))-AVERAGE(OFFSET($H$3,0,0,'Données projet'!$E$9+1,1))</f>
        <v>179.92943593637102</v>
      </c>
      <c r="T30" s="62">
        <f t="shared" si="34"/>
        <v>449.95981246883593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3.6664403700468018</v>
      </c>
      <c r="AB30" s="23">
        <f>EXP(-LN(2)/2)*AB29+(1-EXP(-LN(2)/2))/(LN(2)/2)*V30*Y30*VLOOKUP('Données projet'!$B$9,Paramètres!$A$1:$I$89,3,0)*0.475*44/12</f>
        <v>3.0950613464932903</v>
      </c>
      <c r="AC30" s="24">
        <f t="shared" si="3"/>
        <v>6.7615017165400921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>
        <f>VLOOKUP(A31,'Données projet'!$A$35:$I$55,2,0)</f>
        <v>345.7</v>
      </c>
      <c r="L31" s="13">
        <f>VLOOKUP(A31,'Données projet'!$A$35:$I$55,9,0)</f>
        <v>17.800000000000011</v>
      </c>
      <c r="M31" s="13">
        <f t="array" ref="M31">INDEX(L:L,MIN(IF(ISNUMBER(L31:L227),ROW(L31:L227),"")))</f>
        <v>17.800000000000011</v>
      </c>
      <c r="N31" s="14">
        <f>IF('Données projet'!$A$36&gt;35,N30+M31-V30,IF(A31&lt;'Données projet'!$A$36,$K$205^A31,IF(A31='Données projet'!$A$36,'Données projet'!$B$36,N30+M31-V30)))</f>
        <v>345.70000000000005</v>
      </c>
      <c r="O31" s="14">
        <f>N31*VLOOKUP('Données projet'!$B$9,Paramètres!$A$1:$I$89,3,0)*VLOOKUP('Données projet'!$B$9,Paramètres!$A$1:$I$89,5,0)</f>
        <v>206.72860000000003</v>
      </c>
      <c r="P31" s="14">
        <f t="shared" si="33"/>
        <v>51.220050557032849</v>
      </c>
      <c r="Q31" s="22">
        <f t="shared" si="2"/>
        <v>449.26056638683218</v>
      </c>
      <c r="R31" s="62">
        <f t="shared" si="0"/>
        <v>742.5938997201655</v>
      </c>
      <c r="S31" s="62">
        <f ca="1">AVERAGE(OFFSET($R$3,0,0,'Données projet'!$E$9+1,1))-AVERAGE(OFFSET($H$3,0,0,'Données projet'!$E$9+1,1))</f>
        <v>179.92943593637102</v>
      </c>
      <c r="T31" s="62">
        <f t="shared" si="34"/>
        <v>449.95981246883593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3.5661813653181529</v>
      </c>
      <c r="AB31" s="23">
        <f>EXP(-LN(2)/2)*AB30+(1-EXP(-LN(2)/2))/(LN(2)/2)*V31*Y31*VLOOKUP('Données projet'!$B$9,Paramètres!$A$1:$I$89,3,0)*0.475*44/12</f>
        <v>2.1885388662937721</v>
      </c>
      <c r="AC31" s="24">
        <f t="shared" si="3"/>
        <v>5.754720231611925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>
        <f>VLOOKUP(A32,'Données projet'!$A$35:$I$55,2,0)</f>
        <v>362.6</v>
      </c>
      <c r="L32" s="13">
        <f>VLOOKUP(A32,'Données projet'!$A$35:$I$55,9,0)</f>
        <v>16.900000000000034</v>
      </c>
      <c r="M32" s="13">
        <f t="array" ref="M32">INDEX(L:L,MIN(IF(ISNUMBER(L32:L228),ROW(L32:L228),"")))</f>
        <v>16.900000000000034</v>
      </c>
      <c r="N32" s="14">
        <f>IF('Données projet'!$A$36&gt;35,N31+M32-V31,IF(A32&lt;'Données projet'!$A$36,$K$205^A32,IF(A32='Données projet'!$A$36,'Données projet'!$B$36,N31+M32-V31)))</f>
        <v>362.60000000000008</v>
      </c>
      <c r="O32" s="14">
        <f>N32*VLOOKUP('Données projet'!$B$9,Paramètres!$A$1:$I$89,3,0)*VLOOKUP('Données projet'!$B$9,Paramètres!$A$1:$I$89,5,0)</f>
        <v>216.83480000000006</v>
      </c>
      <c r="P32" s="14">
        <f t="shared" si="33"/>
        <v>53.426365991771704</v>
      </c>
      <c r="Q32" s="22">
        <f t="shared" si="2"/>
        <v>470.70486410233576</v>
      </c>
      <c r="R32" s="62">
        <f t="shared" si="0"/>
        <v>764.03819743566908</v>
      </c>
      <c r="S32" s="62">
        <f ca="1">AVERAGE(OFFSET($R$3,0,0,'Données projet'!$E$9+1,1))-AVERAGE(OFFSET($H$3,0,0,'Données projet'!$E$9+1,1))</f>
        <v>179.92943593637102</v>
      </c>
      <c r="T32" s="62">
        <f t="shared" si="34"/>
        <v>449.95981246883593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3.4686639483462005</v>
      </c>
      <c r="AB32" s="23">
        <f>EXP(-LN(2)/2)*AB31+(1-EXP(-LN(2)/2))/(LN(2)/2)*V32*Y32*VLOOKUP('Données projet'!$B$9,Paramètres!$A$1:$I$89,3,0)*0.475*44/12</f>
        <v>1.5475306732466452</v>
      </c>
      <c r="AC32" s="24">
        <f t="shared" si="3"/>
        <v>5.0161946215928452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379</v>
      </c>
      <c r="L33" s="13">
        <f>VLOOKUP(A33,'Données projet'!$A$35:$I$55,9,0)</f>
        <v>16.399999999999977</v>
      </c>
      <c r="M33" s="13">
        <f t="array" ref="M33">INDEX(L:L,MIN(IF(ISNUMBER(L33:L229),ROW(L33:L229),"")))</f>
        <v>16.399999999999977</v>
      </c>
      <c r="N33" s="14">
        <f>IF('Données projet'!$A$36&gt;35,N32+M33-V32,IF(A33&lt;'Données projet'!$A$36,$K$205^A33,IF(A33='Données projet'!$A$36,'Données projet'!$B$36,N32+M33-V32)))</f>
        <v>379.00000000000006</v>
      </c>
      <c r="O33" s="14">
        <f>N33*VLOOKUP('Données projet'!$B$9,Paramètres!$A$1:$I$89,3,0)*VLOOKUP('Données projet'!$B$9,Paramètres!$A$1:$I$89,5,0)</f>
        <v>226.64200000000005</v>
      </c>
      <c r="P33" s="14">
        <f t="shared" si="33"/>
        <v>55.555983079812862</v>
      </c>
      <c r="Q33" s="22">
        <f t="shared" si="2"/>
        <v>491.49482053067408</v>
      </c>
      <c r="R33" s="62">
        <f t="shared" si="0"/>
        <v>784.82815386400739</v>
      </c>
      <c r="S33" s="62">
        <f ca="1">AVERAGE(OFFSET($R$3,0,0,'Données projet'!$E$9+1,1))-AVERAGE(OFFSET($H$3,0,0,'Données projet'!$E$9+1,1))</f>
        <v>179.92943593637102</v>
      </c>
      <c r="T33" s="62">
        <f t="shared" si="34"/>
        <v>449.95981246883593</v>
      </c>
      <c r="U33" s="16" t="str">
        <f>IF(ISNA(VLOOKUP(A33,'Données projet'!$A$35:$I$55,3,0)),0,VLOOKUP(A33,'Données projet'!$A$35:$I$55,3,0))</f>
        <v>CF</v>
      </c>
      <c r="V33" s="16">
        <f>IF(ISNA(VLOOKUP(A33,'Données projet'!$A$35:$I$55,4,0)),0,VLOOKUP(A33,'Données projet'!$A$35:$I$55,4,0))</f>
        <v>379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0.18000000000000002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projet'!$B$9,Paramètres!$A$1:$I$89,3,0)*0.475*44/12</f>
        <v>54.117939835751095</v>
      </c>
      <c r="AA33" s="23">
        <f>EXP(-LN(2)/25)*AA32+(1-EXP(-LN(2)/25))/(LN(2)/25)*Calculateur!V33*Calculateur!X33*VLOOKUP('Données projet'!$B$9,Paramètres!$A$1:$I$89,3,0)*0.475*44/12</f>
        <v>57.278670036335612</v>
      </c>
      <c r="AB33" s="23">
        <f>EXP(-LN(2)/2)*AB32+(1-EXP(-LN(2)/2))/(LN(2)/2)*V33*Y33*VLOOKUP('Données projet'!$B$9,Paramètres!$A$1:$I$89,3,0)*0.475*44/12</f>
        <v>52.416547908345542</v>
      </c>
      <c r="AC33" s="24">
        <f t="shared" si="3"/>
        <v>163.81315778043225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5.6843418860808015E-14</v>
      </c>
      <c r="O34" s="14">
        <f>N34*VLOOKUP('Données projet'!$B$9,Paramètres!$A$1:$I$89,3,0)*VLOOKUP('Données projet'!$B$9,Paramètres!$A$1:$I$89,5,0)</f>
        <v>3.3992364478763198E-14</v>
      </c>
      <c r="P34" s="14">
        <f t="shared" si="33"/>
        <v>5.790027782444094E-13</v>
      </c>
      <c r="Q34" s="22">
        <f t="shared" si="2"/>
        <v>1.0676332069095257E-12</v>
      </c>
      <c r="R34" s="62">
        <f t="shared" si="0"/>
        <v>293.33333333333439</v>
      </c>
      <c r="S34" s="62">
        <f ca="1">AVERAGE(OFFSET($R$3,0,0,'Données projet'!$E$9+1,1))-AVERAGE(OFFSET($H$3,0,0,'Données projet'!$E$9+1,1))</f>
        <v>179.92943593637102</v>
      </c>
      <c r="T34" s="62">
        <f t="shared" si="34"/>
        <v>449.95981246883593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53.056720044255982</v>
      </c>
      <c r="AA34" s="23">
        <f>EXP(-LN(2)/25)*AA33+(1-EXP(-LN(2)/25))/(LN(2)/25)*Calculateur!V34*Calculateur!X34*VLOOKUP('Données projet'!$B$9,Paramètres!$A$1:$I$89,3,0)*0.475*44/12</f>
        <v>55.712381792037668</v>
      </c>
      <c r="AB34" s="23">
        <f>EXP(-LN(2)/2)*AB33+(1-EXP(-LN(2)/2))/(LN(2)/2)*V34*Y34*VLOOKUP('Données projet'!$B$9,Paramètres!$A$1:$I$89,3,0)*0.475*44/12</f>
        <v>37.064096472380676</v>
      </c>
      <c r="AC34" s="24">
        <f t="shared" si="3"/>
        <v>145.83319830867433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5.6843418860808015E-14</v>
      </c>
      <c r="O35" s="14">
        <f>N35*VLOOKUP('Données projet'!$B$9,Paramètres!$A$1:$I$89,3,0)*VLOOKUP('Données projet'!$B$9,Paramètres!$A$1:$I$89,5,0)</f>
        <v>3.3992364478763198E-14</v>
      </c>
      <c r="P35" s="14">
        <f t="shared" si="33"/>
        <v>5.790027782444094E-13</v>
      </c>
      <c r="Q35" s="22">
        <f t="shared" ref="Q35:Q66" si="53">(O35+P35)*0.475*44/12</f>
        <v>1.0676332069095257E-12</v>
      </c>
      <c r="R35" s="62">
        <f t="shared" si="0"/>
        <v>293.33333333333439</v>
      </c>
      <c r="S35" s="62">
        <f ca="1">AVERAGE(OFFSET($R$3,0,0,'Données projet'!$E$9+1,1))-AVERAGE(OFFSET($H$3,0,0,'Données projet'!$E$9+1,1))</f>
        <v>179.92943593637102</v>
      </c>
      <c r="T35" s="62">
        <f t="shared" si="34"/>
        <v>449.95981246883593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52.016310125591929</v>
      </c>
      <c r="AA35" s="23">
        <f>EXP(-LN(2)/25)*AA34+(1-EXP(-LN(2)/25))/(LN(2)/25)*Calculateur!V35*Calculateur!X35*VLOOKUP('Données projet'!$B$9,Paramètres!$A$1:$I$89,3,0)*0.475*44/12</f>
        <v>54.188923782147569</v>
      </c>
      <c r="AB35" s="23">
        <f>EXP(-LN(2)/2)*AB34+(1-EXP(-LN(2)/2))/(LN(2)/2)*V35*Y35*VLOOKUP('Données projet'!$B$9,Paramètres!$A$1:$I$89,3,0)*0.475*44/12</f>
        <v>26.208273954172771</v>
      </c>
      <c r="AC35" s="24">
        <f t="shared" si="3"/>
        <v>132.41350786191228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5.6843418860808015E-14</v>
      </c>
      <c r="O36" s="14">
        <f>N36*VLOOKUP('Données projet'!$B$9,Paramètres!$A$1:$I$89,3,0)*VLOOKUP('Données projet'!$B$9,Paramètres!$A$1:$I$89,5,0)</f>
        <v>3.3992364478763198E-14</v>
      </c>
      <c r="P36" s="14">
        <f t="shared" si="33"/>
        <v>5.790027782444094E-13</v>
      </c>
      <c r="Q36" s="22">
        <f t="shared" si="53"/>
        <v>1.0676332069095257E-12</v>
      </c>
      <c r="R36" s="62">
        <f t="shared" si="0"/>
        <v>293.33333333333439</v>
      </c>
      <c r="S36" s="62">
        <f ca="1">AVERAGE(OFFSET($R$3,0,0,'Données projet'!$E$9+1,1))-AVERAGE(OFFSET($H$3,0,0,'Données projet'!$E$9+1,1))</f>
        <v>179.92943593637102</v>
      </c>
      <c r="T36" s="62">
        <f t="shared" si="34"/>
        <v>449.95981246883593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50.996302010845483</v>
      </c>
      <c r="AA36" s="23">
        <f>EXP(-LN(2)/25)*AA35+(1-EXP(-LN(2)/25))/(LN(2)/25)*Calculateur!V36*Calculateur!X36*VLOOKUP('Données projet'!$B$9,Paramètres!$A$1:$I$89,3,0)*0.475*44/12</f>
        <v>52.707124811653095</v>
      </c>
      <c r="AB36" s="23">
        <f>EXP(-LN(2)/2)*AB35+(1-EXP(-LN(2)/2))/(LN(2)/2)*V36*Y36*VLOOKUP('Données projet'!$B$9,Paramètres!$A$1:$I$89,3,0)*0.475*44/12</f>
        <v>18.532048236190338</v>
      </c>
      <c r="AC36" s="24">
        <f t="shared" si="3"/>
        <v>122.23547505868892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5.6843418860808015E-14</v>
      </c>
      <c r="O37" s="14">
        <f>N37*VLOOKUP('Données projet'!$B$9,Paramètres!$A$1:$I$89,3,0)*VLOOKUP('Données projet'!$B$9,Paramètres!$A$1:$I$89,5,0)</f>
        <v>3.3992364478763198E-14</v>
      </c>
      <c r="P37" s="14">
        <f t="shared" si="33"/>
        <v>5.790027782444094E-13</v>
      </c>
      <c r="Q37" s="22">
        <f t="shared" si="53"/>
        <v>1.0676332069095257E-12</v>
      </c>
      <c r="R37" s="62">
        <f t="shared" si="0"/>
        <v>293.33333333333439</v>
      </c>
      <c r="S37" s="62">
        <f ca="1">AVERAGE(OFFSET($R$3,0,0,'Données projet'!$E$9+1,1))-AVERAGE(OFFSET($H$3,0,0,'Données projet'!$E$9+1,1))</f>
        <v>179.92943593637102</v>
      </c>
      <c r="T37" s="62">
        <f t="shared" si="34"/>
        <v>449.95981246883593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49.996295633085701</v>
      </c>
      <c r="AA37" s="23">
        <f>EXP(-LN(2)/25)*AA36+(1-EXP(-LN(2)/25))/(LN(2)/25)*Calculateur!V37*Calculateur!X37*VLOOKUP('Données projet'!$B$9,Paramètres!$A$1:$I$89,3,0)*0.475*44/12</f>
        <v>51.265845711931213</v>
      </c>
      <c r="AB37" s="23">
        <f>EXP(-LN(2)/2)*AB36+(1-EXP(-LN(2)/2))/(LN(2)/2)*V37*Y37*VLOOKUP('Données projet'!$B$9,Paramètres!$A$1:$I$89,3,0)*0.475*44/12</f>
        <v>13.104136977086386</v>
      </c>
      <c r="AC37" s="24">
        <f t="shared" si="3"/>
        <v>114.3662783221033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5.6843418860808015E-14</v>
      </c>
      <c r="O38" s="14">
        <f>N38*VLOOKUP('Données projet'!$B$9,Paramètres!$A$1:$I$89,3,0)*VLOOKUP('Données projet'!$B$9,Paramètres!$A$1:$I$89,5,0)</f>
        <v>3.3992364478763198E-14</v>
      </c>
      <c r="P38" s="14">
        <f t="shared" si="33"/>
        <v>5.790027782444094E-13</v>
      </c>
      <c r="Q38" s="22">
        <f t="shared" si="53"/>
        <v>1.0676332069095257E-12</v>
      </c>
      <c r="R38" s="62">
        <f t="shared" si="0"/>
        <v>293.33333333333439</v>
      </c>
      <c r="S38" s="62">
        <f ca="1">AVERAGE(OFFSET($R$3,0,0,'Données projet'!$E$9+1,1))-AVERAGE(OFFSET($H$3,0,0,'Données projet'!$E$9+1,1))</f>
        <v>179.92943593637102</v>
      </c>
      <c r="T38" s="62">
        <f t="shared" si="34"/>
        <v>449.95981246883593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49.015898770450121</v>
      </c>
      <c r="AA38" s="23">
        <f>EXP(-LN(2)/25)*AA37+(1-EXP(-LN(2)/25))/(LN(2)/25)*Calculateur!V38*Calculateur!X38*VLOOKUP('Données projet'!$B$9,Paramètres!$A$1:$I$89,3,0)*0.475*44/12</f>
        <v>49.863978464984797</v>
      </c>
      <c r="AB38" s="23">
        <f>EXP(-LN(2)/2)*AB37+(1-EXP(-LN(2)/2))/(LN(2)/2)*V38*Y38*VLOOKUP('Données projet'!$B$9,Paramètres!$A$1:$I$89,3,0)*0.475*44/12</f>
        <v>9.266024118095169</v>
      </c>
      <c r="AC38" s="24">
        <f t="shared" si="3"/>
        <v>108.14590135353009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5.6843418860808015E-14</v>
      </c>
      <c r="O39" s="14">
        <f>N39*VLOOKUP('Données projet'!$B$9,Paramètres!$A$1:$I$89,3,0)*VLOOKUP('Données projet'!$B$9,Paramètres!$A$1:$I$89,5,0)</f>
        <v>3.3992364478763198E-14</v>
      </c>
      <c r="P39" s="14">
        <f t="shared" si="33"/>
        <v>5.790027782444094E-13</v>
      </c>
      <c r="Q39" s="22">
        <f t="shared" si="53"/>
        <v>1.0676332069095257E-12</v>
      </c>
      <c r="R39" s="62">
        <f t="shared" si="0"/>
        <v>293.33333333333439</v>
      </c>
      <c r="S39" s="62">
        <f ca="1">AVERAGE(OFFSET($R$3,0,0,'Données projet'!$E$9+1,1))-AVERAGE(OFFSET($H$3,0,0,'Données projet'!$E$9+1,1))</f>
        <v>179.92943593637102</v>
      </c>
      <c r="T39" s="62">
        <f t="shared" si="34"/>
        <v>449.95981246883593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48.054726892307784</v>
      </c>
      <c r="AA39" s="23">
        <f>EXP(-LN(2)/25)*AA38+(1-EXP(-LN(2)/25))/(LN(2)/25)*Calculateur!V39*Calculateur!X39*VLOOKUP('Données projet'!$B$9,Paramètres!$A$1:$I$89,3,0)*0.475*44/12</f>
        <v>48.500445351627128</v>
      </c>
      <c r="AB39" s="23">
        <f>EXP(-LN(2)/2)*AB38+(1-EXP(-LN(2)/2))/(LN(2)/2)*V39*Y39*VLOOKUP('Données projet'!$B$9,Paramètres!$A$1:$I$89,3,0)*0.475*44/12</f>
        <v>6.5520684885431928</v>
      </c>
      <c r="AC39" s="24">
        <f t="shared" si="3"/>
        <v>103.10724073247812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5.6843418860808015E-14</v>
      </c>
      <c r="O40" s="14">
        <f>N40*VLOOKUP('Données projet'!$B$9,Paramètres!$A$1:$I$89,3,0)*VLOOKUP('Données projet'!$B$9,Paramètres!$A$1:$I$89,5,0)</f>
        <v>3.3992364478763198E-14</v>
      </c>
      <c r="P40" s="14">
        <f t="shared" si="33"/>
        <v>5.790027782444094E-13</v>
      </c>
      <c r="Q40" s="22">
        <f t="shared" si="53"/>
        <v>1.0676332069095257E-12</v>
      </c>
      <c r="R40" s="62">
        <f t="shared" si="0"/>
        <v>293.33333333333439</v>
      </c>
      <c r="S40" s="62">
        <f ca="1">AVERAGE(OFFSET($R$3,0,0,'Données projet'!$E$9+1,1))-AVERAGE(OFFSET($H$3,0,0,'Données projet'!$E$9+1,1))</f>
        <v>179.92943593637102</v>
      </c>
      <c r="T40" s="62">
        <f t="shared" si="34"/>
        <v>449.95981246883593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47.112403008438861</v>
      </c>
      <c r="AA40" s="23">
        <f>EXP(-LN(2)/25)*AA39+(1-EXP(-LN(2)/25))/(LN(2)/25)*Calculateur!V40*Calculateur!X40*VLOOKUP('Données projet'!$B$9,Paramètres!$A$1:$I$89,3,0)*0.475*44/12</f>
        <v>47.174198122959311</v>
      </c>
      <c r="AB40" s="23">
        <f>EXP(-LN(2)/2)*AB39+(1-EXP(-LN(2)/2))/(LN(2)/2)*V40*Y40*VLOOKUP('Données projet'!$B$9,Paramètres!$A$1:$I$89,3,0)*0.475*44/12</f>
        <v>4.6330120590475845</v>
      </c>
      <c r="AC40" s="24">
        <f t="shared" si="3"/>
        <v>98.919613190445759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5.6843418860808015E-14</v>
      </c>
      <c r="O41" s="14">
        <f>N41*VLOOKUP('Données projet'!$B$9,Paramètres!$A$1:$I$89,3,0)*VLOOKUP('Données projet'!$B$9,Paramètres!$A$1:$I$89,5,0)</f>
        <v>3.3992364478763198E-14</v>
      </c>
      <c r="P41" s="14">
        <f t="shared" si="33"/>
        <v>5.790027782444094E-13</v>
      </c>
      <c r="Q41" s="22">
        <f t="shared" si="53"/>
        <v>1.0676332069095257E-12</v>
      </c>
      <c r="R41" s="62">
        <f t="shared" si="0"/>
        <v>293.33333333333439</v>
      </c>
      <c r="S41" s="62">
        <f ca="1">AVERAGE(OFFSET($R$3,0,0,'Données projet'!$E$9+1,1))-AVERAGE(OFFSET($H$3,0,0,'Données projet'!$E$9+1,1))</f>
        <v>179.92943593637102</v>
      </c>
      <c r="T41" s="62">
        <f t="shared" si="34"/>
        <v>449.95981246883593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46.188557521171795</v>
      </c>
      <c r="AA41" s="23">
        <f>EXP(-LN(2)/25)*AA40+(1-EXP(-LN(2)/25))/(LN(2)/25)*Calculateur!V41*Calculateur!X41*VLOOKUP('Données projet'!$B$9,Paramètres!$A$1:$I$89,3,0)*0.475*44/12</f>
        <v>45.884217194503726</v>
      </c>
      <c r="AB41" s="23">
        <f>EXP(-LN(2)/2)*AB40+(1-EXP(-LN(2)/2))/(LN(2)/2)*V41*Y41*VLOOKUP('Données projet'!$B$9,Paramètres!$A$1:$I$89,3,0)*0.475*44/12</f>
        <v>3.2760342442715964</v>
      </c>
      <c r="AC41" s="24">
        <f t="shared" si="3"/>
        <v>95.348808959947121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5.6843418860808015E-14</v>
      </c>
      <c r="O42" s="14">
        <f>N42*VLOOKUP('Données projet'!$B$9,Paramètres!$A$1:$I$89,3,0)*VLOOKUP('Données projet'!$B$9,Paramètres!$A$1:$I$89,5,0)</f>
        <v>3.3992364478763198E-14</v>
      </c>
      <c r="P42" s="14">
        <f t="shared" si="33"/>
        <v>5.790027782444094E-13</v>
      </c>
      <c r="Q42" s="22">
        <f t="shared" si="53"/>
        <v>1.0676332069095257E-12</v>
      </c>
      <c r="R42" s="62">
        <f t="shared" si="0"/>
        <v>293.33333333333439</v>
      </c>
      <c r="S42" s="62">
        <f ca="1">AVERAGE(OFFSET($R$3,0,0,'Données projet'!$E$9+1,1))-AVERAGE(OFFSET($H$3,0,0,'Données projet'!$E$9+1,1))</f>
        <v>179.92943593637102</v>
      </c>
      <c r="T42" s="62">
        <f t="shared" si="34"/>
        <v>449.95981246883593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45.282828080419925</v>
      </c>
      <c r="AA42" s="23">
        <f>EXP(-LN(2)/25)*AA41+(1-EXP(-LN(2)/25))/(LN(2)/25)*Calculateur!V42*Calculateur!X42*VLOOKUP('Données projet'!$B$9,Paramètres!$A$1:$I$89,3,0)*0.475*44/12</f>
        <v>44.629510862373913</v>
      </c>
      <c r="AB42" s="23">
        <f>EXP(-LN(2)/2)*AB41+(1-EXP(-LN(2)/2))/(LN(2)/2)*V42*Y42*VLOOKUP('Données projet'!$B$9,Paramètres!$A$1:$I$89,3,0)*0.475*44/12</f>
        <v>2.3165060295237923</v>
      </c>
      <c r="AC42" s="24">
        <f t="shared" si="3"/>
        <v>92.228844972317631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5.6843418860808015E-14</v>
      </c>
      <c r="O43" s="14">
        <f>N43*VLOOKUP('Données projet'!$B$9,Paramètres!$A$1:$I$89,3,0)*VLOOKUP('Données projet'!$B$9,Paramètres!$A$1:$I$89,5,0)</f>
        <v>3.3992364478763198E-14</v>
      </c>
      <c r="P43" s="14">
        <f t="shared" si="33"/>
        <v>5.790027782444094E-13</v>
      </c>
      <c r="Q43" s="22">
        <f t="shared" si="53"/>
        <v>1.0676332069095257E-12</v>
      </c>
      <c r="R43" s="62">
        <f t="shared" si="0"/>
        <v>293.33333333333439</v>
      </c>
      <c r="S43" s="62">
        <f ca="1">AVERAGE(OFFSET($R$3,0,0,'Données projet'!$E$9+1,1))-AVERAGE(OFFSET($H$3,0,0,'Données projet'!$E$9+1,1))</f>
        <v>179.92943593637102</v>
      </c>
      <c r="T43" s="62">
        <f t="shared" si="34"/>
        <v>449.95981246883593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44.39485944156079</v>
      </c>
      <c r="AA43" s="23">
        <f>EXP(-LN(2)/25)*AA42+(1-EXP(-LN(2)/25))/(LN(2)/25)*Calculateur!V43*Calculateur!X43*VLOOKUP('Données projet'!$B$9,Paramètres!$A$1:$I$89,3,0)*0.475*44/12</f>
        <v>43.409114540878321</v>
      </c>
      <c r="AB43" s="23">
        <f>EXP(-LN(2)/2)*AB42+(1-EXP(-LN(2)/2))/(LN(2)/2)*V43*Y43*VLOOKUP('Données projet'!$B$9,Paramètres!$A$1:$I$89,3,0)*0.475*44/12</f>
        <v>1.6380171221357982</v>
      </c>
      <c r="AC43" s="24">
        <f t="shared" si="3"/>
        <v>89.44199110457491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5.6843418860808015E-14</v>
      </c>
      <c r="O44" s="14">
        <f>N44*VLOOKUP('Données projet'!$B$9,Paramètres!$A$1:$I$89,3,0)*VLOOKUP('Données projet'!$B$9,Paramètres!$A$1:$I$89,5,0)</f>
        <v>3.3992364478763198E-14</v>
      </c>
      <c r="P44" s="14">
        <f t="shared" si="33"/>
        <v>5.790027782444094E-13</v>
      </c>
      <c r="Q44" s="22">
        <f t="shared" si="53"/>
        <v>1.0676332069095257E-12</v>
      </c>
      <c r="R44" s="62">
        <f t="shared" si="0"/>
        <v>293.33333333333439</v>
      </c>
      <c r="S44" s="62">
        <f ca="1">AVERAGE(OFFSET($R$3,0,0,'Données projet'!$E$9+1,1))-AVERAGE(OFFSET($H$3,0,0,'Données projet'!$E$9+1,1))</f>
        <v>179.92943593637102</v>
      </c>
      <c r="T44" s="62">
        <f t="shared" si="34"/>
        <v>449.95981246883593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43.524303326102292</v>
      </c>
      <c r="AA44" s="23">
        <f>EXP(-LN(2)/25)*AA43+(1-EXP(-LN(2)/25))/(LN(2)/25)*Calculateur!V44*Calculateur!X44*VLOOKUP('Données projet'!$B$9,Paramètres!$A$1:$I$89,3,0)*0.475*44/12</f>
        <v>42.222090020971883</v>
      </c>
      <c r="AB44" s="23">
        <f>EXP(-LN(2)/2)*AB43+(1-EXP(-LN(2)/2))/(LN(2)/2)*V44*Y44*VLOOKUP('Données projet'!$B$9,Paramètres!$A$1:$I$89,3,0)*0.475*44/12</f>
        <v>1.1582530147618961</v>
      </c>
      <c r="AC44" s="24">
        <f t="shared" si="3"/>
        <v>86.904646361836072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5.6843418860808015E-14</v>
      </c>
      <c r="O45" s="14">
        <f>N45*VLOOKUP('Données projet'!$B$9,Paramètres!$A$1:$I$89,3,0)*VLOOKUP('Données projet'!$B$9,Paramètres!$A$1:$I$89,5,0)</f>
        <v>3.3992364478763198E-14</v>
      </c>
      <c r="P45" s="14">
        <f t="shared" si="33"/>
        <v>5.790027782444094E-13</v>
      </c>
      <c r="Q45" s="22">
        <f t="shared" si="53"/>
        <v>1.0676332069095257E-12</v>
      </c>
      <c r="R45" s="62">
        <f t="shared" si="0"/>
        <v>293.33333333333439</v>
      </c>
      <c r="S45" s="62">
        <f ca="1">AVERAGE(OFFSET($R$3,0,0,'Données projet'!$E$9+1,1))-AVERAGE(OFFSET($H$3,0,0,'Données projet'!$E$9+1,1))</f>
        <v>179.92943593637102</v>
      </c>
      <c r="T45" s="62">
        <f t="shared" si="34"/>
        <v>449.95981246883593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42.670818285081133</v>
      </c>
      <c r="AA45" s="23">
        <f>EXP(-LN(2)/25)*AA44+(1-EXP(-LN(2)/25))/(LN(2)/25)*Calculateur!V45*Calculateur!X45*VLOOKUP('Données projet'!$B$9,Paramètres!$A$1:$I$89,3,0)*0.475*44/12</f>
        <v>41.067524748985193</v>
      </c>
      <c r="AB45" s="23">
        <f>EXP(-LN(2)/2)*AB44+(1-EXP(-LN(2)/2))/(LN(2)/2)*V45*Y45*VLOOKUP('Données projet'!$B$9,Paramètres!$A$1:$I$89,3,0)*0.475*44/12</f>
        <v>0.8190085610678991</v>
      </c>
      <c r="AC45" s="24">
        <f t="shared" si="3"/>
        <v>84.557351595134236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5.6843418860808015E-14</v>
      </c>
      <c r="O46" s="14">
        <f>N46*VLOOKUP('Données projet'!$B$9,Paramètres!$A$1:$I$89,3,0)*VLOOKUP('Données projet'!$B$9,Paramètres!$A$1:$I$89,5,0)</f>
        <v>3.3992364478763198E-14</v>
      </c>
      <c r="P46" s="14">
        <f t="shared" si="33"/>
        <v>5.790027782444094E-13</v>
      </c>
      <c r="Q46" s="22">
        <f t="shared" si="53"/>
        <v>1.0676332069095257E-12</v>
      </c>
      <c r="R46" s="62">
        <f t="shared" si="0"/>
        <v>293.33333333333439</v>
      </c>
      <c r="S46" s="62">
        <f ca="1">AVERAGE(OFFSET($R$3,0,0,'Données projet'!$E$9+1,1))-AVERAGE(OFFSET($H$3,0,0,'Données projet'!$E$9+1,1))</f>
        <v>179.92943593637102</v>
      </c>
      <c r="T46" s="62">
        <f t="shared" si="34"/>
        <v>449.95981246883593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41.834069565139927</v>
      </c>
      <c r="AA46" s="23">
        <f>EXP(-LN(2)/25)*AA45+(1-EXP(-LN(2)/25))/(LN(2)/25)*Calculateur!V46*Calculateur!X46*VLOOKUP('Données projet'!$B$9,Paramètres!$A$1:$I$89,3,0)*0.475*44/12</f>
        <v>39.944531125076928</v>
      </c>
      <c r="AB46" s="23">
        <f>EXP(-LN(2)/2)*AB45+(1-EXP(-LN(2)/2))/(LN(2)/2)*V46*Y46*VLOOKUP('Données projet'!$B$9,Paramètres!$A$1:$I$89,3,0)*0.475*44/12</f>
        <v>0.57912650738094806</v>
      </c>
      <c r="AC46" s="24">
        <f t="shared" si="3"/>
        <v>82.357727197597796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5.6843418860808015E-14</v>
      </c>
      <c r="O47" s="14">
        <f>N47*VLOOKUP('Données projet'!$B$9,Paramètres!$A$1:$I$89,3,0)*VLOOKUP('Données projet'!$B$9,Paramètres!$A$1:$I$89,5,0)</f>
        <v>3.3992364478763198E-14</v>
      </c>
      <c r="P47" s="14">
        <f t="shared" si="33"/>
        <v>5.790027782444094E-13</v>
      </c>
      <c r="Q47" s="22">
        <f t="shared" si="53"/>
        <v>1.0676332069095257E-12</v>
      </c>
      <c r="R47" s="62">
        <f t="shared" si="0"/>
        <v>293.33333333333439</v>
      </c>
      <c r="S47" s="62">
        <f ca="1">AVERAGE(OFFSET($R$3,0,0,'Données projet'!$E$9+1,1))-AVERAGE(OFFSET($H$3,0,0,'Données projet'!$E$9+1,1))</f>
        <v>179.92943593637102</v>
      </c>
      <c r="T47" s="62">
        <f t="shared" si="34"/>
        <v>449.95981246883593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41.01372897723045</v>
      </c>
      <c r="AA47" s="23">
        <f>EXP(-LN(2)/25)*AA46+(1-EXP(-LN(2)/25))/(LN(2)/25)*Calculateur!V47*Calculateur!X47*VLOOKUP('Données projet'!$B$9,Paramètres!$A$1:$I$89,3,0)*0.475*44/12</f>
        <v>38.852245820870102</v>
      </c>
      <c r="AB47" s="23">
        <f>EXP(-LN(2)/2)*AB46+(1-EXP(-LN(2)/2))/(LN(2)/2)*V47*Y47*VLOOKUP('Données projet'!$B$9,Paramètres!$A$1:$I$89,3,0)*0.475*44/12</f>
        <v>0.40950428053394955</v>
      </c>
      <c r="AC47" s="24">
        <f t="shared" si="3"/>
        <v>80.275479078634504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5.6843418860808015E-14</v>
      </c>
      <c r="O48" s="14">
        <f>N48*VLOOKUP('Données projet'!$B$9,Paramètres!$A$1:$I$89,3,0)*VLOOKUP('Données projet'!$B$9,Paramètres!$A$1:$I$89,5,0)</f>
        <v>3.3992364478763198E-14</v>
      </c>
      <c r="P48" s="14">
        <f t="shared" si="33"/>
        <v>5.790027782444094E-13</v>
      </c>
      <c r="Q48" s="22">
        <f t="shared" si="53"/>
        <v>1.0676332069095257E-12</v>
      </c>
      <c r="R48" s="62">
        <f t="shared" si="0"/>
        <v>293.33333333333439</v>
      </c>
      <c r="S48" s="62">
        <f ca="1">AVERAGE(OFFSET($R$3,0,0,'Données projet'!$E$9+1,1))-AVERAGE(OFFSET($H$3,0,0,'Données projet'!$E$9+1,1))</f>
        <v>179.92943593637102</v>
      </c>
      <c r="T48" s="62">
        <f t="shared" si="34"/>
        <v>449.95981246883593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40.209474767891521</v>
      </c>
      <c r="AA48" s="23">
        <f>EXP(-LN(2)/25)*AA47+(1-EXP(-LN(2)/25))/(LN(2)/25)*Calculateur!V48*Calculateur!X48*VLOOKUP('Données projet'!$B$9,Paramètres!$A$1:$I$89,3,0)*0.475*44/12</f>
        <v>37.789829115747601</v>
      </c>
      <c r="AB48" s="23">
        <f>EXP(-LN(2)/2)*AB47+(1-EXP(-LN(2)/2))/(LN(2)/2)*V48*Y48*VLOOKUP('Données projet'!$B$9,Paramètres!$A$1:$I$89,3,0)*0.475*44/12</f>
        <v>0.28956325369047403</v>
      </c>
      <c r="AC48" s="24">
        <f t="shared" si="3"/>
        <v>78.288867137329603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5.6843418860808015E-14</v>
      </c>
      <c r="O49" s="14">
        <f>N49*VLOOKUP('Données projet'!$B$9,Paramètres!$A$1:$I$89,3,0)*VLOOKUP('Données projet'!$B$9,Paramètres!$A$1:$I$89,5,0)</f>
        <v>3.3992364478763198E-14</v>
      </c>
      <c r="P49" s="14">
        <f t="shared" si="33"/>
        <v>5.790027782444094E-13</v>
      </c>
      <c r="Q49" s="22">
        <f t="shared" si="53"/>
        <v>1.0676332069095257E-12</v>
      </c>
      <c r="R49" s="62">
        <f t="shared" si="0"/>
        <v>293.33333333333439</v>
      </c>
      <c r="S49" s="62">
        <f ca="1">AVERAGE(OFFSET($R$3,0,0,'Données projet'!$E$9+1,1))-AVERAGE(OFFSET($H$3,0,0,'Données projet'!$E$9+1,1))</f>
        <v>179.92943593637102</v>
      </c>
      <c r="T49" s="62">
        <f t="shared" si="34"/>
        <v>449.95981246883593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39.420991493051098</v>
      </c>
      <c r="AA49" s="23">
        <f>EXP(-LN(2)/25)*AA48+(1-EXP(-LN(2)/25))/(LN(2)/25)*Calculateur!V49*Calculateur!X49*VLOOKUP('Données projet'!$B$9,Paramètres!$A$1:$I$89,3,0)*0.475*44/12</f>
        <v>36.756464251296741</v>
      </c>
      <c r="AB49" s="23">
        <f>EXP(-LN(2)/2)*AB48+(1-EXP(-LN(2)/2))/(LN(2)/2)*V49*Y49*VLOOKUP('Données projet'!$B$9,Paramètres!$A$1:$I$89,3,0)*0.475*44/12</f>
        <v>0.20475214026697477</v>
      </c>
      <c r="AC49" s="24">
        <f t="shared" si="3"/>
        <v>76.382207884614814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5.6843418860808015E-14</v>
      </c>
      <c r="O50" s="14">
        <f>N50*VLOOKUP('Données projet'!$B$9,Paramètres!$A$1:$I$89,3,0)*VLOOKUP('Données projet'!$B$9,Paramètres!$A$1:$I$89,5,0)</f>
        <v>3.3992364478763198E-14</v>
      </c>
      <c r="P50" s="14">
        <f t="shared" si="33"/>
        <v>5.790027782444094E-13</v>
      </c>
      <c r="Q50" s="22">
        <f t="shared" si="53"/>
        <v>1.0676332069095257E-12</v>
      </c>
      <c r="R50" s="62">
        <f t="shared" si="0"/>
        <v>293.33333333333439</v>
      </c>
      <c r="S50" s="62">
        <f ca="1">AVERAGE(OFFSET($R$3,0,0,'Données projet'!$E$9+1,1))-AVERAGE(OFFSET($H$3,0,0,'Données projet'!$E$9+1,1))</f>
        <v>179.92943593637102</v>
      </c>
      <c r="T50" s="62">
        <f t="shared" si="34"/>
        <v>449.95981246883593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38.647969894302989</v>
      </c>
      <c r="AA50" s="23">
        <f>EXP(-LN(2)/25)*AA49+(1-EXP(-LN(2)/25))/(LN(2)/25)*Calculateur!V50*Calculateur!X50*VLOOKUP('Données projet'!$B$9,Paramètres!$A$1:$I$89,3,0)*0.475*44/12</f>
        <v>35.751356803406587</v>
      </c>
      <c r="AB50" s="23">
        <f>EXP(-LN(2)/2)*AB49+(1-EXP(-LN(2)/2))/(LN(2)/2)*V50*Y50*VLOOKUP('Données projet'!$B$9,Paramètres!$A$1:$I$89,3,0)*0.475*44/12</f>
        <v>0.14478162684523702</v>
      </c>
      <c r="AC50" s="24">
        <f t="shared" si="3"/>
        <v>74.544108324554799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5.6843418860808015E-14</v>
      </c>
      <c r="O51" s="14">
        <f>N51*VLOOKUP('Données projet'!$B$9,Paramètres!$A$1:$I$89,3,0)*VLOOKUP('Données projet'!$B$9,Paramètres!$A$1:$I$89,5,0)</f>
        <v>3.3992364478763198E-14</v>
      </c>
      <c r="P51" s="14">
        <f t="shared" si="33"/>
        <v>5.790027782444094E-13</v>
      </c>
      <c r="Q51" s="22">
        <f t="shared" si="53"/>
        <v>1.0676332069095257E-12</v>
      </c>
      <c r="R51" s="62">
        <f t="shared" si="0"/>
        <v>293.33333333333439</v>
      </c>
      <c r="S51" s="62">
        <f ca="1">AVERAGE(OFFSET($R$3,0,0,'Données projet'!$E$9+1,1))-AVERAGE(OFFSET($H$3,0,0,'Données projet'!$E$9+1,1))</f>
        <v>179.92943593637102</v>
      </c>
      <c r="T51" s="62">
        <f t="shared" si="34"/>
        <v>449.95981246883593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37.890106777609709</v>
      </c>
      <c r="AA51" s="23">
        <f>EXP(-LN(2)/25)*AA50+(1-EXP(-LN(2)/25))/(LN(2)/25)*Calculateur!V51*Calculateur!X51*VLOOKUP('Données projet'!$B$9,Paramètres!$A$1:$I$89,3,0)*0.475*44/12</f>
        <v>34.773734071535287</v>
      </c>
      <c r="AB51" s="23">
        <f>EXP(-LN(2)/2)*AB50+(1-EXP(-LN(2)/2))/(LN(2)/2)*V51*Y51*VLOOKUP('Données projet'!$B$9,Paramètres!$A$1:$I$89,3,0)*0.475*44/12</f>
        <v>0.10237607013348739</v>
      </c>
      <c r="AC51" s="24">
        <f t="shared" si="3"/>
        <v>72.766216919278492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5.6843418860808015E-14</v>
      </c>
      <c r="O52" s="14">
        <f>N52*VLOOKUP('Données projet'!$B$9,Paramètres!$A$1:$I$89,3,0)*VLOOKUP('Données projet'!$B$9,Paramètres!$A$1:$I$89,5,0)</f>
        <v>3.3992364478763198E-14</v>
      </c>
      <c r="P52" s="14">
        <f t="shared" si="33"/>
        <v>5.790027782444094E-13</v>
      </c>
      <c r="Q52" s="22">
        <f t="shared" si="53"/>
        <v>1.0676332069095257E-12</v>
      </c>
      <c r="R52" s="62">
        <f t="shared" si="0"/>
        <v>293.33333333333439</v>
      </c>
      <c r="S52" s="62">
        <f ca="1">AVERAGE(OFFSET($R$3,0,0,'Données projet'!$E$9+1,1))-AVERAGE(OFFSET($H$3,0,0,'Données projet'!$E$9+1,1))</f>
        <v>179.92943593637102</v>
      </c>
      <c r="T52" s="62">
        <f t="shared" si="34"/>
        <v>449.95981246883593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37.147104894383929</v>
      </c>
      <c r="AA52" s="23">
        <f>EXP(-LN(2)/25)*AA51+(1-EXP(-LN(2)/25))/(LN(2)/25)*Calculateur!V52*Calculateur!X52*VLOOKUP('Données projet'!$B$9,Paramètres!$A$1:$I$89,3,0)*0.475*44/12</f>
        <v>33.822844484677958</v>
      </c>
      <c r="AB52" s="23">
        <f>EXP(-LN(2)/2)*AB51+(1-EXP(-LN(2)/2))/(LN(2)/2)*V52*Y52*VLOOKUP('Données projet'!$B$9,Paramètres!$A$1:$I$89,3,0)*0.475*44/12</f>
        <v>7.2390813422618508E-2</v>
      </c>
      <c r="AC52" s="24">
        <f t="shared" si="3"/>
        <v>71.042340192484502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5.6843418860808015E-14</v>
      </c>
      <c r="O53" s="14">
        <f>N53*VLOOKUP('Données projet'!$B$9,Paramètres!$A$1:$I$89,3,0)*VLOOKUP('Données projet'!$B$9,Paramètres!$A$1:$I$89,5,0)</f>
        <v>3.3992364478763198E-14</v>
      </c>
      <c r="P53" s="14">
        <f t="shared" si="33"/>
        <v>5.790027782444094E-13</v>
      </c>
      <c r="Q53" s="22">
        <f t="shared" si="53"/>
        <v>1.0676332069095257E-12</v>
      </c>
      <c r="R53" s="62">
        <f t="shared" si="0"/>
        <v>293.33333333333439</v>
      </c>
      <c r="S53" s="62">
        <f ca="1">AVERAGE(OFFSET($R$3,0,0,'Données projet'!$E$9+1,1))-AVERAGE(OFFSET($H$3,0,0,'Données projet'!$E$9+1,1))</f>
        <v>179.92943593637102</v>
      </c>
      <c r="T53" s="62">
        <f t="shared" si="34"/>
        <v>449.95981246883593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36.418672824901805</v>
      </c>
      <c r="AA53" s="23">
        <f>EXP(-LN(2)/25)*AA52+(1-EXP(-LN(2)/25))/(LN(2)/25)*Calculateur!V53*Calculateur!X53*VLOOKUP('Données projet'!$B$9,Paramètres!$A$1:$I$89,3,0)*0.475*44/12</f>
        <v>32.89795702357835</v>
      </c>
      <c r="AB53" s="23">
        <f>EXP(-LN(2)/2)*AB52+(1-EXP(-LN(2)/2))/(LN(2)/2)*V53*Y53*VLOOKUP('Données projet'!$B$9,Paramètres!$A$1:$I$89,3,0)*0.475*44/12</f>
        <v>5.1188035066743694E-2</v>
      </c>
      <c r="AC53" s="24">
        <f t="shared" si="3"/>
        <v>69.367817883546891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5.6843418860808015E-14</v>
      </c>
      <c r="O54" s="14">
        <f>N54*VLOOKUP('Données projet'!$B$9,Paramètres!$A$1:$I$89,3,0)*VLOOKUP('Données projet'!$B$9,Paramètres!$A$1:$I$89,5,0)</f>
        <v>3.3992364478763198E-14</v>
      </c>
      <c r="P54" s="14">
        <f t="shared" si="33"/>
        <v>5.790027782444094E-13</v>
      </c>
      <c r="Q54" s="22">
        <f t="shared" si="53"/>
        <v>1.0676332069095257E-12</v>
      </c>
      <c r="R54" s="62">
        <f t="shared" si="0"/>
        <v>293.33333333333439</v>
      </c>
      <c r="S54" s="62">
        <f ca="1">AVERAGE(OFFSET($R$3,0,0,'Données projet'!$E$9+1,1))-AVERAGE(OFFSET($H$3,0,0,'Données projet'!$E$9+1,1))</f>
        <v>179.92943593637102</v>
      </c>
      <c r="T54" s="62">
        <f t="shared" si="34"/>
        <v>449.95981246883593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35.704524864002529</v>
      </c>
      <c r="AA54" s="23">
        <f>EXP(-LN(2)/25)*AA53+(1-EXP(-LN(2)/25))/(LN(2)/25)*Calculateur!V54*Calculateur!X54*VLOOKUP('Données projet'!$B$9,Paramètres!$A$1:$I$89,3,0)*0.475*44/12</f>
        <v>31.998360658740229</v>
      </c>
      <c r="AB54" s="23">
        <f>EXP(-LN(2)/2)*AB53+(1-EXP(-LN(2)/2))/(LN(2)/2)*V54*Y54*VLOOKUP('Données projet'!$B$9,Paramètres!$A$1:$I$89,3,0)*0.475*44/12</f>
        <v>3.6195406711309254E-2</v>
      </c>
      <c r="AC54" s="24">
        <f t="shared" si="3"/>
        <v>67.739080929454076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5.6843418860808015E-14</v>
      </c>
      <c r="O55" s="14">
        <f>N55*VLOOKUP('Données projet'!$B$9,Paramètres!$A$1:$I$89,3,0)*VLOOKUP('Données projet'!$B$9,Paramètres!$A$1:$I$89,5,0)</f>
        <v>3.3992364478763198E-14</v>
      </c>
      <c r="P55" s="14">
        <f t="shared" si="33"/>
        <v>5.790027782444094E-13</v>
      </c>
      <c r="Q55" s="22">
        <f t="shared" si="53"/>
        <v>1.0676332069095257E-12</v>
      </c>
      <c r="R55" s="62">
        <f t="shared" si="0"/>
        <v>293.33333333333439</v>
      </c>
      <c r="S55" s="62">
        <f ca="1">AVERAGE(OFFSET($R$3,0,0,'Données projet'!$E$9+1,1))-AVERAGE(OFFSET($H$3,0,0,'Données projet'!$E$9+1,1))</f>
        <v>179.92943593637102</v>
      </c>
      <c r="T55" s="62">
        <f t="shared" si="34"/>
        <v>449.95981246883593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35.004380909029244</v>
      </c>
      <c r="AA55" s="23">
        <f>EXP(-LN(2)/25)*AA54+(1-EXP(-LN(2)/25))/(LN(2)/25)*Calculateur!V55*Calculateur!X55*VLOOKUP('Données projet'!$B$9,Paramètres!$A$1:$I$89,3,0)*0.475*44/12</f>
        <v>31.123363803806324</v>
      </c>
      <c r="AB55" s="23">
        <f>EXP(-LN(2)/2)*AB54+(1-EXP(-LN(2)/2))/(LN(2)/2)*V55*Y55*VLOOKUP('Données projet'!$B$9,Paramètres!$A$1:$I$89,3,0)*0.475*44/12</f>
        <v>2.5594017533371847E-2</v>
      </c>
      <c r="AC55" s="24">
        <f t="shared" si="3"/>
        <v>66.15333873036893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5.6843418860808015E-14</v>
      </c>
      <c r="O56" s="14">
        <f>N56*VLOOKUP('Données projet'!$B$9,Paramètres!$A$1:$I$89,3,0)*VLOOKUP('Données projet'!$B$9,Paramètres!$A$1:$I$89,5,0)</f>
        <v>3.3992364478763198E-14</v>
      </c>
      <c r="P56" s="14">
        <f t="shared" si="33"/>
        <v>5.790027782444094E-13</v>
      </c>
      <c r="Q56" s="22">
        <f t="shared" si="53"/>
        <v>1.0676332069095257E-12</v>
      </c>
      <c r="R56" s="62">
        <f t="shared" si="0"/>
        <v>293.33333333333439</v>
      </c>
      <c r="S56" s="62">
        <f ca="1">AVERAGE(OFFSET($R$3,0,0,'Données projet'!$E$9+1,1))-AVERAGE(OFFSET($H$3,0,0,'Données projet'!$E$9+1,1))</f>
        <v>179.92943593637102</v>
      </c>
      <c r="T56" s="62">
        <f t="shared" si="34"/>
        <v>449.95981246883593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34.317966349967342</v>
      </c>
      <c r="AA56" s="23">
        <f>EXP(-LN(2)/25)*AA55+(1-EXP(-LN(2)/25))/(LN(2)/25)*Calculateur!V56*Calculateur!X56*VLOOKUP('Données projet'!$B$9,Paramètres!$A$1:$I$89,3,0)*0.475*44/12</f>
        <v>30.27229378388467</v>
      </c>
      <c r="AB56" s="23">
        <f>EXP(-LN(2)/2)*AB55+(1-EXP(-LN(2)/2))/(LN(2)/2)*V56*Y56*VLOOKUP('Données projet'!$B$9,Paramètres!$A$1:$I$89,3,0)*0.475*44/12</f>
        <v>1.8097703355654627E-2</v>
      </c>
      <c r="AC56" s="24">
        <f t="shared" si="3"/>
        <v>64.608357837207663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5.6843418860808015E-14</v>
      </c>
      <c r="O57" s="14">
        <f>N57*VLOOKUP('Données projet'!$B$9,Paramètres!$A$1:$I$89,3,0)*VLOOKUP('Données projet'!$B$9,Paramètres!$A$1:$I$89,5,0)</f>
        <v>3.3992364478763198E-14</v>
      </c>
      <c r="P57" s="14">
        <f t="shared" si="33"/>
        <v>5.790027782444094E-13</v>
      </c>
      <c r="Q57" s="22">
        <f t="shared" si="53"/>
        <v>1.0676332069095257E-12</v>
      </c>
      <c r="R57" s="62">
        <f t="shared" si="0"/>
        <v>293.33333333333439</v>
      </c>
      <c r="S57" s="62">
        <f ca="1">AVERAGE(OFFSET($R$3,0,0,'Données projet'!$E$9+1,1))-AVERAGE(OFFSET($H$3,0,0,'Données projet'!$E$9+1,1))</f>
        <v>179.92943593637102</v>
      </c>
      <c r="T57" s="62">
        <f t="shared" si="34"/>
        <v>449.95981246883593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33.645011961737104</v>
      </c>
      <c r="AA57" s="23">
        <f>EXP(-LN(2)/25)*AA56+(1-EXP(-LN(2)/25))/(LN(2)/25)*Calculateur!V57*Calculateur!X57*VLOOKUP('Données projet'!$B$9,Paramètres!$A$1:$I$89,3,0)*0.475*44/12</f>
        <v>29.444496318413602</v>
      </c>
      <c r="AB57" s="23">
        <f>EXP(-LN(2)/2)*AB56+(1-EXP(-LN(2)/2))/(LN(2)/2)*V57*Y57*VLOOKUP('Données projet'!$B$9,Paramètres!$A$1:$I$89,3,0)*0.475*44/12</f>
        <v>1.2797008766685923E-2</v>
      </c>
      <c r="AC57" s="24">
        <f t="shared" si="3"/>
        <v>63.102305288917393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5.6843418860808015E-14</v>
      </c>
      <c r="O58" s="14">
        <f>N58*VLOOKUP('Données projet'!$B$9,Paramètres!$A$1:$I$89,3,0)*VLOOKUP('Données projet'!$B$9,Paramètres!$A$1:$I$89,5,0)</f>
        <v>3.3992364478763198E-14</v>
      </c>
      <c r="P58" s="14">
        <f t="shared" si="33"/>
        <v>5.790027782444094E-13</v>
      </c>
      <c r="Q58" s="22">
        <f t="shared" si="53"/>
        <v>1.0676332069095257E-12</v>
      </c>
      <c r="R58" s="62">
        <f t="shared" si="0"/>
        <v>293.33333333333439</v>
      </c>
      <c r="S58" s="62">
        <f ca="1">AVERAGE(OFFSET($R$3,0,0,'Données projet'!$E$9+1,1))-AVERAGE(OFFSET($H$3,0,0,'Données projet'!$E$9+1,1))</f>
        <v>179.92943593637102</v>
      </c>
      <c r="T58" s="62">
        <f t="shared" si="34"/>
        <v>449.95981246883593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32.985253798598414</v>
      </c>
      <c r="AA58" s="23">
        <f>EXP(-LN(2)/25)*AA57+(1-EXP(-LN(2)/25))/(LN(2)/25)*Calculateur!V58*Calculateur!X58*VLOOKUP('Données projet'!$B$9,Paramètres!$A$1:$I$89,3,0)*0.475*44/12</f>
        <v>28.639335018167817</v>
      </c>
      <c r="AB58" s="23">
        <f>EXP(-LN(2)/2)*AB57+(1-EXP(-LN(2)/2))/(LN(2)/2)*V58*Y58*VLOOKUP('Données projet'!$B$9,Paramètres!$A$1:$I$89,3,0)*0.475*44/12</f>
        <v>9.0488516778273135E-3</v>
      </c>
      <c r="AC58" s="24">
        <f t="shared" si="3"/>
        <v>61.633637668444059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5.6843418860808015E-14</v>
      </c>
      <c r="O59" s="14">
        <f>N59*VLOOKUP('Données projet'!$B$9,Paramètres!$A$1:$I$89,3,0)*VLOOKUP('Données projet'!$B$9,Paramètres!$A$1:$I$89,5,0)</f>
        <v>3.3992364478763198E-14</v>
      </c>
      <c r="P59" s="14">
        <f t="shared" si="33"/>
        <v>5.790027782444094E-13</v>
      </c>
      <c r="Q59" s="22">
        <f t="shared" si="53"/>
        <v>1.0676332069095257E-12</v>
      </c>
      <c r="R59" s="62">
        <f t="shared" si="0"/>
        <v>293.33333333333439</v>
      </c>
      <c r="S59" s="62">
        <f ca="1">AVERAGE(OFFSET($R$3,0,0,'Données projet'!$E$9+1,1))-AVERAGE(OFFSET($H$3,0,0,'Données projet'!$E$9+1,1))</f>
        <v>179.92943593637102</v>
      </c>
      <c r="T59" s="62">
        <f t="shared" si="34"/>
        <v>449.95981246883593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32.338433090626125</v>
      </c>
      <c r="AA59" s="23">
        <f>EXP(-LN(2)/25)*AA58+(1-EXP(-LN(2)/25))/(LN(2)/25)*Calculateur!V59*Calculateur!X59*VLOOKUP('Données projet'!$B$9,Paramètres!$A$1:$I$89,3,0)*0.475*44/12</f>
        <v>27.856190896018845</v>
      </c>
      <c r="AB59" s="23">
        <f>EXP(-LN(2)/2)*AB58+(1-EXP(-LN(2)/2))/(LN(2)/2)*V59*Y59*VLOOKUP('Données projet'!$B$9,Paramètres!$A$1:$I$89,3,0)*0.475*44/12</f>
        <v>6.3985043833429617E-3</v>
      </c>
      <c r="AC59" s="24">
        <f t="shared" si="3"/>
        <v>60.201022491028311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5.6843418860808015E-14</v>
      </c>
      <c r="O60" s="14">
        <f>N60*VLOOKUP('Données projet'!$B$9,Paramètres!$A$1:$I$89,3,0)*VLOOKUP('Données projet'!$B$9,Paramètres!$A$1:$I$89,5,0)</f>
        <v>3.3992364478763198E-14</v>
      </c>
      <c r="P60" s="14">
        <f t="shared" si="33"/>
        <v>5.790027782444094E-13</v>
      </c>
      <c r="Q60" s="22">
        <f t="shared" si="53"/>
        <v>1.0676332069095257E-12</v>
      </c>
      <c r="R60" s="62">
        <f t="shared" si="0"/>
        <v>293.33333333333439</v>
      </c>
      <c r="S60" s="62">
        <f ca="1">AVERAGE(OFFSET($R$3,0,0,'Données projet'!$E$9+1,1))-AVERAGE(OFFSET($H$3,0,0,'Données projet'!$E$9+1,1))</f>
        <v>179.92943593637102</v>
      </c>
      <c r="T60" s="62">
        <f t="shared" si="34"/>
        <v>449.95981246883593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31.704296142215501</v>
      </c>
      <c r="AA60" s="23">
        <f>EXP(-LN(2)/25)*AA59+(1-EXP(-LN(2)/25))/(LN(2)/25)*Calculateur!V60*Calculateur!X60*VLOOKUP('Données projet'!$B$9,Paramètres!$A$1:$I$89,3,0)*0.475*44/12</f>
        <v>27.094461891073795</v>
      </c>
      <c r="AB60" s="23">
        <f>EXP(-LN(2)/2)*AB59+(1-EXP(-LN(2)/2))/(LN(2)/2)*V60*Y60*VLOOKUP('Données projet'!$B$9,Paramètres!$A$1:$I$89,3,0)*0.475*44/12</f>
        <v>4.5244258389136567E-3</v>
      </c>
      <c r="AC60" s="24">
        <f t="shared" si="3"/>
        <v>58.803282459128212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5.6843418860808015E-14</v>
      </c>
      <c r="O61" s="14">
        <f>N61*VLOOKUP('Données projet'!$B$9,Paramètres!$A$1:$I$89,3,0)*VLOOKUP('Données projet'!$B$9,Paramètres!$A$1:$I$89,5,0)</f>
        <v>3.3992364478763198E-14</v>
      </c>
      <c r="P61" s="14">
        <f t="shared" si="33"/>
        <v>5.790027782444094E-13</v>
      </c>
      <c r="Q61" s="22">
        <f t="shared" si="53"/>
        <v>1.0676332069095257E-12</v>
      </c>
      <c r="R61" s="62">
        <f t="shared" si="0"/>
        <v>293.33333333333439</v>
      </c>
      <c r="S61" s="62">
        <f ca="1">AVERAGE(OFFSET($R$3,0,0,'Données projet'!$E$9+1,1))-AVERAGE(OFFSET($H$3,0,0,'Données projet'!$E$9+1,1))</f>
        <v>179.92943593637102</v>
      </c>
      <c r="T61" s="62">
        <f t="shared" si="34"/>
        <v>449.95981246883593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31.082594232577861</v>
      </c>
      <c r="AA61" s="23">
        <f>EXP(-LN(2)/25)*AA60+(1-EXP(-LN(2)/25))/(LN(2)/25)*Calculateur!V61*Calculateur!X61*VLOOKUP('Données projet'!$B$9,Paramètres!$A$1:$I$89,3,0)*0.475*44/12</f>
        <v>26.353562405826558</v>
      </c>
      <c r="AB61" s="23">
        <f>EXP(-LN(2)/2)*AB60+(1-EXP(-LN(2)/2))/(LN(2)/2)*V61*Y61*VLOOKUP('Données projet'!$B$9,Paramètres!$A$1:$I$89,3,0)*0.475*44/12</f>
        <v>3.1992521916714809E-3</v>
      </c>
      <c r="AC61" s="24">
        <f t="shared" si="3"/>
        <v>57.43935589059609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5.6843418860808015E-14</v>
      </c>
      <c r="O62" s="14">
        <f>N62*VLOOKUP('Données projet'!$B$9,Paramètres!$A$1:$I$89,3,0)*VLOOKUP('Données projet'!$B$9,Paramètres!$A$1:$I$89,5,0)</f>
        <v>3.3992364478763198E-14</v>
      </c>
      <c r="P62" s="14">
        <f t="shared" si="33"/>
        <v>5.790027782444094E-13</v>
      </c>
      <c r="Q62" s="22">
        <f t="shared" si="53"/>
        <v>1.0676332069095257E-12</v>
      </c>
      <c r="R62" s="62">
        <f t="shared" si="0"/>
        <v>293.33333333333439</v>
      </c>
      <c r="S62" s="62">
        <f ca="1">AVERAGE(OFFSET($R$3,0,0,'Données projet'!$E$9+1,1))-AVERAGE(OFFSET($H$3,0,0,'Données projet'!$E$9+1,1))</f>
        <v>179.92943593637102</v>
      </c>
      <c r="T62" s="62">
        <f t="shared" si="34"/>
        <v>449.95981246883593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30.473083518187494</v>
      </c>
      <c r="AA62" s="23">
        <f>EXP(-LN(2)/25)*AA61+(1-EXP(-LN(2)/25))/(LN(2)/25)*Calculateur!V62*Calculateur!X62*VLOOKUP('Données projet'!$B$9,Paramètres!$A$1:$I$89,3,0)*0.475*44/12</f>
        <v>25.632922855965617</v>
      </c>
      <c r="AB62" s="23">
        <f>EXP(-LN(2)/2)*AB61+(1-EXP(-LN(2)/2))/(LN(2)/2)*V62*Y62*VLOOKUP('Données projet'!$B$9,Paramètres!$A$1:$I$89,3,0)*0.475*44/12</f>
        <v>2.2622129194568284E-3</v>
      </c>
      <c r="AC62" s="24">
        <f t="shared" si="3"/>
        <v>56.108268587072565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5.6843418860808015E-14</v>
      </c>
      <c r="O63" s="14">
        <f>N63*VLOOKUP('Données projet'!$B$9,Paramètres!$A$1:$I$89,3,0)*VLOOKUP('Données projet'!$B$9,Paramètres!$A$1:$I$89,5,0)</f>
        <v>3.3992364478763198E-14</v>
      </c>
      <c r="P63" s="14">
        <f t="shared" si="33"/>
        <v>5.790027782444094E-13</v>
      </c>
      <c r="Q63" s="22">
        <f t="shared" si="53"/>
        <v>1.0676332069095257E-12</v>
      </c>
      <c r="R63" s="62">
        <f t="shared" si="0"/>
        <v>293.33333333333439</v>
      </c>
      <c r="S63" s="62">
        <f ca="1">AVERAGE(OFFSET($R$3,0,0,'Données projet'!$E$9+1,1))-AVERAGE(OFFSET($H$3,0,0,'Données projet'!$E$9+1,1))</f>
        <v>179.92943593637102</v>
      </c>
      <c r="T63" s="62">
        <f t="shared" si="34"/>
        <v>449.95981246883593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29.875524937141495</v>
      </c>
      <c r="AA63" s="23">
        <f>EXP(-LN(2)/25)*AA62+(1-EXP(-LN(2)/25))/(LN(2)/25)*Calculateur!V63*Calculateur!X63*VLOOKUP('Données projet'!$B$9,Paramètres!$A$1:$I$89,3,0)*0.475*44/12</f>
        <v>24.931989232492409</v>
      </c>
      <c r="AB63" s="23">
        <f>EXP(-LN(2)/2)*AB62+(1-EXP(-LN(2)/2))/(LN(2)/2)*V63*Y63*VLOOKUP('Données projet'!$B$9,Paramètres!$A$1:$I$89,3,0)*0.475*44/12</f>
        <v>1.5996260958357404E-3</v>
      </c>
      <c r="AC63" s="24">
        <f t="shared" si="3"/>
        <v>54.809113795729743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5.6843418860808015E-14</v>
      </c>
      <c r="O64" s="14">
        <f>N64*VLOOKUP('Données projet'!$B$9,Paramètres!$A$1:$I$89,3,0)*VLOOKUP('Données projet'!$B$9,Paramètres!$A$1:$I$89,5,0)</f>
        <v>3.3992364478763198E-14</v>
      </c>
      <c r="P64" s="14">
        <f t="shared" si="33"/>
        <v>5.790027782444094E-13</v>
      </c>
      <c r="Q64" s="22">
        <f t="shared" si="53"/>
        <v>1.0676332069095257E-12</v>
      </c>
      <c r="R64" s="62">
        <f t="shared" si="0"/>
        <v>293.33333333333439</v>
      </c>
      <c r="S64" s="62">
        <f ca="1">AVERAGE(OFFSET($R$3,0,0,'Données projet'!$E$9+1,1))-AVERAGE(OFFSET($H$3,0,0,'Données projet'!$E$9+1,1))</f>
        <v>179.92943593637102</v>
      </c>
      <c r="T64" s="62">
        <f t="shared" si="34"/>
        <v>449.95981246883593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29.289684115395062</v>
      </c>
      <c r="AA64" s="23">
        <f>EXP(-LN(2)/25)*AA63+(1-EXP(-LN(2)/25))/(LN(2)/25)*Calculateur!V64*Calculateur!X64*VLOOKUP('Données projet'!$B$9,Paramètres!$A$1:$I$89,3,0)*0.475*44/12</f>
        <v>24.250222675813575</v>
      </c>
      <c r="AB64" s="23">
        <f>EXP(-LN(2)/2)*AB63+(1-EXP(-LN(2)/2))/(LN(2)/2)*V64*Y64*VLOOKUP('Données projet'!$B$9,Paramètres!$A$1:$I$89,3,0)*0.475*44/12</f>
        <v>1.1311064597284142E-3</v>
      </c>
      <c r="AC64" s="24">
        <f t="shared" si="3"/>
        <v>53.541037897668367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5.6843418860808015E-14</v>
      </c>
      <c r="O65" s="14">
        <f>N65*VLOOKUP('Données projet'!$B$9,Paramètres!$A$1:$I$89,3,0)*VLOOKUP('Données projet'!$B$9,Paramètres!$A$1:$I$89,5,0)</f>
        <v>3.3992364478763198E-14</v>
      </c>
      <c r="P65" s="14">
        <f t="shared" si="33"/>
        <v>5.790027782444094E-13</v>
      </c>
      <c r="Q65" s="22">
        <f t="shared" si="53"/>
        <v>1.0676332069095257E-12</v>
      </c>
      <c r="R65" s="62">
        <f t="shared" si="0"/>
        <v>293.33333333333439</v>
      </c>
      <c r="S65" s="62">
        <f ca="1">AVERAGE(OFFSET($R$3,0,0,'Données projet'!$E$9+1,1))-AVERAGE(OFFSET($H$3,0,0,'Données projet'!$E$9+1,1))</f>
        <v>179.92943593637102</v>
      </c>
      <c r="T65" s="62">
        <f t="shared" si="34"/>
        <v>449.95981246883593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28.71533127483546</v>
      </c>
      <c r="AA65" s="23">
        <f>EXP(-LN(2)/25)*AA64+(1-EXP(-LN(2)/25))/(LN(2)/25)*Calculateur!V65*Calculateur!X65*VLOOKUP('Données projet'!$B$9,Paramètres!$A$1:$I$89,3,0)*0.475*44/12</f>
        <v>23.587099061479666</v>
      </c>
      <c r="AB65" s="23">
        <f>EXP(-LN(2)/2)*AB64+(1-EXP(-LN(2)/2))/(LN(2)/2)*V65*Y65*VLOOKUP('Données projet'!$B$9,Paramètres!$A$1:$I$89,3,0)*0.475*44/12</f>
        <v>7.9981304791787021E-4</v>
      </c>
      <c r="AC65" s="24">
        <f t="shared" si="3"/>
        <v>52.303230149363046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5.6843418860808015E-14</v>
      </c>
      <c r="O66" s="14">
        <f>N66*VLOOKUP('Données projet'!$B$9,Paramètres!$A$1:$I$89,3,0)*VLOOKUP('Données projet'!$B$9,Paramètres!$A$1:$I$89,5,0)</f>
        <v>3.3992364478763198E-14</v>
      </c>
      <c r="P66" s="14">
        <f t="shared" si="33"/>
        <v>5.790027782444094E-13</v>
      </c>
      <c r="Q66" s="22">
        <f t="shared" si="53"/>
        <v>1.0676332069095257E-12</v>
      </c>
      <c r="R66" s="62">
        <f t="shared" si="0"/>
        <v>293.33333333333439</v>
      </c>
      <c r="S66" s="62">
        <f ca="1">AVERAGE(OFFSET($R$3,0,0,'Données projet'!$E$9+1,1))-AVERAGE(OFFSET($H$3,0,0,'Données projet'!$E$9+1,1))</f>
        <v>179.92943593637102</v>
      </c>
      <c r="T66" s="62">
        <f t="shared" si="34"/>
        <v>449.95981246883593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28.152241143158587</v>
      </c>
      <c r="AA66" s="23">
        <f>EXP(-LN(2)/25)*AA65+(1-EXP(-LN(2)/25))/(LN(2)/25)*Calculateur!V66*Calculateur!X66*VLOOKUP('Données projet'!$B$9,Paramètres!$A$1:$I$89,3,0)*0.475*44/12</f>
        <v>22.942108597251874</v>
      </c>
      <c r="AB66" s="23">
        <f>EXP(-LN(2)/2)*AB65+(1-EXP(-LN(2)/2))/(LN(2)/2)*V66*Y66*VLOOKUP('Données projet'!$B$9,Paramètres!$A$1:$I$89,3,0)*0.475*44/12</f>
        <v>5.6555322986420709E-4</v>
      </c>
      <c r="AC66" s="24">
        <f t="shared" si="3"/>
        <v>51.094915293640327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5.6843418860808015E-14</v>
      </c>
      <c r="O67" s="14">
        <f>N67*VLOOKUP('Données projet'!$B$9,Paramètres!$A$1:$I$89,3,0)*VLOOKUP('Données projet'!$B$9,Paramètres!$A$1:$I$89,5,0)</f>
        <v>3.3992364478763198E-14</v>
      </c>
      <c r="P67" s="14">
        <f t="shared" si="33"/>
        <v>5.790027782444094E-13</v>
      </c>
      <c r="Q67" s="22">
        <f t="shared" ref="Q67:Q98" si="54">(O67+P67)*0.475*44/12</f>
        <v>1.0676332069095257E-12</v>
      </c>
      <c r="R67" s="62">
        <f t="shared" ref="R67:R130" si="55">Q67+(I67+J67)*44/12</f>
        <v>293.33333333333439</v>
      </c>
      <c r="S67" s="62">
        <f ca="1">AVERAGE(OFFSET($R$3,0,0,'Données projet'!$E$9+1,1))-AVERAGE(OFFSET($H$3,0,0,'Données projet'!$E$9+1,1))</f>
        <v>179.92943593637102</v>
      </c>
      <c r="T67" s="62">
        <f t="shared" si="34"/>
        <v>449.95981246883593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27.600192865512831</v>
      </c>
      <c r="AA67" s="23">
        <f>EXP(-LN(2)/25)*AA66+(1-EXP(-LN(2)/25))/(LN(2)/25)*Calculateur!V67*Calculateur!X67*VLOOKUP('Données projet'!$B$9,Paramètres!$A$1:$I$89,3,0)*0.475*44/12</f>
        <v>22.314755431186967</v>
      </c>
      <c r="AB67" s="23">
        <f>EXP(-LN(2)/2)*AB66+(1-EXP(-LN(2)/2))/(LN(2)/2)*V67*Y67*VLOOKUP('Données projet'!$B$9,Paramètres!$A$1:$I$89,3,0)*0.475*44/12</f>
        <v>3.9990652395893511E-4</v>
      </c>
      <c r="AC67" s="24">
        <f t="shared" si="3"/>
        <v>49.915348203223758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5.6843418860808015E-14</v>
      </c>
      <c r="O68" s="14">
        <f>N68*VLOOKUP('Données projet'!$B$9,Paramètres!$A$1:$I$89,3,0)*VLOOKUP('Données projet'!$B$9,Paramètres!$A$1:$I$89,5,0)</f>
        <v>3.3992364478763198E-14</v>
      </c>
      <c r="P68" s="14">
        <f t="shared" si="33"/>
        <v>5.790027782444094E-13</v>
      </c>
      <c r="Q68" s="22">
        <f t="shared" si="54"/>
        <v>1.0676332069095257E-12</v>
      </c>
      <c r="R68" s="62">
        <f t="shared" si="55"/>
        <v>293.33333333333439</v>
      </c>
      <c r="S68" s="62">
        <f ca="1">AVERAGE(OFFSET($R$3,0,0,'Données projet'!$E$9+1,1))-AVERAGE(OFFSET($H$3,0,0,'Données projet'!$E$9+1,1))</f>
        <v>179.92943593637102</v>
      </c>
      <c r="T68" s="62">
        <f t="shared" si="34"/>
        <v>449.95981246883593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27.058969917875508</v>
      </c>
      <c r="AA68" s="23">
        <f>EXP(-LN(2)/25)*AA67+(1-EXP(-LN(2)/25))/(LN(2)/25)*Calculateur!V68*Calculateur!X68*VLOOKUP('Données projet'!$B$9,Paramètres!$A$1:$I$89,3,0)*0.475*44/12</f>
        <v>21.704557270439171</v>
      </c>
      <c r="AB68" s="23">
        <f>EXP(-LN(2)/2)*AB67+(1-EXP(-LN(2)/2))/(LN(2)/2)*V68*Y68*VLOOKUP('Données projet'!$B$9,Paramètres!$A$1:$I$89,3,0)*0.475*44/12</f>
        <v>2.8277661493210355E-4</v>
      </c>
      <c r="AC68" s="24">
        <f t="shared" ref="AC68:AC131" si="57">SUM(Z68:AB68)</f>
        <v>48.763809964929614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5.6843418860808015E-14</v>
      </c>
      <c r="O69" s="14">
        <f>N69*VLOOKUP('Données projet'!$B$9,Paramètres!$A$1:$I$89,3,0)*VLOOKUP('Données projet'!$B$9,Paramètres!$A$1:$I$89,5,0)</f>
        <v>3.3992364478763198E-14</v>
      </c>
      <c r="P69" s="14">
        <f t="shared" ref="P69:P132" si="87">EXP(-1.0587+0.8836*LN(O69)+0.284)</f>
        <v>5.790027782444094E-13</v>
      </c>
      <c r="Q69" s="22">
        <f t="shared" si="54"/>
        <v>1.0676332069095257E-12</v>
      </c>
      <c r="R69" s="62">
        <f t="shared" si="55"/>
        <v>293.33333333333439</v>
      </c>
      <c r="S69" s="62">
        <f ca="1">AVERAGE(OFFSET($R$3,0,0,'Données projet'!$E$9+1,1))-AVERAGE(OFFSET($H$3,0,0,'Données projet'!$E$9+1,1))</f>
        <v>179.92943593637102</v>
      </c>
      <c r="T69" s="62">
        <f t="shared" ref="T69:T132" si="88">$T$3</f>
        <v>449.95981246883593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26.528360022127952</v>
      </c>
      <c r="AA69" s="23">
        <f>EXP(-LN(2)/25)*AA68+(1-EXP(-LN(2)/25))/(LN(2)/25)*Calculateur!V69*Calculateur!X69*VLOOKUP('Données projet'!$B$9,Paramètres!$A$1:$I$89,3,0)*0.475*44/12</f>
        <v>21.111045010485952</v>
      </c>
      <c r="AB69" s="23">
        <f>EXP(-LN(2)/2)*AB68+(1-EXP(-LN(2)/2))/(LN(2)/2)*V69*Y69*VLOOKUP('Données projet'!$B$9,Paramètres!$A$1:$I$89,3,0)*0.475*44/12</f>
        <v>1.9995326197946755E-4</v>
      </c>
      <c r="AC69" s="24">
        <f t="shared" si="57"/>
        <v>47.639604985875884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5.6843418860808015E-14</v>
      </c>
      <c r="O70" s="14">
        <f>N70*VLOOKUP('Données projet'!$B$9,Paramètres!$A$1:$I$89,3,0)*VLOOKUP('Données projet'!$B$9,Paramètres!$A$1:$I$89,5,0)</f>
        <v>3.3992364478763198E-14</v>
      </c>
      <c r="P70" s="14">
        <f t="shared" si="87"/>
        <v>5.790027782444094E-13</v>
      </c>
      <c r="Q70" s="22">
        <f t="shared" si="54"/>
        <v>1.0676332069095257E-12</v>
      </c>
      <c r="R70" s="62">
        <f t="shared" si="55"/>
        <v>293.33333333333439</v>
      </c>
      <c r="S70" s="62">
        <f ca="1">AVERAGE(OFFSET($R$3,0,0,'Données projet'!$E$9+1,1))-AVERAGE(OFFSET($H$3,0,0,'Données projet'!$E$9+1,1))</f>
        <v>179.92943593637102</v>
      </c>
      <c r="T70" s="62">
        <f t="shared" si="88"/>
        <v>449.95981246883593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26.008155062795925</v>
      </c>
      <c r="AA70" s="23">
        <f>EXP(-LN(2)/25)*AA69+(1-EXP(-LN(2)/25))/(LN(2)/25)*Calculateur!V70*Calculateur!X70*VLOOKUP('Données projet'!$B$9,Paramètres!$A$1:$I$89,3,0)*0.475*44/12</f>
        <v>20.533762374492607</v>
      </c>
      <c r="AB70" s="23">
        <f>EXP(-LN(2)/2)*AB69+(1-EXP(-LN(2)/2))/(LN(2)/2)*V70*Y70*VLOOKUP('Données projet'!$B$9,Paramètres!$A$1:$I$89,3,0)*0.475*44/12</f>
        <v>1.4138830746605177E-4</v>
      </c>
      <c r="AC70" s="24">
        <f t="shared" si="57"/>
        <v>46.542058825596001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5.6843418860808015E-14</v>
      </c>
      <c r="O71" s="14">
        <f>N71*VLOOKUP('Données projet'!$B$9,Paramètres!$A$1:$I$89,3,0)*VLOOKUP('Données projet'!$B$9,Paramètres!$A$1:$I$89,5,0)</f>
        <v>3.3992364478763198E-14</v>
      </c>
      <c r="P71" s="14">
        <f t="shared" si="87"/>
        <v>5.790027782444094E-13</v>
      </c>
      <c r="Q71" s="22">
        <f t="shared" si="54"/>
        <v>1.0676332069095257E-12</v>
      </c>
      <c r="R71" s="62">
        <f t="shared" si="55"/>
        <v>293.33333333333439</v>
      </c>
      <c r="S71" s="62">
        <f ca="1">AVERAGE(OFFSET($R$3,0,0,'Données projet'!$E$9+1,1))-AVERAGE(OFFSET($H$3,0,0,'Données projet'!$E$9+1,1))</f>
        <v>179.92943593637102</v>
      </c>
      <c r="T71" s="62">
        <f t="shared" si="88"/>
        <v>449.95981246883593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25.498151005422702</v>
      </c>
      <c r="AA71" s="23">
        <f>EXP(-LN(2)/25)*AA70+(1-EXP(-LN(2)/25))/(LN(2)/25)*Calculateur!V71*Calculateur!X71*VLOOKUP('Données projet'!$B$9,Paramètres!$A$1:$I$89,3,0)*0.475*44/12</f>
        <v>19.972265562538475</v>
      </c>
      <c r="AB71" s="23">
        <f>EXP(-LN(2)/2)*AB70+(1-EXP(-LN(2)/2))/(LN(2)/2)*V71*Y71*VLOOKUP('Données projet'!$B$9,Paramètres!$A$1:$I$89,3,0)*0.475*44/12</f>
        <v>9.9976630989733777E-5</v>
      </c>
      <c r="AC71" s="24">
        <f t="shared" si="57"/>
        <v>45.470516544592172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5.6843418860808015E-14</v>
      </c>
      <c r="O72" s="14">
        <f>N72*VLOOKUP('Données projet'!$B$9,Paramètres!$A$1:$I$89,3,0)*VLOOKUP('Données projet'!$B$9,Paramètres!$A$1:$I$89,5,0)</f>
        <v>3.3992364478763198E-14</v>
      </c>
      <c r="P72" s="14">
        <f t="shared" si="87"/>
        <v>5.790027782444094E-13</v>
      </c>
      <c r="Q72" s="22">
        <f t="shared" si="54"/>
        <v>1.0676332069095257E-12</v>
      </c>
      <c r="R72" s="62">
        <f t="shared" si="55"/>
        <v>293.33333333333439</v>
      </c>
      <c r="S72" s="62">
        <f ca="1">AVERAGE(OFFSET($R$3,0,0,'Données projet'!$E$9+1,1))-AVERAGE(OFFSET($H$3,0,0,'Données projet'!$E$9+1,1))</f>
        <v>179.92943593637102</v>
      </c>
      <c r="T72" s="62">
        <f t="shared" si="88"/>
        <v>449.95981246883593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24.998147816542811</v>
      </c>
      <c r="AA72" s="23">
        <f>EXP(-LN(2)/25)*AA71+(1-EXP(-LN(2)/25))/(LN(2)/25)*Calculateur!V72*Calculateur!X72*VLOOKUP('Données projet'!$B$9,Paramètres!$A$1:$I$89,3,0)*0.475*44/12</f>
        <v>19.426122910435062</v>
      </c>
      <c r="AB72" s="23">
        <f>EXP(-LN(2)/2)*AB71+(1-EXP(-LN(2)/2))/(LN(2)/2)*V72*Y72*VLOOKUP('Données projet'!$B$9,Paramètres!$A$1:$I$89,3,0)*0.475*44/12</f>
        <v>7.0694153733025887E-5</v>
      </c>
      <c r="AC72" s="24">
        <f t="shared" si="57"/>
        <v>44.424341421131608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5.6843418860808015E-14</v>
      </c>
      <c r="O73" s="14">
        <f>N73*VLOOKUP('Données projet'!$B$9,Paramètres!$A$1:$I$89,3,0)*VLOOKUP('Données projet'!$B$9,Paramètres!$A$1:$I$89,5,0)</f>
        <v>3.3992364478763198E-14</v>
      </c>
      <c r="P73" s="14">
        <f t="shared" si="87"/>
        <v>5.790027782444094E-13</v>
      </c>
      <c r="Q73" s="22">
        <f t="shared" si="54"/>
        <v>1.0676332069095257E-12</v>
      </c>
      <c r="R73" s="62">
        <f t="shared" si="55"/>
        <v>293.33333333333439</v>
      </c>
      <c r="S73" s="62">
        <f ca="1">AVERAGE(OFFSET($R$3,0,0,'Données projet'!$E$9+1,1))-AVERAGE(OFFSET($H$3,0,0,'Données projet'!$E$9+1,1))</f>
        <v>179.92943593637102</v>
      </c>
      <c r="T73" s="62">
        <f t="shared" si="88"/>
        <v>449.95981246883593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24.507949385225022</v>
      </c>
      <c r="AA73" s="23">
        <f>EXP(-LN(2)/25)*AA72+(1-EXP(-LN(2)/25))/(LN(2)/25)*Calculateur!V73*Calculateur!X73*VLOOKUP('Données projet'!$B$9,Paramètres!$A$1:$I$89,3,0)*0.475*44/12</f>
        <v>18.894914557873811</v>
      </c>
      <c r="AB73" s="23">
        <f>EXP(-LN(2)/2)*AB72+(1-EXP(-LN(2)/2))/(LN(2)/2)*V73*Y73*VLOOKUP('Données projet'!$B$9,Paramètres!$A$1:$I$89,3,0)*0.475*44/12</f>
        <v>4.9988315494866888E-5</v>
      </c>
      <c r="AC73" s="24">
        <f t="shared" si="57"/>
        <v>43.402913931414332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5.6843418860808015E-14</v>
      </c>
      <c r="O74" s="14">
        <f>N74*VLOOKUP('Données projet'!$B$9,Paramètres!$A$1:$I$89,3,0)*VLOOKUP('Données projet'!$B$9,Paramètres!$A$1:$I$89,5,0)</f>
        <v>3.3992364478763198E-14</v>
      </c>
      <c r="P74" s="14">
        <f t="shared" si="87"/>
        <v>5.790027782444094E-13</v>
      </c>
      <c r="Q74" s="22">
        <f t="shared" si="54"/>
        <v>1.0676332069095257E-12</v>
      </c>
      <c r="R74" s="62">
        <f t="shared" si="55"/>
        <v>293.33333333333439</v>
      </c>
      <c r="S74" s="62">
        <f ca="1">AVERAGE(OFFSET($R$3,0,0,'Données projet'!$E$9+1,1))-AVERAGE(OFFSET($H$3,0,0,'Données projet'!$E$9+1,1))</f>
        <v>179.92943593637102</v>
      </c>
      <c r="T74" s="62">
        <f t="shared" si="88"/>
        <v>449.95981246883593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24.027363446153856</v>
      </c>
      <c r="AA74" s="23">
        <f>EXP(-LN(2)/25)*AA73+(1-EXP(-LN(2)/25))/(LN(2)/25)*Calculateur!V74*Calculateur!X74*VLOOKUP('Données projet'!$B$9,Paramètres!$A$1:$I$89,3,0)*0.475*44/12</f>
        <v>18.378232125648381</v>
      </c>
      <c r="AB74" s="23">
        <f>EXP(-LN(2)/2)*AB73+(1-EXP(-LN(2)/2))/(LN(2)/2)*V74*Y74*VLOOKUP('Données projet'!$B$9,Paramètres!$A$1:$I$89,3,0)*0.475*44/12</f>
        <v>3.5347076866512943E-5</v>
      </c>
      <c r="AC74" s="24">
        <f t="shared" si="57"/>
        <v>42.405630918879105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5.6843418860808015E-14</v>
      </c>
      <c r="O75" s="14">
        <f>N75*VLOOKUP('Données projet'!$B$9,Paramètres!$A$1:$I$89,3,0)*VLOOKUP('Données projet'!$B$9,Paramètres!$A$1:$I$89,5,0)</f>
        <v>3.3992364478763198E-14</v>
      </c>
      <c r="P75" s="14">
        <f t="shared" si="87"/>
        <v>5.790027782444094E-13</v>
      </c>
      <c r="Q75" s="22">
        <f t="shared" si="54"/>
        <v>1.0676332069095257E-12</v>
      </c>
      <c r="R75" s="62">
        <f t="shared" si="55"/>
        <v>293.33333333333439</v>
      </c>
      <c r="S75" s="62">
        <f ca="1">AVERAGE(OFFSET($R$3,0,0,'Données projet'!$E$9+1,1))-AVERAGE(OFFSET($H$3,0,0,'Données projet'!$E$9+1,1))</f>
        <v>179.92943593637102</v>
      </c>
      <c r="T75" s="62">
        <f t="shared" si="88"/>
        <v>449.95981246883593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23.556201504219395</v>
      </c>
      <c r="AA75" s="23">
        <f>EXP(-LN(2)/25)*AA74+(1-EXP(-LN(2)/25))/(LN(2)/25)*Calculateur!V75*Calculateur!X75*VLOOKUP('Données projet'!$B$9,Paramètres!$A$1:$I$89,3,0)*0.475*44/12</f>
        <v>17.875678401703304</v>
      </c>
      <c r="AB75" s="23">
        <f>EXP(-LN(2)/2)*AB74+(1-EXP(-LN(2)/2))/(LN(2)/2)*V75*Y75*VLOOKUP('Données projet'!$B$9,Paramètres!$A$1:$I$89,3,0)*0.475*44/12</f>
        <v>2.4994157747433444E-5</v>
      </c>
      <c r="AC75" s="24">
        <f t="shared" si="57"/>
        <v>41.431904900080447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5.6843418860808015E-14</v>
      </c>
      <c r="O76" s="14">
        <f>N76*VLOOKUP('Données projet'!$B$9,Paramètres!$A$1:$I$89,3,0)*VLOOKUP('Données projet'!$B$9,Paramètres!$A$1:$I$89,5,0)</f>
        <v>3.3992364478763198E-14</v>
      </c>
      <c r="P76" s="14">
        <f t="shared" si="87"/>
        <v>5.790027782444094E-13</v>
      </c>
      <c r="Q76" s="22">
        <f t="shared" si="54"/>
        <v>1.0676332069095257E-12</v>
      </c>
      <c r="R76" s="62">
        <f t="shared" si="55"/>
        <v>293.33333333333439</v>
      </c>
      <c r="S76" s="62">
        <f ca="1">AVERAGE(OFFSET($R$3,0,0,'Données projet'!$E$9+1,1))-AVERAGE(OFFSET($H$3,0,0,'Données projet'!$E$9+1,1))</f>
        <v>179.92943593637102</v>
      </c>
      <c r="T76" s="62">
        <f t="shared" si="88"/>
        <v>449.95981246883593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23.094278760585862</v>
      </c>
      <c r="AA76" s="23">
        <f>EXP(-LN(2)/25)*AA75+(1-EXP(-LN(2)/25))/(LN(2)/25)*Calculateur!V76*Calculateur!X76*VLOOKUP('Données projet'!$B$9,Paramètres!$A$1:$I$89,3,0)*0.475*44/12</f>
        <v>17.386867035767654</v>
      </c>
      <c r="AB76" s="23">
        <f>EXP(-LN(2)/2)*AB75+(1-EXP(-LN(2)/2))/(LN(2)/2)*V76*Y76*VLOOKUP('Données projet'!$B$9,Paramètres!$A$1:$I$89,3,0)*0.475*44/12</f>
        <v>1.7673538433256472E-5</v>
      </c>
      <c r="AC76" s="24">
        <f t="shared" si="57"/>
        <v>40.481163469891946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5.6843418860808015E-14</v>
      </c>
      <c r="O77" s="14">
        <f>N77*VLOOKUP('Données projet'!$B$9,Paramètres!$A$1:$I$89,3,0)*VLOOKUP('Données projet'!$B$9,Paramètres!$A$1:$I$89,5,0)</f>
        <v>3.3992364478763198E-14</v>
      </c>
      <c r="P77" s="14">
        <f t="shared" si="87"/>
        <v>5.790027782444094E-13</v>
      </c>
      <c r="Q77" s="22">
        <f t="shared" si="54"/>
        <v>1.0676332069095257E-12</v>
      </c>
      <c r="R77" s="62">
        <f t="shared" si="55"/>
        <v>293.33333333333439</v>
      </c>
      <c r="S77" s="62">
        <f ca="1">AVERAGE(OFFSET($R$3,0,0,'Données projet'!$E$9+1,1))-AVERAGE(OFFSET($H$3,0,0,'Données projet'!$E$9+1,1))</f>
        <v>179.92943593637102</v>
      </c>
      <c r="T77" s="62">
        <f t="shared" si="88"/>
        <v>449.95981246883593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22.641414040209927</v>
      </c>
      <c r="AA77" s="23">
        <f>EXP(-LN(2)/25)*AA76+(1-EXP(-LN(2)/25))/(LN(2)/25)*Calculateur!V77*Calculateur!X77*VLOOKUP('Données projet'!$B$9,Paramètres!$A$1:$I$89,3,0)*0.475*44/12</f>
        <v>16.91142224233899</v>
      </c>
      <c r="AB77" s="23">
        <f>EXP(-LN(2)/2)*AB76+(1-EXP(-LN(2)/2))/(LN(2)/2)*V77*Y77*VLOOKUP('Données projet'!$B$9,Paramètres!$A$1:$I$89,3,0)*0.475*44/12</f>
        <v>1.2497078873716722E-5</v>
      </c>
      <c r="AC77" s="24">
        <f t="shared" si="57"/>
        <v>39.552848779627787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5.6843418860808015E-14</v>
      </c>
      <c r="O78" s="14">
        <f>N78*VLOOKUP('Données projet'!$B$9,Paramètres!$A$1:$I$89,3,0)*VLOOKUP('Données projet'!$B$9,Paramètres!$A$1:$I$89,5,0)</f>
        <v>3.3992364478763198E-14</v>
      </c>
      <c r="P78" s="14">
        <f t="shared" si="87"/>
        <v>5.790027782444094E-13</v>
      </c>
      <c r="Q78" s="22">
        <f t="shared" si="54"/>
        <v>1.0676332069095257E-12</v>
      </c>
      <c r="R78" s="62">
        <f t="shared" si="55"/>
        <v>293.33333333333439</v>
      </c>
      <c r="S78" s="62">
        <f ca="1">AVERAGE(OFFSET($R$3,0,0,'Données projet'!$E$9+1,1))-AVERAGE(OFFSET($H$3,0,0,'Données projet'!$E$9+1,1))</f>
        <v>179.92943593637102</v>
      </c>
      <c r="T78" s="62">
        <f t="shared" si="88"/>
        <v>449.95981246883593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22.197429720780359</v>
      </c>
      <c r="AA78" s="23">
        <f>EXP(-LN(2)/25)*AA77+(1-EXP(-LN(2)/25))/(LN(2)/25)*Calculateur!V78*Calculateur!X78*VLOOKUP('Données projet'!$B$9,Paramètres!$A$1:$I$89,3,0)*0.475*44/12</f>
        <v>16.448978511789186</v>
      </c>
      <c r="AB78" s="23">
        <f>EXP(-LN(2)/2)*AB77+(1-EXP(-LN(2)/2))/(LN(2)/2)*V78*Y78*VLOOKUP('Données projet'!$B$9,Paramètres!$A$1:$I$89,3,0)*0.475*44/12</f>
        <v>8.8367692166282358E-6</v>
      </c>
      <c r="AC78" s="24">
        <f t="shared" si="57"/>
        <v>38.64641706933876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5.6843418860808015E-14</v>
      </c>
      <c r="O79" s="14">
        <f>N79*VLOOKUP('Données projet'!$B$9,Paramètres!$A$1:$I$89,3,0)*VLOOKUP('Données projet'!$B$9,Paramètres!$A$1:$I$89,5,0)</f>
        <v>3.3992364478763198E-14</v>
      </c>
      <c r="P79" s="14">
        <f t="shared" si="87"/>
        <v>5.790027782444094E-13</v>
      </c>
      <c r="Q79" s="22">
        <f t="shared" si="54"/>
        <v>1.0676332069095257E-12</v>
      </c>
      <c r="R79" s="62">
        <f t="shared" si="55"/>
        <v>293.33333333333439</v>
      </c>
      <c r="S79" s="62">
        <f ca="1">AVERAGE(OFFSET($R$3,0,0,'Données projet'!$E$9+1,1))-AVERAGE(OFFSET($H$3,0,0,'Données projet'!$E$9+1,1))</f>
        <v>179.92943593637102</v>
      </c>
      <c r="T79" s="62">
        <f t="shared" si="88"/>
        <v>449.95981246883593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21.76215166305111</v>
      </c>
      <c r="AA79" s="23">
        <f>EXP(-LN(2)/25)*AA78+(1-EXP(-LN(2)/25))/(LN(2)/25)*Calculateur!V79*Calculateur!X79*VLOOKUP('Données projet'!$B$9,Paramètres!$A$1:$I$89,3,0)*0.475*44/12</f>
        <v>15.999180329370125</v>
      </c>
      <c r="AB79" s="23">
        <f>EXP(-LN(2)/2)*AB78+(1-EXP(-LN(2)/2))/(LN(2)/2)*V79*Y79*VLOOKUP('Données projet'!$B$9,Paramètres!$A$1:$I$89,3,0)*0.475*44/12</f>
        <v>6.248539436858361E-6</v>
      </c>
      <c r="AC79" s="24">
        <f t="shared" si="57"/>
        <v>37.761338240960669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5.6843418860808015E-14</v>
      </c>
      <c r="O80" s="14">
        <f>N80*VLOOKUP('Données projet'!$B$9,Paramètres!$A$1:$I$89,3,0)*VLOOKUP('Données projet'!$B$9,Paramètres!$A$1:$I$89,5,0)</f>
        <v>3.3992364478763198E-14</v>
      </c>
      <c r="P80" s="14">
        <f t="shared" si="87"/>
        <v>5.790027782444094E-13</v>
      </c>
      <c r="Q80" s="22">
        <f t="shared" si="54"/>
        <v>1.0676332069095257E-12</v>
      </c>
      <c r="R80" s="62">
        <f t="shared" si="55"/>
        <v>293.33333333333439</v>
      </c>
      <c r="S80" s="62">
        <f ca="1">AVERAGE(OFFSET($R$3,0,0,'Données projet'!$E$9+1,1))-AVERAGE(OFFSET($H$3,0,0,'Données projet'!$E$9+1,1))</f>
        <v>179.92943593637102</v>
      </c>
      <c r="T80" s="62">
        <f t="shared" si="88"/>
        <v>449.95981246883593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21.335409142540534</v>
      </c>
      <c r="AA80" s="23">
        <f>EXP(-LN(2)/25)*AA79+(1-EXP(-LN(2)/25))/(LN(2)/25)*Calculateur!V80*Calculateur!X80*VLOOKUP('Données projet'!$B$9,Paramètres!$A$1:$I$89,3,0)*0.475*44/12</f>
        <v>15.561681901903173</v>
      </c>
      <c r="AB80" s="23">
        <f>EXP(-LN(2)/2)*AB79+(1-EXP(-LN(2)/2))/(LN(2)/2)*V80*Y80*VLOOKUP('Données projet'!$B$9,Paramètres!$A$1:$I$89,3,0)*0.475*44/12</f>
        <v>4.4183846083141179E-6</v>
      </c>
      <c r="AC80" s="24">
        <f t="shared" si="57"/>
        <v>36.897095462828311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5.6843418860808015E-14</v>
      </c>
      <c r="O81" s="14">
        <f>N81*VLOOKUP('Données projet'!$B$9,Paramètres!$A$1:$I$89,3,0)*VLOOKUP('Données projet'!$B$9,Paramètres!$A$1:$I$89,5,0)</f>
        <v>3.3992364478763198E-14</v>
      </c>
      <c r="P81" s="14">
        <f t="shared" si="87"/>
        <v>5.790027782444094E-13</v>
      </c>
      <c r="Q81" s="22">
        <f t="shared" si="54"/>
        <v>1.0676332069095257E-12</v>
      </c>
      <c r="R81" s="62">
        <f t="shared" si="55"/>
        <v>293.33333333333439</v>
      </c>
      <c r="S81" s="62">
        <f ca="1">AVERAGE(OFFSET($R$3,0,0,'Données projet'!$E$9+1,1))-AVERAGE(OFFSET($H$3,0,0,'Données projet'!$E$9+1,1))</f>
        <v>179.92943593637102</v>
      </c>
      <c r="T81" s="62">
        <f t="shared" si="88"/>
        <v>449.95981246883593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20.917034782569932</v>
      </c>
      <c r="AA81" s="23">
        <f>EXP(-LN(2)/25)*AA80+(1-EXP(-LN(2)/25))/(LN(2)/25)*Calculateur!V81*Calculateur!X81*VLOOKUP('Données projet'!$B$9,Paramètres!$A$1:$I$89,3,0)*0.475*44/12</f>
        <v>15.136146891942346</v>
      </c>
      <c r="AB81" s="23">
        <f>EXP(-LN(2)/2)*AB80+(1-EXP(-LN(2)/2))/(LN(2)/2)*V81*Y81*VLOOKUP('Données projet'!$B$9,Paramètres!$A$1:$I$89,3,0)*0.475*44/12</f>
        <v>3.1242697184291805E-6</v>
      </c>
      <c r="AC81" s="24">
        <f t="shared" si="57"/>
        <v>36.053184798781992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5.6843418860808015E-14</v>
      </c>
      <c r="O82" s="14">
        <f>N82*VLOOKUP('Données projet'!$B$9,Paramètres!$A$1:$I$89,3,0)*VLOOKUP('Données projet'!$B$9,Paramètres!$A$1:$I$89,5,0)</f>
        <v>3.3992364478763198E-14</v>
      </c>
      <c r="P82" s="14">
        <f t="shared" si="87"/>
        <v>5.790027782444094E-13</v>
      </c>
      <c r="Q82" s="22">
        <f t="shared" si="54"/>
        <v>1.0676332069095257E-12</v>
      </c>
      <c r="R82" s="62">
        <f t="shared" si="55"/>
        <v>293.33333333333439</v>
      </c>
      <c r="S82" s="62">
        <f ca="1">AVERAGE(OFFSET($R$3,0,0,'Données projet'!$E$9+1,1))-AVERAGE(OFFSET($H$3,0,0,'Données projet'!$E$9+1,1))</f>
        <v>179.92943593637102</v>
      </c>
      <c r="T82" s="62">
        <f t="shared" si="88"/>
        <v>449.95981246883593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20.506864488615193</v>
      </c>
      <c r="AA82" s="23">
        <f>EXP(-LN(2)/25)*AA81+(1-EXP(-LN(2)/25))/(LN(2)/25)*Calculateur!V82*Calculateur!X82*VLOOKUP('Données projet'!$B$9,Paramètres!$A$1:$I$89,3,0)*0.475*44/12</f>
        <v>14.722248159206812</v>
      </c>
      <c r="AB82" s="23">
        <f>EXP(-LN(2)/2)*AB81+(1-EXP(-LN(2)/2))/(LN(2)/2)*V82*Y82*VLOOKUP('Données projet'!$B$9,Paramètres!$A$1:$I$89,3,0)*0.475*44/12</f>
        <v>2.209192304157059E-6</v>
      </c>
      <c r="AC82" s="24">
        <f t="shared" si="57"/>
        <v>35.229114857014309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5.6843418860808015E-14</v>
      </c>
      <c r="O83" s="14">
        <f>N83*VLOOKUP('Données projet'!$B$9,Paramètres!$A$1:$I$89,3,0)*VLOOKUP('Données projet'!$B$9,Paramètres!$A$1:$I$89,5,0)</f>
        <v>3.3992364478763198E-14</v>
      </c>
      <c r="P83" s="14">
        <f t="shared" si="87"/>
        <v>5.790027782444094E-13</v>
      </c>
      <c r="Q83" s="22">
        <f t="shared" si="54"/>
        <v>1.0676332069095257E-12</v>
      </c>
      <c r="R83" s="62">
        <f t="shared" si="55"/>
        <v>293.33333333333439</v>
      </c>
      <c r="S83" s="62">
        <f ca="1">AVERAGE(OFFSET($R$3,0,0,'Données projet'!$E$9+1,1))-AVERAGE(OFFSET($H$3,0,0,'Données projet'!$E$9+1,1))</f>
        <v>179.92943593637102</v>
      </c>
      <c r="T83" s="62">
        <f t="shared" si="88"/>
        <v>449.95981246883593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20.104737383945729</v>
      </c>
      <c r="AA83" s="23">
        <f>EXP(-LN(2)/25)*AA82+(1-EXP(-LN(2)/25))/(LN(2)/25)*Calculateur!V83*Calculateur!X83*VLOOKUP('Données projet'!$B$9,Paramètres!$A$1:$I$89,3,0)*0.475*44/12</f>
        <v>14.319667509083919</v>
      </c>
      <c r="AB83" s="23">
        <f>EXP(-LN(2)/2)*AB82+(1-EXP(-LN(2)/2))/(LN(2)/2)*V83*Y83*VLOOKUP('Données projet'!$B$9,Paramètres!$A$1:$I$89,3,0)*0.475*44/12</f>
        <v>1.5621348592145903E-6</v>
      </c>
      <c r="AC83" s="24">
        <f t="shared" si="57"/>
        <v>34.424406455164508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5.6843418860808015E-14</v>
      </c>
      <c r="O84" s="14">
        <f>N84*VLOOKUP('Données projet'!$B$9,Paramètres!$A$1:$I$89,3,0)*VLOOKUP('Données projet'!$B$9,Paramètres!$A$1:$I$89,5,0)</f>
        <v>3.3992364478763198E-14</v>
      </c>
      <c r="P84" s="14">
        <f t="shared" si="87"/>
        <v>5.790027782444094E-13</v>
      </c>
      <c r="Q84" s="22">
        <f t="shared" si="54"/>
        <v>1.0676332069095257E-12</v>
      </c>
      <c r="R84" s="62">
        <f t="shared" si="55"/>
        <v>293.33333333333439</v>
      </c>
      <c r="S84" s="62">
        <f ca="1">AVERAGE(OFFSET($R$3,0,0,'Données projet'!$E$9+1,1))-AVERAGE(OFFSET($H$3,0,0,'Données projet'!$E$9+1,1))</f>
        <v>179.92943593637102</v>
      </c>
      <c r="T84" s="62">
        <f t="shared" si="88"/>
        <v>449.95981246883593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19.710495746525517</v>
      </c>
      <c r="AA84" s="23">
        <f>EXP(-LN(2)/25)*AA83+(1-EXP(-LN(2)/25))/(LN(2)/25)*Calculateur!V84*Calculateur!X84*VLOOKUP('Données projet'!$B$9,Paramètres!$A$1:$I$89,3,0)*0.475*44/12</f>
        <v>13.928095448009433</v>
      </c>
      <c r="AB84" s="23">
        <f>EXP(-LN(2)/2)*AB83+(1-EXP(-LN(2)/2))/(LN(2)/2)*V84*Y84*VLOOKUP('Données projet'!$B$9,Paramètres!$A$1:$I$89,3,0)*0.475*44/12</f>
        <v>1.1045961520785295E-6</v>
      </c>
      <c r="AC84" s="24">
        <f t="shared" si="57"/>
        <v>33.638592299131105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5.6843418860808015E-14</v>
      </c>
      <c r="O85" s="14">
        <f>N85*VLOOKUP('Données projet'!$B$9,Paramètres!$A$1:$I$89,3,0)*VLOOKUP('Données projet'!$B$9,Paramètres!$A$1:$I$89,5,0)</f>
        <v>3.3992364478763198E-14</v>
      </c>
      <c r="P85" s="14">
        <f t="shared" si="87"/>
        <v>5.790027782444094E-13</v>
      </c>
      <c r="Q85" s="22">
        <f t="shared" si="54"/>
        <v>1.0676332069095257E-12</v>
      </c>
      <c r="R85" s="62">
        <f t="shared" si="55"/>
        <v>293.33333333333439</v>
      </c>
      <c r="S85" s="62">
        <f ca="1">AVERAGE(OFFSET($R$3,0,0,'Données projet'!$E$9+1,1))-AVERAGE(OFFSET($H$3,0,0,'Données projet'!$E$9+1,1))</f>
        <v>179.92943593637102</v>
      </c>
      <c r="T85" s="62">
        <f t="shared" si="88"/>
        <v>449.95981246883593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19.323984947151462</v>
      </c>
      <c r="AA85" s="23">
        <f>EXP(-LN(2)/25)*AA84+(1-EXP(-LN(2)/25))/(LN(2)/25)*Calculateur!V85*Calculateur!X85*VLOOKUP('Données projet'!$B$9,Paramètres!$A$1:$I$89,3,0)*0.475*44/12</f>
        <v>13.547230945536908</v>
      </c>
      <c r="AB85" s="23">
        <f>EXP(-LN(2)/2)*AB84+(1-EXP(-LN(2)/2))/(LN(2)/2)*V85*Y85*VLOOKUP('Données projet'!$B$9,Paramètres!$A$1:$I$89,3,0)*0.475*44/12</f>
        <v>7.8106742960729513E-7</v>
      </c>
      <c r="AC85" s="24">
        <f t="shared" si="57"/>
        <v>32.871216673755796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5.6843418860808015E-14</v>
      </c>
      <c r="O86" s="14">
        <f>N86*VLOOKUP('Données projet'!$B$9,Paramètres!$A$1:$I$89,3,0)*VLOOKUP('Données projet'!$B$9,Paramètres!$A$1:$I$89,5,0)</f>
        <v>3.3992364478763198E-14</v>
      </c>
      <c r="P86" s="14">
        <f t="shared" si="87"/>
        <v>5.790027782444094E-13</v>
      </c>
      <c r="Q86" s="22">
        <f t="shared" si="54"/>
        <v>1.0676332069095257E-12</v>
      </c>
      <c r="R86" s="62">
        <f t="shared" si="55"/>
        <v>293.33333333333439</v>
      </c>
      <c r="S86" s="62">
        <f ca="1">AVERAGE(OFFSET($R$3,0,0,'Données projet'!$E$9+1,1))-AVERAGE(OFFSET($H$3,0,0,'Données projet'!$E$9+1,1))</f>
        <v>179.92943593637102</v>
      </c>
      <c r="T86" s="62">
        <f t="shared" si="88"/>
        <v>449.95981246883593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18.945053388804823</v>
      </c>
      <c r="AA86" s="23">
        <f>EXP(-LN(2)/25)*AA85+(1-EXP(-LN(2)/25))/(LN(2)/25)*Calculateur!V86*Calculateur!X86*VLOOKUP('Données projet'!$B$9,Paramètres!$A$1:$I$89,3,0)*0.475*44/12</f>
        <v>13.176781202913288</v>
      </c>
      <c r="AB86" s="23">
        <f>EXP(-LN(2)/2)*AB85+(1-EXP(-LN(2)/2))/(LN(2)/2)*V86*Y86*VLOOKUP('Données projet'!$B$9,Paramètres!$A$1:$I$89,3,0)*0.475*44/12</f>
        <v>5.5229807603926474E-7</v>
      </c>
      <c r="AC86" s="24">
        <f t="shared" si="57"/>
        <v>32.121835144016188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5.6843418860808015E-14</v>
      </c>
      <c r="O87" s="14">
        <f>N87*VLOOKUP('Données projet'!$B$9,Paramètres!$A$1:$I$89,3,0)*VLOOKUP('Données projet'!$B$9,Paramètres!$A$1:$I$89,5,0)</f>
        <v>3.3992364478763198E-14</v>
      </c>
      <c r="P87" s="14">
        <f t="shared" si="87"/>
        <v>5.790027782444094E-13</v>
      </c>
      <c r="Q87" s="22">
        <f t="shared" si="54"/>
        <v>1.0676332069095257E-12</v>
      </c>
      <c r="R87" s="62">
        <f t="shared" si="55"/>
        <v>293.33333333333439</v>
      </c>
      <c r="S87" s="62">
        <f ca="1">AVERAGE(OFFSET($R$3,0,0,'Données projet'!$E$9+1,1))-AVERAGE(OFFSET($H$3,0,0,'Données projet'!$E$9+1,1))</f>
        <v>179.92943593637102</v>
      </c>
      <c r="T87" s="62">
        <f t="shared" si="88"/>
        <v>449.95981246883593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18.573552447191933</v>
      </c>
      <c r="AA87" s="23">
        <f>EXP(-LN(2)/25)*AA86+(1-EXP(-LN(2)/25))/(LN(2)/25)*Calculateur!V87*Calculateur!X87*VLOOKUP('Données projet'!$B$9,Paramètres!$A$1:$I$89,3,0)*0.475*44/12</f>
        <v>12.816461427982818</v>
      </c>
      <c r="AB87" s="23">
        <f>EXP(-LN(2)/2)*AB86+(1-EXP(-LN(2)/2))/(LN(2)/2)*V87*Y87*VLOOKUP('Données projet'!$B$9,Paramètres!$A$1:$I$89,3,0)*0.475*44/12</f>
        <v>3.9053371480364757E-7</v>
      </c>
      <c r="AC87" s="24">
        <f t="shared" si="57"/>
        <v>31.390014265708466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5.6843418860808015E-14</v>
      </c>
      <c r="O88" s="14">
        <f>N88*VLOOKUP('Données projet'!$B$9,Paramètres!$A$1:$I$89,3,0)*VLOOKUP('Données projet'!$B$9,Paramètres!$A$1:$I$89,5,0)</f>
        <v>3.3992364478763198E-14</v>
      </c>
      <c r="P88" s="14">
        <f t="shared" si="87"/>
        <v>5.790027782444094E-13</v>
      </c>
      <c r="Q88" s="22">
        <f t="shared" si="54"/>
        <v>1.0676332069095257E-12</v>
      </c>
      <c r="R88" s="62">
        <f t="shared" si="55"/>
        <v>293.33333333333439</v>
      </c>
      <c r="S88" s="62">
        <f ca="1">AVERAGE(OFFSET($R$3,0,0,'Données projet'!$E$9+1,1))-AVERAGE(OFFSET($H$3,0,0,'Données projet'!$E$9+1,1))</f>
        <v>179.92943593637102</v>
      </c>
      <c r="T88" s="62">
        <f t="shared" si="88"/>
        <v>449.95981246883593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18.20933641245087</v>
      </c>
      <c r="AA88" s="23">
        <f>EXP(-LN(2)/25)*AA87+(1-EXP(-LN(2)/25))/(LN(2)/25)*Calculateur!V88*Calculateur!X88*VLOOKUP('Données projet'!$B$9,Paramètres!$A$1:$I$89,3,0)*0.475*44/12</f>
        <v>12.465994616246213</v>
      </c>
      <c r="AB88" s="23">
        <f>EXP(-LN(2)/2)*AB87+(1-EXP(-LN(2)/2))/(LN(2)/2)*V88*Y88*VLOOKUP('Données projet'!$B$9,Paramètres!$A$1:$I$89,3,0)*0.475*44/12</f>
        <v>2.7614903801963237E-7</v>
      </c>
      <c r="AC88" s="24">
        <f t="shared" si="57"/>
        <v>30.675331304846122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5.6843418860808015E-14</v>
      </c>
      <c r="O89" s="14">
        <f>N89*VLOOKUP('Données projet'!$B$9,Paramètres!$A$1:$I$89,3,0)*VLOOKUP('Données projet'!$B$9,Paramètres!$A$1:$I$89,5,0)</f>
        <v>3.3992364478763198E-14</v>
      </c>
      <c r="P89" s="14">
        <f t="shared" si="87"/>
        <v>5.790027782444094E-13</v>
      </c>
      <c r="Q89" s="22">
        <f t="shared" si="54"/>
        <v>1.0676332069095257E-12</v>
      </c>
      <c r="R89" s="62">
        <f t="shared" si="55"/>
        <v>293.33333333333439</v>
      </c>
      <c r="S89" s="62">
        <f ca="1">AVERAGE(OFFSET($R$3,0,0,'Données projet'!$E$9+1,1))-AVERAGE(OFFSET($H$3,0,0,'Données projet'!$E$9+1,1))</f>
        <v>179.92943593637102</v>
      </c>
      <c r="T89" s="62">
        <f t="shared" si="88"/>
        <v>449.95981246883593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17.852262432001236</v>
      </c>
      <c r="AA89" s="23">
        <f>EXP(-LN(2)/25)*AA88+(1-EXP(-LN(2)/25))/(LN(2)/25)*Calculateur!V89*Calculateur!X89*VLOOKUP('Données projet'!$B$9,Paramètres!$A$1:$I$89,3,0)*0.475*44/12</f>
        <v>12.125111337906795</v>
      </c>
      <c r="AB89" s="23">
        <f>EXP(-LN(2)/2)*AB88+(1-EXP(-LN(2)/2))/(LN(2)/2)*V89*Y89*VLOOKUP('Données projet'!$B$9,Paramètres!$A$1:$I$89,3,0)*0.475*44/12</f>
        <v>1.9526685740182378E-7</v>
      </c>
      <c r="AC89" s="24">
        <f t="shared" si="57"/>
        <v>29.977373965174888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5.6843418860808015E-14</v>
      </c>
      <c r="O90" s="14">
        <f>N90*VLOOKUP('Données projet'!$B$9,Paramètres!$A$1:$I$89,3,0)*VLOOKUP('Données projet'!$B$9,Paramètres!$A$1:$I$89,5,0)</f>
        <v>3.3992364478763198E-14</v>
      </c>
      <c r="P90" s="14">
        <f t="shared" si="87"/>
        <v>5.790027782444094E-13</v>
      </c>
      <c r="Q90" s="22">
        <f t="shared" si="54"/>
        <v>1.0676332069095257E-12</v>
      </c>
      <c r="R90" s="62">
        <f t="shared" si="55"/>
        <v>293.33333333333439</v>
      </c>
      <c r="S90" s="62">
        <f ca="1">AVERAGE(OFFSET($R$3,0,0,'Données projet'!$E$9+1,1))-AVERAGE(OFFSET($H$3,0,0,'Données projet'!$E$9+1,1))</f>
        <v>179.92943593637102</v>
      </c>
      <c r="T90" s="62">
        <f t="shared" si="88"/>
        <v>449.95981246883593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17.502190454514594</v>
      </c>
      <c r="AA90" s="23">
        <f>EXP(-LN(2)/25)*AA89+(1-EXP(-LN(2)/25))/(LN(2)/25)*Calculateur!V90*Calculateur!X90*VLOOKUP('Données projet'!$B$9,Paramètres!$A$1:$I$89,3,0)*0.475*44/12</f>
        <v>11.79354953073984</v>
      </c>
      <c r="AB90" s="23">
        <f>EXP(-LN(2)/2)*AB89+(1-EXP(-LN(2)/2))/(LN(2)/2)*V90*Y90*VLOOKUP('Données projet'!$B$9,Paramètres!$A$1:$I$89,3,0)*0.475*44/12</f>
        <v>1.3807451900981618E-7</v>
      </c>
      <c r="AC90" s="24">
        <f t="shared" si="57"/>
        <v>29.295740123328954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5.6843418860808015E-14</v>
      </c>
      <c r="O91" s="14">
        <f>N91*VLOOKUP('Données projet'!$B$9,Paramètres!$A$1:$I$89,3,0)*VLOOKUP('Données projet'!$B$9,Paramètres!$A$1:$I$89,5,0)</f>
        <v>3.3992364478763198E-14</v>
      </c>
      <c r="P91" s="14">
        <f t="shared" si="87"/>
        <v>5.790027782444094E-13</v>
      </c>
      <c r="Q91" s="22">
        <f t="shared" si="54"/>
        <v>1.0676332069095257E-12</v>
      </c>
      <c r="R91" s="62">
        <f t="shared" si="55"/>
        <v>293.33333333333439</v>
      </c>
      <c r="S91" s="62">
        <f ca="1">AVERAGE(OFFSET($R$3,0,0,'Données projet'!$E$9+1,1))-AVERAGE(OFFSET($H$3,0,0,'Données projet'!$E$9+1,1))</f>
        <v>179.92943593637102</v>
      </c>
      <c r="T91" s="62">
        <f t="shared" si="88"/>
        <v>449.95981246883593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17.158983174983643</v>
      </c>
      <c r="AA91" s="23">
        <f>EXP(-LN(2)/25)*AA90+(1-EXP(-LN(2)/25))/(LN(2)/25)*Calculateur!V91*Calculateur!X91*VLOOKUP('Données projet'!$B$9,Paramètres!$A$1:$I$89,3,0)*0.475*44/12</f>
        <v>11.471054298625944</v>
      </c>
      <c r="AB91" s="23">
        <f>EXP(-LN(2)/2)*AB90+(1-EXP(-LN(2)/2))/(LN(2)/2)*V91*Y91*VLOOKUP('Données projet'!$B$9,Paramètres!$A$1:$I$89,3,0)*0.475*44/12</f>
        <v>9.7633428700911891E-8</v>
      </c>
      <c r="AC91" s="24">
        <f t="shared" si="57"/>
        <v>28.630037571243015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5.6843418860808015E-14</v>
      </c>
      <c r="O92" s="14">
        <f>N92*VLOOKUP('Données projet'!$B$9,Paramètres!$A$1:$I$89,3,0)*VLOOKUP('Données projet'!$B$9,Paramètres!$A$1:$I$89,5,0)</f>
        <v>3.3992364478763198E-14</v>
      </c>
      <c r="P92" s="14">
        <f t="shared" si="87"/>
        <v>5.790027782444094E-13</v>
      </c>
      <c r="Q92" s="22">
        <f t="shared" si="54"/>
        <v>1.0676332069095257E-12</v>
      </c>
      <c r="R92" s="62">
        <f t="shared" si="55"/>
        <v>293.33333333333439</v>
      </c>
      <c r="S92" s="62">
        <f ca="1">AVERAGE(OFFSET($R$3,0,0,'Données projet'!$E$9+1,1))-AVERAGE(OFFSET($H$3,0,0,'Données projet'!$E$9+1,1))</f>
        <v>179.92943593637102</v>
      </c>
      <c r="T92" s="62">
        <f t="shared" si="88"/>
        <v>449.95981246883593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16.822505980868524</v>
      </c>
      <c r="AA92" s="23">
        <f>EXP(-LN(2)/25)*AA91+(1-EXP(-LN(2)/25))/(LN(2)/25)*Calculateur!V92*Calculateur!X92*VLOOKUP('Données projet'!$B$9,Paramètres!$A$1:$I$89,3,0)*0.475*44/12</f>
        <v>11.157377715593489</v>
      </c>
      <c r="AB92" s="23">
        <f>EXP(-LN(2)/2)*AB91+(1-EXP(-LN(2)/2))/(LN(2)/2)*V92*Y92*VLOOKUP('Données projet'!$B$9,Paramètres!$A$1:$I$89,3,0)*0.475*44/12</f>
        <v>6.9037259504908092E-8</v>
      </c>
      <c r="AC92" s="24">
        <f t="shared" si="57"/>
        <v>27.97988376549927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5.6843418860808015E-14</v>
      </c>
      <c r="O93" s="14">
        <f>N93*VLOOKUP('Données projet'!$B$9,Paramètres!$A$1:$I$89,3,0)*VLOOKUP('Données projet'!$B$9,Paramètres!$A$1:$I$89,5,0)</f>
        <v>3.3992364478763198E-14</v>
      </c>
      <c r="P93" s="14">
        <f t="shared" si="87"/>
        <v>5.790027782444094E-13</v>
      </c>
      <c r="Q93" s="22">
        <f t="shared" si="54"/>
        <v>1.0676332069095257E-12</v>
      </c>
      <c r="R93" s="62">
        <f t="shared" si="55"/>
        <v>293.33333333333439</v>
      </c>
      <c r="S93" s="62">
        <f ca="1">AVERAGE(OFFSET($R$3,0,0,'Données projet'!$E$9+1,1))-AVERAGE(OFFSET($H$3,0,0,'Données projet'!$E$9+1,1))</f>
        <v>179.92943593637102</v>
      </c>
      <c r="T93" s="62">
        <f t="shared" si="88"/>
        <v>449.95981246883593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16.492626899299179</v>
      </c>
      <c r="AA93" s="23">
        <f>EXP(-LN(2)/25)*AA92+(1-EXP(-LN(2)/25))/(LN(2)/25)*Calculateur!V93*Calculateur!X93*VLOOKUP('Données projet'!$B$9,Paramètres!$A$1:$I$89,3,0)*0.475*44/12</f>
        <v>10.852278635219591</v>
      </c>
      <c r="AB93" s="23">
        <f>EXP(-LN(2)/2)*AB92+(1-EXP(-LN(2)/2))/(LN(2)/2)*V93*Y93*VLOOKUP('Données projet'!$B$9,Paramètres!$A$1:$I$89,3,0)*0.475*44/12</f>
        <v>4.8816714350455946E-8</v>
      </c>
      <c r="AC93" s="24">
        <f t="shared" si="57"/>
        <v>27.344905583335485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5.6843418860808015E-14</v>
      </c>
      <c r="O94" s="14">
        <f>N94*VLOOKUP('Données projet'!$B$9,Paramètres!$A$1:$I$89,3,0)*VLOOKUP('Données projet'!$B$9,Paramètres!$A$1:$I$89,5,0)</f>
        <v>3.3992364478763198E-14</v>
      </c>
      <c r="P94" s="14">
        <f t="shared" si="87"/>
        <v>5.790027782444094E-13</v>
      </c>
      <c r="Q94" s="22">
        <f t="shared" si="54"/>
        <v>1.0676332069095257E-12</v>
      </c>
      <c r="R94" s="62">
        <f t="shared" si="55"/>
        <v>293.33333333333439</v>
      </c>
      <c r="S94" s="62">
        <f ca="1">AVERAGE(OFFSET($R$3,0,0,'Données projet'!$E$9+1,1))-AVERAGE(OFFSET($H$3,0,0,'Données projet'!$E$9+1,1))</f>
        <v>179.92943593637102</v>
      </c>
      <c r="T94" s="62">
        <f t="shared" si="88"/>
        <v>449.95981246883593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16.169216545313038</v>
      </c>
      <c r="AA94" s="23">
        <f>EXP(-LN(2)/25)*AA93+(1-EXP(-LN(2)/25))/(LN(2)/25)*Calculateur!V94*Calculateur!X94*VLOOKUP('Données projet'!$B$9,Paramètres!$A$1:$I$89,3,0)*0.475*44/12</f>
        <v>10.555522505242982</v>
      </c>
      <c r="AB94" s="23">
        <f>EXP(-LN(2)/2)*AB93+(1-EXP(-LN(2)/2))/(LN(2)/2)*V94*Y94*VLOOKUP('Données projet'!$B$9,Paramètres!$A$1:$I$89,3,0)*0.475*44/12</f>
        <v>3.4518629752454046E-8</v>
      </c>
      <c r="AC94" s="24">
        <f t="shared" si="57"/>
        <v>26.724739085074649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5.6843418860808015E-14</v>
      </c>
      <c r="O95" s="14">
        <f>N95*VLOOKUP('Données projet'!$B$9,Paramètres!$A$1:$I$89,3,0)*VLOOKUP('Données projet'!$B$9,Paramètres!$A$1:$I$89,5,0)</f>
        <v>3.3992364478763198E-14</v>
      </c>
      <c r="P95" s="14">
        <f t="shared" si="87"/>
        <v>5.790027782444094E-13</v>
      </c>
      <c r="Q95" s="22">
        <f t="shared" si="54"/>
        <v>1.0676332069095257E-12</v>
      </c>
      <c r="R95" s="62">
        <f t="shared" si="55"/>
        <v>293.33333333333439</v>
      </c>
      <c r="S95" s="62">
        <f ca="1">AVERAGE(OFFSET($R$3,0,0,'Données projet'!$E$9+1,1))-AVERAGE(OFFSET($H$3,0,0,'Données projet'!$E$9+1,1))</f>
        <v>179.92943593637102</v>
      </c>
      <c r="T95" s="62">
        <f t="shared" si="88"/>
        <v>449.95981246883593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15.852148071107726</v>
      </c>
      <c r="AA95" s="23">
        <f>EXP(-LN(2)/25)*AA94+(1-EXP(-LN(2)/25))/(LN(2)/25)*Calculateur!V95*Calculateur!X95*VLOOKUP('Données projet'!$B$9,Paramètres!$A$1:$I$89,3,0)*0.475*44/12</f>
        <v>10.266881187246309</v>
      </c>
      <c r="AB95" s="23">
        <f>EXP(-LN(2)/2)*AB94+(1-EXP(-LN(2)/2))/(LN(2)/2)*V95*Y95*VLOOKUP('Données projet'!$B$9,Paramètres!$A$1:$I$89,3,0)*0.475*44/12</f>
        <v>2.4408357175227973E-8</v>
      </c>
      <c r="AC95" s="24">
        <f t="shared" si="57"/>
        <v>26.119029282762391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5.6843418860808015E-14</v>
      </c>
      <c r="O96" s="14">
        <f>N96*VLOOKUP('Données projet'!$B$9,Paramètres!$A$1:$I$89,3,0)*VLOOKUP('Données projet'!$B$9,Paramètres!$A$1:$I$89,5,0)</f>
        <v>3.3992364478763198E-14</v>
      </c>
      <c r="P96" s="14">
        <f t="shared" si="87"/>
        <v>5.790027782444094E-13</v>
      </c>
      <c r="Q96" s="22">
        <f t="shared" si="54"/>
        <v>1.0676332069095257E-12</v>
      </c>
      <c r="R96" s="62">
        <f t="shared" si="55"/>
        <v>293.33333333333439</v>
      </c>
      <c r="S96" s="62">
        <f ca="1">AVERAGE(OFFSET($R$3,0,0,'Données projet'!$E$9+1,1))-AVERAGE(OFFSET($H$3,0,0,'Données projet'!$E$9+1,1))</f>
        <v>179.92943593637102</v>
      </c>
      <c r="T96" s="62">
        <f t="shared" si="88"/>
        <v>449.95981246883593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15.541297116288906</v>
      </c>
      <c r="AA96" s="23">
        <f>EXP(-LN(2)/25)*AA95+(1-EXP(-LN(2)/25))/(LN(2)/25)*Calculateur!V96*Calculateur!X96*VLOOKUP('Données projet'!$B$9,Paramètres!$A$1:$I$89,3,0)*0.475*44/12</f>
        <v>9.9861327812692426</v>
      </c>
      <c r="AB96" s="23">
        <f>EXP(-LN(2)/2)*AB95+(1-EXP(-LN(2)/2))/(LN(2)/2)*V96*Y96*VLOOKUP('Données projet'!$B$9,Paramètres!$A$1:$I$89,3,0)*0.475*44/12</f>
        <v>1.7259314876227023E-8</v>
      </c>
      <c r="AC96" s="24">
        <f t="shared" si="57"/>
        <v>25.527429914817464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5.6843418860808015E-14</v>
      </c>
      <c r="O97" s="14">
        <f>N97*VLOOKUP('Données projet'!$B$9,Paramètres!$A$1:$I$89,3,0)*VLOOKUP('Données projet'!$B$9,Paramètres!$A$1:$I$89,5,0)</f>
        <v>3.3992364478763198E-14</v>
      </c>
      <c r="P97" s="14">
        <f t="shared" si="87"/>
        <v>5.790027782444094E-13</v>
      </c>
      <c r="Q97" s="22">
        <f t="shared" si="54"/>
        <v>1.0676332069095257E-12</v>
      </c>
      <c r="R97" s="62">
        <f t="shared" si="55"/>
        <v>293.33333333333439</v>
      </c>
      <c r="S97" s="62">
        <f ca="1">AVERAGE(OFFSET($R$3,0,0,'Données projet'!$E$9+1,1))-AVERAGE(OFFSET($H$3,0,0,'Données projet'!$E$9+1,1))</f>
        <v>179.92943593637102</v>
      </c>
      <c r="T97" s="62">
        <f t="shared" si="88"/>
        <v>449.95981246883593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15.236541759093722</v>
      </c>
      <c r="AA97" s="23">
        <f>EXP(-LN(2)/25)*AA96+(1-EXP(-LN(2)/25))/(LN(2)/25)*Calculateur!V97*Calculateur!X97*VLOOKUP('Données projet'!$B$9,Paramètres!$A$1:$I$89,3,0)*0.475*44/12</f>
        <v>9.7130614552175363</v>
      </c>
      <c r="AB97" s="23">
        <f>EXP(-LN(2)/2)*AB96+(1-EXP(-LN(2)/2))/(LN(2)/2)*V97*Y97*VLOOKUP('Données projet'!$B$9,Paramètres!$A$1:$I$89,3,0)*0.475*44/12</f>
        <v>1.2204178587613986E-8</v>
      </c>
      <c r="AC97" s="24">
        <f t="shared" si="57"/>
        <v>24.949603226515439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5.6843418860808015E-14</v>
      </c>
      <c r="O98" s="14">
        <f>N98*VLOOKUP('Données projet'!$B$9,Paramètres!$A$1:$I$89,3,0)*VLOOKUP('Données projet'!$B$9,Paramètres!$A$1:$I$89,5,0)</f>
        <v>3.3992364478763198E-14</v>
      </c>
      <c r="P98" s="14">
        <f t="shared" si="87"/>
        <v>5.790027782444094E-13</v>
      </c>
      <c r="Q98" s="22">
        <f t="shared" si="54"/>
        <v>1.0676332069095257E-12</v>
      </c>
      <c r="R98" s="62">
        <f t="shared" si="55"/>
        <v>293.33333333333439</v>
      </c>
      <c r="S98" s="62">
        <f ca="1">AVERAGE(OFFSET($R$3,0,0,'Données projet'!$E$9+1,1))-AVERAGE(OFFSET($H$3,0,0,'Données projet'!$E$9+1,1))</f>
        <v>179.92943593637102</v>
      </c>
      <c r="T98" s="62">
        <f t="shared" si="88"/>
        <v>449.95981246883593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14.937762468570723</v>
      </c>
      <c r="AA98" s="23">
        <f>EXP(-LN(2)/25)*AA97+(1-EXP(-LN(2)/25))/(LN(2)/25)*Calculateur!V98*Calculateur!X98*VLOOKUP('Données projet'!$B$9,Paramètres!$A$1:$I$89,3,0)*0.475*44/12</f>
        <v>9.4474572789369109</v>
      </c>
      <c r="AB98" s="23">
        <f>EXP(-LN(2)/2)*AB97+(1-EXP(-LN(2)/2))/(LN(2)/2)*V98*Y98*VLOOKUP('Données projet'!$B$9,Paramètres!$A$1:$I$89,3,0)*0.475*44/12</f>
        <v>8.6296574381135116E-9</v>
      </c>
      <c r="AC98" s="24">
        <f t="shared" si="57"/>
        <v>24.385219756137293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5.6843418860808015E-14</v>
      </c>
      <c r="O99" s="14">
        <f>N99*VLOOKUP('Données projet'!$B$9,Paramètres!$A$1:$I$89,3,0)*VLOOKUP('Données projet'!$B$9,Paramètres!$A$1:$I$89,5,0)</f>
        <v>3.3992364478763198E-14</v>
      </c>
      <c r="P99" s="14">
        <f t="shared" si="87"/>
        <v>5.790027782444094E-13</v>
      </c>
      <c r="Q99" s="22">
        <f t="shared" ref="Q99:Q130" si="107">(O99+P99)*0.475*44/12</f>
        <v>1.0676332069095257E-12</v>
      </c>
      <c r="R99" s="62">
        <f t="shared" si="55"/>
        <v>293.33333333333439</v>
      </c>
      <c r="S99" s="62">
        <f ca="1">AVERAGE(OFFSET($R$3,0,0,'Données projet'!$E$9+1,1))-AVERAGE(OFFSET($H$3,0,0,'Données projet'!$E$9+1,1))</f>
        <v>179.92943593637102</v>
      </c>
      <c r="T99" s="62">
        <f t="shared" si="88"/>
        <v>449.95981246883593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14.644842057697508</v>
      </c>
      <c r="AA99" s="23">
        <f>EXP(-LN(2)/25)*AA98+(1-EXP(-LN(2)/25))/(LN(2)/25)*Calculateur!V99*Calculateur!X99*VLOOKUP('Données projet'!$B$9,Paramètres!$A$1:$I$89,3,0)*0.475*44/12</f>
        <v>9.1891160628241959</v>
      </c>
      <c r="AB99" s="23">
        <f>EXP(-LN(2)/2)*AB98+(1-EXP(-LN(2)/2))/(LN(2)/2)*V99*Y99*VLOOKUP('Données projet'!$B$9,Paramètres!$A$1:$I$89,3,0)*0.475*44/12</f>
        <v>6.1020892938069932E-9</v>
      </c>
      <c r="AC99" s="24">
        <f t="shared" si="57"/>
        <v>23.833958126623791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5.6843418860808015E-14</v>
      </c>
      <c r="O100" s="14">
        <f>N100*VLOOKUP('Données projet'!$B$9,Paramètres!$A$1:$I$89,3,0)*VLOOKUP('Données projet'!$B$9,Paramètres!$A$1:$I$89,5,0)</f>
        <v>3.3992364478763198E-14</v>
      </c>
      <c r="P100" s="14">
        <f t="shared" si="87"/>
        <v>5.790027782444094E-13</v>
      </c>
      <c r="Q100" s="22">
        <f t="shared" si="107"/>
        <v>1.0676332069095257E-12</v>
      </c>
      <c r="R100" s="62">
        <f t="shared" si="55"/>
        <v>293.33333333333439</v>
      </c>
      <c r="S100" s="62">
        <f ca="1">AVERAGE(OFFSET($R$3,0,0,'Données projet'!$E$9+1,1))-AVERAGE(OFFSET($H$3,0,0,'Données projet'!$E$9+1,1))</f>
        <v>179.92943593637102</v>
      </c>
      <c r="T100" s="62">
        <f t="shared" si="88"/>
        <v>449.95981246883593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14.357665637417707</v>
      </c>
      <c r="AA100" s="23">
        <f>EXP(-LN(2)/25)*AA99+(1-EXP(-LN(2)/25))/(LN(2)/25)*Calculateur!V100*Calculateur!X100*VLOOKUP('Données projet'!$B$9,Paramètres!$A$1:$I$89,3,0)*0.475*44/12</f>
        <v>8.9378392008516574</v>
      </c>
      <c r="AB100" s="23">
        <f>EXP(-LN(2)/2)*AB99+(1-EXP(-LN(2)/2))/(LN(2)/2)*V100*Y100*VLOOKUP('Données projet'!$B$9,Paramètres!$A$1:$I$89,3,0)*0.475*44/12</f>
        <v>4.3148287190567558E-9</v>
      </c>
      <c r="AC100" s="24">
        <f t="shared" si="57"/>
        <v>23.295504842584194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5.6843418860808015E-14</v>
      </c>
      <c r="O101" s="14">
        <f>N101*VLOOKUP('Données projet'!$B$9,Paramètres!$A$1:$I$89,3,0)*VLOOKUP('Données projet'!$B$9,Paramètres!$A$1:$I$89,5,0)</f>
        <v>3.3992364478763198E-14</v>
      </c>
      <c r="P101" s="14">
        <f t="shared" si="87"/>
        <v>5.790027782444094E-13</v>
      </c>
      <c r="Q101" s="22">
        <f t="shared" si="107"/>
        <v>1.0676332069095257E-12</v>
      </c>
      <c r="R101" s="62">
        <f t="shared" si="55"/>
        <v>293.33333333333439</v>
      </c>
      <c r="S101" s="62">
        <f ca="1">AVERAGE(OFFSET($R$3,0,0,'Données projet'!$E$9+1,1))-AVERAGE(OFFSET($H$3,0,0,'Données projet'!$E$9+1,1))</f>
        <v>179.92943593637102</v>
      </c>
      <c r="T101" s="62">
        <f t="shared" si="88"/>
        <v>449.95981246883593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14.076120571579272</v>
      </c>
      <c r="AA101" s="23">
        <f>EXP(-LN(2)/25)*AA100+(1-EXP(-LN(2)/25))/(LN(2)/25)*Calculateur!V101*Calculateur!X101*VLOOKUP('Données projet'!$B$9,Paramètres!$A$1:$I$89,3,0)*0.475*44/12</f>
        <v>8.6934335178838325</v>
      </c>
      <c r="AB101" s="23">
        <f>EXP(-LN(2)/2)*AB100+(1-EXP(-LN(2)/2))/(LN(2)/2)*V101*Y101*VLOOKUP('Données projet'!$B$9,Paramètres!$A$1:$I$89,3,0)*0.475*44/12</f>
        <v>3.0510446469034966E-9</v>
      </c>
      <c r="AC101" s="24">
        <f t="shared" si="57"/>
        <v>22.769554092514152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5.6843418860808015E-14</v>
      </c>
      <c r="O102" s="14">
        <f>N102*VLOOKUP('Données projet'!$B$9,Paramètres!$A$1:$I$89,3,0)*VLOOKUP('Données projet'!$B$9,Paramètres!$A$1:$I$89,5,0)</f>
        <v>3.3992364478763198E-14</v>
      </c>
      <c r="P102" s="14">
        <f t="shared" si="87"/>
        <v>5.790027782444094E-13</v>
      </c>
      <c r="Q102" s="22">
        <f t="shared" si="107"/>
        <v>1.0676332069095257E-12</v>
      </c>
      <c r="R102" s="62">
        <f t="shared" si="55"/>
        <v>293.33333333333439</v>
      </c>
      <c r="S102" s="62">
        <f ca="1">AVERAGE(OFFSET($R$3,0,0,'Données projet'!$E$9+1,1))-AVERAGE(OFFSET($H$3,0,0,'Données projet'!$E$9+1,1))</f>
        <v>179.92943593637102</v>
      </c>
      <c r="T102" s="62">
        <f t="shared" si="88"/>
        <v>449.95981246883593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13.800096432756396</v>
      </c>
      <c r="AA102" s="23">
        <f>EXP(-LN(2)/25)*AA101+(1-EXP(-LN(2)/25))/(LN(2)/25)*Calculateur!V102*Calculateur!X102*VLOOKUP('Données projet'!$B$9,Paramètres!$A$1:$I$89,3,0)*0.475*44/12</f>
        <v>8.4557111211695002</v>
      </c>
      <c r="AB102" s="23">
        <f>EXP(-LN(2)/2)*AB101+(1-EXP(-LN(2)/2))/(LN(2)/2)*V102*Y102*VLOOKUP('Données projet'!$B$9,Paramètres!$A$1:$I$89,3,0)*0.475*44/12</f>
        <v>2.1574143595283779E-9</v>
      </c>
      <c r="AC102" s="24">
        <f t="shared" si="57"/>
        <v>22.255807556083312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5.6843418860808015E-14</v>
      </c>
      <c r="O103" s="14">
        <f>N103*VLOOKUP('Données projet'!$B$9,Paramètres!$A$1:$I$89,3,0)*VLOOKUP('Données projet'!$B$9,Paramètres!$A$1:$I$89,5,0)</f>
        <v>3.3992364478763198E-14</v>
      </c>
      <c r="P103" s="14">
        <f t="shared" si="87"/>
        <v>5.790027782444094E-13</v>
      </c>
      <c r="Q103" s="22">
        <f t="shared" si="107"/>
        <v>1.0676332069095257E-12</v>
      </c>
      <c r="R103" s="62">
        <f t="shared" si="55"/>
        <v>293.33333333333439</v>
      </c>
      <c r="S103" s="62">
        <f ca="1">AVERAGE(OFFSET($R$3,0,0,'Données projet'!$E$9+1,1))-AVERAGE(OFFSET($H$3,0,0,'Données projet'!$E$9+1,1))</f>
        <v>179.92943593637102</v>
      </c>
      <c r="T103" s="62">
        <f t="shared" si="88"/>
        <v>449.95981246883593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13.529484958937735</v>
      </c>
      <c r="AA103" s="23">
        <f>EXP(-LN(2)/25)*AA102+(1-EXP(-LN(2)/25))/(LN(2)/25)*Calculateur!V103*Calculateur!X103*VLOOKUP('Données projet'!$B$9,Paramètres!$A$1:$I$89,3,0)*0.475*44/12</f>
        <v>8.2244892558945981</v>
      </c>
      <c r="AB103" s="23">
        <f>EXP(-LN(2)/2)*AB102+(1-EXP(-LN(2)/2))/(LN(2)/2)*V103*Y103*VLOOKUP('Données projet'!$B$9,Paramètres!$A$1:$I$89,3,0)*0.475*44/12</f>
        <v>1.5255223234517483E-9</v>
      </c>
      <c r="AC103" s="24">
        <f t="shared" si="57"/>
        <v>21.753974216357854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5.6843418860808015E-14</v>
      </c>
      <c r="O104" s="14">
        <f>N104*VLOOKUP('Données projet'!$B$9,Paramètres!$A$1:$I$89,3,0)*VLOOKUP('Données projet'!$B$9,Paramètres!$A$1:$I$89,5,0)</f>
        <v>3.3992364478763198E-14</v>
      </c>
      <c r="P104" s="14">
        <f t="shared" si="87"/>
        <v>5.790027782444094E-13</v>
      </c>
      <c r="Q104" s="22">
        <f t="shared" si="107"/>
        <v>1.0676332069095257E-12</v>
      </c>
      <c r="R104" s="62">
        <f t="shared" si="55"/>
        <v>293.33333333333439</v>
      </c>
      <c r="S104" s="62">
        <f ca="1">AVERAGE(OFFSET($R$3,0,0,'Données projet'!$E$9+1,1))-AVERAGE(OFFSET($H$3,0,0,'Données projet'!$E$9+1,1))</f>
        <v>179.92943593637102</v>
      </c>
      <c r="T104" s="62">
        <f t="shared" si="88"/>
        <v>449.95981246883593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13.264180011063956</v>
      </c>
      <c r="AA104" s="23">
        <f>EXP(-LN(2)/25)*AA103+(1-EXP(-LN(2)/25))/(LN(2)/25)*Calculateur!V104*Calculateur!X104*VLOOKUP('Données projet'!$B$9,Paramètres!$A$1:$I$89,3,0)*0.475*44/12</f>
        <v>7.9995901646850678</v>
      </c>
      <c r="AB104" s="23">
        <f>EXP(-LN(2)/2)*AB103+(1-EXP(-LN(2)/2))/(LN(2)/2)*V104*Y104*VLOOKUP('Données projet'!$B$9,Paramètres!$A$1:$I$89,3,0)*0.475*44/12</f>
        <v>1.0787071797641889E-9</v>
      </c>
      <c r="AC104" s="24">
        <f t="shared" si="57"/>
        <v>21.26377017682773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5.6843418860808015E-14</v>
      </c>
      <c r="O105" s="14">
        <f>N105*VLOOKUP('Données projet'!$B$9,Paramètres!$A$1:$I$89,3,0)*VLOOKUP('Données projet'!$B$9,Paramètres!$A$1:$I$89,5,0)</f>
        <v>3.3992364478763198E-14</v>
      </c>
      <c r="P105" s="14">
        <f t="shared" si="87"/>
        <v>5.790027782444094E-13</v>
      </c>
      <c r="Q105" s="22">
        <f t="shared" si="107"/>
        <v>1.0676332069095257E-12</v>
      </c>
      <c r="R105" s="62">
        <f t="shared" si="55"/>
        <v>293.33333333333439</v>
      </c>
      <c r="S105" s="62">
        <f ca="1">AVERAGE(OFFSET($R$3,0,0,'Données projet'!$E$9+1,1))-AVERAGE(OFFSET($H$3,0,0,'Données projet'!$E$9+1,1))</f>
        <v>179.92943593637102</v>
      </c>
      <c r="T105" s="62">
        <f t="shared" si="88"/>
        <v>449.95981246883593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13.004077531397943</v>
      </c>
      <c r="AA105" s="23">
        <f>EXP(-LN(2)/25)*AA104+(1-EXP(-LN(2)/25))/(LN(2)/25)*Calculateur!V105*Calculateur!X105*VLOOKUP('Données projet'!$B$9,Paramètres!$A$1:$I$89,3,0)*0.475*44/12</f>
        <v>7.7808409509515908</v>
      </c>
      <c r="AB105" s="23">
        <f>EXP(-LN(2)/2)*AB104+(1-EXP(-LN(2)/2))/(LN(2)/2)*V105*Y105*VLOOKUP('Données projet'!$B$9,Paramètres!$A$1:$I$89,3,0)*0.475*44/12</f>
        <v>7.6276116172587415E-10</v>
      </c>
      <c r="AC105" s="24">
        <f t="shared" si="57"/>
        <v>20.784918483112293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5.6843418860808015E-14</v>
      </c>
      <c r="O106" s="14">
        <f>N106*VLOOKUP('Données projet'!$B$9,Paramètres!$A$1:$I$89,3,0)*VLOOKUP('Données projet'!$B$9,Paramètres!$A$1:$I$89,5,0)</f>
        <v>3.3992364478763198E-14</v>
      </c>
      <c r="P106" s="14">
        <f t="shared" si="87"/>
        <v>5.790027782444094E-13</v>
      </c>
      <c r="Q106" s="22">
        <f t="shared" si="107"/>
        <v>1.0676332069095257E-12</v>
      </c>
      <c r="R106" s="62">
        <f t="shared" si="55"/>
        <v>293.33333333333439</v>
      </c>
      <c r="S106" s="62">
        <f ca="1">AVERAGE(OFFSET($R$3,0,0,'Données projet'!$E$9+1,1))-AVERAGE(OFFSET($H$3,0,0,'Données projet'!$E$9+1,1))</f>
        <v>179.92943593637102</v>
      </c>
      <c r="T106" s="62">
        <f t="shared" si="88"/>
        <v>449.95981246883593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12.749075502711333</v>
      </c>
      <c r="AA106" s="23">
        <f>EXP(-LN(2)/25)*AA105+(1-EXP(-LN(2)/25))/(LN(2)/25)*Calculateur!V106*Calculateur!X106*VLOOKUP('Données projet'!$B$9,Paramètres!$A$1:$I$89,3,0)*0.475*44/12</f>
        <v>7.5680734459711774</v>
      </c>
      <c r="AB106" s="23">
        <f>EXP(-LN(2)/2)*AB105+(1-EXP(-LN(2)/2))/(LN(2)/2)*V106*Y106*VLOOKUP('Données projet'!$B$9,Paramètres!$A$1:$I$89,3,0)*0.475*44/12</f>
        <v>5.3935358988209447E-10</v>
      </c>
      <c r="AC106" s="24">
        <f t="shared" si="57"/>
        <v>20.317148949221867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5.6843418860808015E-14</v>
      </c>
      <c r="O107" s="14">
        <f>N107*VLOOKUP('Données projet'!$B$9,Paramètres!$A$1:$I$89,3,0)*VLOOKUP('Données projet'!$B$9,Paramètres!$A$1:$I$89,5,0)</f>
        <v>3.3992364478763198E-14</v>
      </c>
      <c r="P107" s="14">
        <f t="shared" si="87"/>
        <v>5.790027782444094E-13</v>
      </c>
      <c r="Q107" s="22">
        <f t="shared" si="107"/>
        <v>1.0676332069095257E-12</v>
      </c>
      <c r="R107" s="62">
        <f t="shared" si="55"/>
        <v>293.33333333333439</v>
      </c>
      <c r="S107" s="62">
        <f ca="1">AVERAGE(OFFSET($R$3,0,0,'Données projet'!$E$9+1,1))-AVERAGE(OFFSET($H$3,0,0,'Données projet'!$E$9+1,1))</f>
        <v>179.92943593637102</v>
      </c>
      <c r="T107" s="62">
        <f t="shared" si="88"/>
        <v>449.95981246883593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12.499073908271388</v>
      </c>
      <c r="AA107" s="23">
        <f>EXP(-LN(2)/25)*AA106+(1-EXP(-LN(2)/25))/(LN(2)/25)*Calculateur!V107*Calculateur!X107*VLOOKUP('Données projet'!$B$9,Paramètres!$A$1:$I$89,3,0)*0.475*44/12</f>
        <v>7.3611240796034103</v>
      </c>
      <c r="AB107" s="23">
        <f>EXP(-LN(2)/2)*AB106+(1-EXP(-LN(2)/2))/(LN(2)/2)*V107*Y107*VLOOKUP('Données projet'!$B$9,Paramètres!$A$1:$I$89,3,0)*0.475*44/12</f>
        <v>3.8138058086293708E-10</v>
      </c>
      <c r="AC107" s="24">
        <f t="shared" si="57"/>
        <v>19.860197988256179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5.6843418860808015E-14</v>
      </c>
      <c r="O108" s="14">
        <f>N108*VLOOKUP('Données projet'!$B$9,Paramètres!$A$1:$I$89,3,0)*VLOOKUP('Données projet'!$B$9,Paramètres!$A$1:$I$89,5,0)</f>
        <v>3.3992364478763198E-14</v>
      </c>
      <c r="P108" s="14">
        <f t="shared" si="87"/>
        <v>5.790027782444094E-13</v>
      </c>
      <c r="Q108" s="22">
        <f t="shared" si="107"/>
        <v>1.0676332069095257E-12</v>
      </c>
      <c r="R108" s="62">
        <f t="shared" si="55"/>
        <v>293.33333333333439</v>
      </c>
      <c r="S108" s="62">
        <f ca="1">AVERAGE(OFFSET($R$3,0,0,'Données projet'!$E$9+1,1))-AVERAGE(OFFSET($H$3,0,0,'Données projet'!$E$9+1,1))</f>
        <v>179.92943593637102</v>
      </c>
      <c r="T108" s="62">
        <f t="shared" si="88"/>
        <v>449.95981246883593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12.253974692612495</v>
      </c>
      <c r="AA108" s="23">
        <f>EXP(-LN(2)/25)*AA107+(1-EXP(-LN(2)/25))/(LN(2)/25)*Calculateur!V108*Calculateur!X108*VLOOKUP('Données projet'!$B$9,Paramètres!$A$1:$I$89,3,0)*0.475*44/12</f>
        <v>7.1598337545419639</v>
      </c>
      <c r="AB108" s="23">
        <f>EXP(-LN(2)/2)*AB107+(1-EXP(-LN(2)/2))/(LN(2)/2)*V108*Y108*VLOOKUP('Données projet'!$B$9,Paramètres!$A$1:$I$89,3,0)*0.475*44/12</f>
        <v>2.6967679494104724E-10</v>
      </c>
      <c r="AC108" s="24">
        <f t="shared" si="57"/>
        <v>19.413808447424135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5.6843418860808015E-14</v>
      </c>
      <c r="O109" s="14">
        <f>N109*VLOOKUP('Données projet'!$B$9,Paramètres!$A$1:$I$89,3,0)*VLOOKUP('Données projet'!$B$9,Paramètres!$A$1:$I$89,5,0)</f>
        <v>3.3992364478763198E-14</v>
      </c>
      <c r="P109" s="14">
        <f t="shared" si="87"/>
        <v>5.790027782444094E-13</v>
      </c>
      <c r="Q109" s="22">
        <f t="shared" si="107"/>
        <v>1.0676332069095257E-12</v>
      </c>
      <c r="R109" s="62">
        <f t="shared" si="55"/>
        <v>293.33333333333439</v>
      </c>
      <c r="S109" s="62">
        <f ca="1">AVERAGE(OFFSET($R$3,0,0,'Données projet'!$E$9+1,1))-AVERAGE(OFFSET($H$3,0,0,'Données projet'!$E$9+1,1))</f>
        <v>179.92943593637102</v>
      </c>
      <c r="T109" s="62">
        <f t="shared" si="88"/>
        <v>449.95981246883593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12.013681723076912</v>
      </c>
      <c r="AA109" s="23">
        <f>EXP(-LN(2)/25)*AA108+(1-EXP(-LN(2)/25))/(LN(2)/25)*Calculateur!V109*Calculateur!X109*VLOOKUP('Données projet'!$B$9,Paramètres!$A$1:$I$89,3,0)*0.475*44/12</f>
        <v>6.9640477240047209</v>
      </c>
      <c r="AB109" s="23">
        <f>EXP(-LN(2)/2)*AB108+(1-EXP(-LN(2)/2))/(LN(2)/2)*V109*Y109*VLOOKUP('Données projet'!$B$9,Paramètres!$A$1:$I$89,3,0)*0.475*44/12</f>
        <v>1.9069029043146854E-10</v>
      </c>
      <c r="AC109" s="24">
        <f t="shared" si="57"/>
        <v>18.977729447272324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5.6843418860808015E-14</v>
      </c>
      <c r="O110" s="14">
        <f>N110*VLOOKUP('Données projet'!$B$9,Paramètres!$A$1:$I$89,3,0)*VLOOKUP('Données projet'!$B$9,Paramètres!$A$1:$I$89,5,0)</f>
        <v>3.3992364478763198E-14</v>
      </c>
      <c r="P110" s="14">
        <f t="shared" si="87"/>
        <v>5.790027782444094E-13</v>
      </c>
      <c r="Q110" s="22">
        <f t="shared" si="107"/>
        <v>1.0676332069095257E-12</v>
      </c>
      <c r="R110" s="62">
        <f t="shared" si="55"/>
        <v>293.33333333333439</v>
      </c>
      <c r="S110" s="62">
        <f ca="1">AVERAGE(OFFSET($R$3,0,0,'Données projet'!$E$9+1,1))-AVERAGE(OFFSET($H$3,0,0,'Données projet'!$E$9+1,1))</f>
        <v>179.92943593637102</v>
      </c>
      <c r="T110" s="62">
        <f t="shared" si="88"/>
        <v>449.95981246883593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11.778100752109683</v>
      </c>
      <c r="AA110" s="23">
        <f>EXP(-LN(2)/25)*AA109+(1-EXP(-LN(2)/25))/(LN(2)/25)*Calculateur!V110*Calculateur!X110*VLOOKUP('Données projet'!$B$9,Paramètres!$A$1:$I$89,3,0)*0.475*44/12</f>
        <v>6.7736154727684585</v>
      </c>
      <c r="AB110" s="23">
        <f>EXP(-LN(2)/2)*AB109+(1-EXP(-LN(2)/2))/(LN(2)/2)*V110*Y110*VLOOKUP('Données projet'!$B$9,Paramètres!$A$1:$I$89,3,0)*0.475*44/12</f>
        <v>1.3483839747052362E-10</v>
      </c>
      <c r="AC110" s="24">
        <f t="shared" si="57"/>
        <v>18.551716225012981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5.6843418860808015E-14</v>
      </c>
      <c r="O111" s="14">
        <f>N111*VLOOKUP('Données projet'!$B$9,Paramètres!$A$1:$I$89,3,0)*VLOOKUP('Données projet'!$B$9,Paramètres!$A$1:$I$89,5,0)</f>
        <v>3.3992364478763198E-14</v>
      </c>
      <c r="P111" s="14">
        <f t="shared" si="87"/>
        <v>5.790027782444094E-13</v>
      </c>
      <c r="Q111" s="22">
        <f t="shared" si="107"/>
        <v>1.0676332069095257E-12</v>
      </c>
      <c r="R111" s="62">
        <f t="shared" si="55"/>
        <v>293.33333333333439</v>
      </c>
      <c r="S111" s="62">
        <f ca="1">AVERAGE(OFFSET($R$3,0,0,'Données projet'!$E$9+1,1))-AVERAGE(OFFSET($H$3,0,0,'Données projet'!$E$9+1,1))</f>
        <v>179.92943593637102</v>
      </c>
      <c r="T111" s="62">
        <f t="shared" si="88"/>
        <v>449.95981246883593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11.547139380292917</v>
      </c>
      <c r="AA111" s="23">
        <f>EXP(-LN(2)/25)*AA110+(1-EXP(-LN(2)/25))/(LN(2)/25)*Calculateur!V111*Calculateur!X111*VLOOKUP('Données projet'!$B$9,Paramètres!$A$1:$I$89,3,0)*0.475*44/12</f>
        <v>6.5883906014566485</v>
      </c>
      <c r="AB111" s="23">
        <f>EXP(-LN(2)/2)*AB110+(1-EXP(-LN(2)/2))/(LN(2)/2)*V111*Y111*VLOOKUP('Données projet'!$B$9,Paramètres!$A$1:$I$89,3,0)*0.475*44/12</f>
        <v>9.5345145215734269E-11</v>
      </c>
      <c r="AC111" s="24">
        <f t="shared" si="57"/>
        <v>18.135529981844908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5.6843418860808015E-14</v>
      </c>
      <c r="O112" s="14">
        <f>N112*VLOOKUP('Données projet'!$B$9,Paramètres!$A$1:$I$89,3,0)*VLOOKUP('Données projet'!$B$9,Paramètres!$A$1:$I$89,5,0)</f>
        <v>3.3992364478763198E-14</v>
      </c>
      <c r="P112" s="14">
        <f t="shared" si="87"/>
        <v>5.790027782444094E-13</v>
      </c>
      <c r="Q112" s="22">
        <f t="shared" si="107"/>
        <v>1.0676332069095257E-12</v>
      </c>
      <c r="R112" s="62">
        <f t="shared" si="55"/>
        <v>293.33333333333439</v>
      </c>
      <c r="S112" s="62">
        <f ca="1">AVERAGE(OFFSET($R$3,0,0,'Données projet'!$E$9+1,1))-AVERAGE(OFFSET($H$3,0,0,'Données projet'!$E$9+1,1))</f>
        <v>179.92943593637102</v>
      </c>
      <c r="T112" s="62">
        <f t="shared" si="88"/>
        <v>449.95981246883593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11.320707020104951</v>
      </c>
      <c r="AA112" s="23">
        <f>EXP(-LN(2)/25)*AA111+(1-EXP(-LN(2)/25))/(LN(2)/25)*Calculateur!V112*Calculateur!X112*VLOOKUP('Données projet'!$B$9,Paramètres!$A$1:$I$89,3,0)*0.475*44/12</f>
        <v>6.4082307139914123</v>
      </c>
      <c r="AB112" s="23">
        <f>EXP(-LN(2)/2)*AB111+(1-EXP(-LN(2)/2))/(LN(2)/2)*V112*Y112*VLOOKUP('Données projet'!$B$9,Paramètres!$A$1:$I$89,3,0)*0.475*44/12</f>
        <v>6.7419198735261809E-11</v>
      </c>
      <c r="AC112" s="24">
        <f t="shared" si="57"/>
        <v>17.728937734163782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5.6843418860808015E-14</v>
      </c>
      <c r="O113" s="14">
        <f>N113*VLOOKUP('Données projet'!$B$9,Paramètres!$A$1:$I$89,3,0)*VLOOKUP('Données projet'!$B$9,Paramètres!$A$1:$I$89,5,0)</f>
        <v>3.3992364478763198E-14</v>
      </c>
      <c r="P113" s="14">
        <f t="shared" si="87"/>
        <v>5.790027782444094E-13</v>
      </c>
      <c r="Q113" s="22">
        <f t="shared" si="107"/>
        <v>1.0676332069095257E-12</v>
      </c>
      <c r="R113" s="62">
        <f t="shared" si="55"/>
        <v>293.33333333333439</v>
      </c>
      <c r="S113" s="62">
        <f ca="1">AVERAGE(OFFSET($R$3,0,0,'Données projet'!$E$9+1,1))-AVERAGE(OFFSET($H$3,0,0,'Données projet'!$E$9+1,1))</f>
        <v>179.92943593637102</v>
      </c>
      <c r="T113" s="62">
        <f t="shared" si="88"/>
        <v>449.95981246883593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11.098714860390167</v>
      </c>
      <c r="AA113" s="23">
        <f>EXP(-LN(2)/25)*AA112+(1-EXP(-LN(2)/25))/(LN(2)/25)*Calculateur!V113*Calculateur!X113*VLOOKUP('Données projet'!$B$9,Paramètres!$A$1:$I$89,3,0)*0.475*44/12</f>
        <v>6.2329973081231103</v>
      </c>
      <c r="AB113" s="23">
        <f>EXP(-LN(2)/2)*AB112+(1-EXP(-LN(2)/2))/(LN(2)/2)*V113*Y113*VLOOKUP('Données projet'!$B$9,Paramètres!$A$1:$I$89,3,0)*0.475*44/12</f>
        <v>4.7672572607867134E-11</v>
      </c>
      <c r="AC113" s="24">
        <f t="shared" si="57"/>
        <v>17.331712168560951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5.6843418860808015E-14</v>
      </c>
      <c r="O114" s="14">
        <f>N114*VLOOKUP('Données projet'!$B$9,Paramètres!$A$1:$I$89,3,0)*VLOOKUP('Données projet'!$B$9,Paramètres!$A$1:$I$89,5,0)</f>
        <v>3.3992364478763198E-14</v>
      </c>
      <c r="P114" s="14">
        <f t="shared" si="87"/>
        <v>5.790027782444094E-13</v>
      </c>
      <c r="Q114" s="22">
        <f t="shared" si="107"/>
        <v>1.0676332069095257E-12</v>
      </c>
      <c r="R114" s="62">
        <f t="shared" si="55"/>
        <v>293.33333333333439</v>
      </c>
      <c r="S114" s="62">
        <f ca="1">AVERAGE(OFFSET($R$3,0,0,'Données projet'!$E$9+1,1))-AVERAGE(OFFSET($H$3,0,0,'Données projet'!$E$9+1,1))</f>
        <v>179.92943593637102</v>
      </c>
      <c r="T114" s="62">
        <f t="shared" si="88"/>
        <v>449.95981246883593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10.881075831525544</v>
      </c>
      <c r="AA114" s="23">
        <f>EXP(-LN(2)/25)*AA113+(1-EXP(-LN(2)/25))/(LN(2)/25)*Calculateur!V114*Calculateur!X114*VLOOKUP('Données projet'!$B$9,Paramètres!$A$1:$I$89,3,0)*0.475*44/12</f>
        <v>6.0625556689534008</v>
      </c>
      <c r="AB114" s="23">
        <f>EXP(-LN(2)/2)*AB113+(1-EXP(-LN(2)/2))/(LN(2)/2)*V114*Y114*VLOOKUP('Données projet'!$B$9,Paramètres!$A$1:$I$89,3,0)*0.475*44/12</f>
        <v>3.3709599367630905E-11</v>
      </c>
      <c r="AC114" s="24">
        <f t="shared" si="57"/>
        <v>16.943631500512652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5.6843418860808015E-14</v>
      </c>
      <c r="O115" s="14">
        <f>N115*VLOOKUP('Données projet'!$B$9,Paramètres!$A$1:$I$89,3,0)*VLOOKUP('Données projet'!$B$9,Paramètres!$A$1:$I$89,5,0)</f>
        <v>3.3992364478763198E-14</v>
      </c>
      <c r="P115" s="14">
        <f t="shared" si="87"/>
        <v>5.790027782444094E-13</v>
      </c>
      <c r="Q115" s="22">
        <f t="shared" si="107"/>
        <v>1.0676332069095257E-12</v>
      </c>
      <c r="R115" s="62">
        <f t="shared" si="55"/>
        <v>293.33333333333439</v>
      </c>
      <c r="S115" s="62">
        <f ca="1">AVERAGE(OFFSET($R$3,0,0,'Données projet'!$E$9+1,1))-AVERAGE(OFFSET($H$3,0,0,'Données projet'!$E$9+1,1))</f>
        <v>179.92943593637102</v>
      </c>
      <c r="T115" s="62">
        <f t="shared" si="88"/>
        <v>449.95981246883593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10.667704571270257</v>
      </c>
      <c r="AA115" s="23">
        <f>EXP(-LN(2)/25)*AA114+(1-EXP(-LN(2)/25))/(LN(2)/25)*Calculateur!V115*Calculateur!X115*VLOOKUP('Données projet'!$B$9,Paramètres!$A$1:$I$89,3,0)*0.475*44/12</f>
        <v>5.8967747653699236</v>
      </c>
      <c r="AB115" s="23">
        <f>EXP(-LN(2)/2)*AB114+(1-EXP(-LN(2)/2))/(LN(2)/2)*V115*Y115*VLOOKUP('Données projet'!$B$9,Paramètres!$A$1:$I$89,3,0)*0.475*44/12</f>
        <v>2.3836286303933567E-11</v>
      </c>
      <c r="AC115" s="24">
        <f t="shared" si="57"/>
        <v>16.564479336664014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5.6843418860808015E-14</v>
      </c>
      <c r="O116" s="14">
        <f>N116*VLOOKUP('Données projet'!$B$9,Paramètres!$A$1:$I$89,3,0)*VLOOKUP('Données projet'!$B$9,Paramètres!$A$1:$I$89,5,0)</f>
        <v>3.3992364478763198E-14</v>
      </c>
      <c r="P116" s="14">
        <f t="shared" si="87"/>
        <v>5.790027782444094E-13</v>
      </c>
      <c r="Q116" s="22">
        <f t="shared" si="107"/>
        <v>1.0676332069095257E-12</v>
      </c>
      <c r="R116" s="62">
        <f t="shared" si="55"/>
        <v>293.33333333333439</v>
      </c>
      <c r="S116" s="62">
        <f ca="1">AVERAGE(OFFSET($R$3,0,0,'Données projet'!$E$9+1,1))-AVERAGE(OFFSET($H$3,0,0,'Données projet'!$E$9+1,1))</f>
        <v>179.92943593637102</v>
      </c>
      <c r="T116" s="62">
        <f t="shared" si="88"/>
        <v>449.95981246883593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10.458517391284957</v>
      </c>
      <c r="AA116" s="23">
        <f>EXP(-LN(2)/25)*AA115+(1-EXP(-LN(2)/25))/(LN(2)/25)*Calculateur!V116*Calculateur!X116*VLOOKUP('Données projet'!$B$9,Paramètres!$A$1:$I$89,3,0)*0.475*44/12</f>
        <v>5.7355271493129756</v>
      </c>
      <c r="AB116" s="23">
        <f>EXP(-LN(2)/2)*AB115+(1-EXP(-LN(2)/2))/(LN(2)/2)*V116*Y116*VLOOKUP('Données projet'!$B$9,Paramètres!$A$1:$I$89,3,0)*0.475*44/12</f>
        <v>1.6854799683815452E-11</v>
      </c>
      <c r="AC116" s="24">
        <f t="shared" si="57"/>
        <v>16.194044540614787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5.6843418860808015E-14</v>
      </c>
      <c r="O117" s="14">
        <f>N117*VLOOKUP('Données projet'!$B$9,Paramètres!$A$1:$I$89,3,0)*VLOOKUP('Données projet'!$B$9,Paramètres!$A$1:$I$89,5,0)</f>
        <v>3.3992364478763198E-14</v>
      </c>
      <c r="P117" s="14">
        <f t="shared" si="87"/>
        <v>5.790027782444094E-13</v>
      </c>
      <c r="Q117" s="22">
        <f t="shared" si="107"/>
        <v>1.0676332069095257E-12</v>
      </c>
      <c r="R117" s="62">
        <f t="shared" si="55"/>
        <v>293.33333333333439</v>
      </c>
      <c r="S117" s="62">
        <f ca="1">AVERAGE(OFFSET($R$3,0,0,'Données projet'!$E$9+1,1))-AVERAGE(OFFSET($H$3,0,0,'Données projet'!$E$9+1,1))</f>
        <v>179.92943593637102</v>
      </c>
      <c r="T117" s="62">
        <f t="shared" si="88"/>
        <v>449.95981246883593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10.253432244307588</v>
      </c>
      <c r="AA117" s="23">
        <f>EXP(-LN(2)/25)*AA116+(1-EXP(-LN(2)/25))/(LN(2)/25)*Calculateur!V117*Calculateur!X117*VLOOKUP('Données projet'!$B$9,Paramètres!$A$1:$I$89,3,0)*0.475*44/12</f>
        <v>5.5786888577967479</v>
      </c>
      <c r="AB117" s="23">
        <f>EXP(-LN(2)/2)*AB116+(1-EXP(-LN(2)/2))/(LN(2)/2)*V117*Y117*VLOOKUP('Données projet'!$B$9,Paramètres!$A$1:$I$89,3,0)*0.475*44/12</f>
        <v>1.1918143151966784E-11</v>
      </c>
      <c r="AC117" s="24">
        <f t="shared" si="57"/>
        <v>15.832121102116252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5.6843418860808015E-14</v>
      </c>
      <c r="O118" s="14">
        <f>N118*VLOOKUP('Données projet'!$B$9,Paramètres!$A$1:$I$89,3,0)*VLOOKUP('Données projet'!$B$9,Paramètres!$A$1:$I$89,5,0)</f>
        <v>3.3992364478763198E-14</v>
      </c>
      <c r="P118" s="14">
        <f t="shared" si="87"/>
        <v>5.790027782444094E-13</v>
      </c>
      <c r="Q118" s="22">
        <f t="shared" si="107"/>
        <v>1.0676332069095257E-12</v>
      </c>
      <c r="R118" s="62">
        <f t="shared" si="55"/>
        <v>293.33333333333439</v>
      </c>
      <c r="S118" s="62">
        <f ca="1">AVERAGE(OFFSET($R$3,0,0,'Données projet'!$E$9+1,1))-AVERAGE(OFFSET($H$3,0,0,'Données projet'!$E$9+1,1))</f>
        <v>179.92943593637102</v>
      </c>
      <c r="T118" s="62">
        <f t="shared" si="88"/>
        <v>449.95981246883593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10.052368691972855</v>
      </c>
      <c r="AA118" s="23">
        <f>EXP(-LN(2)/25)*AA117+(1-EXP(-LN(2)/25))/(LN(2)/25)*Calculateur!V118*Calculateur!X118*VLOOKUP('Données projet'!$B$9,Paramètres!$A$1:$I$89,3,0)*0.475*44/12</f>
        <v>5.426139317609799</v>
      </c>
      <c r="AB118" s="23">
        <f>EXP(-LN(2)/2)*AB117+(1-EXP(-LN(2)/2))/(LN(2)/2)*V118*Y118*VLOOKUP('Données projet'!$B$9,Paramètres!$A$1:$I$89,3,0)*0.475*44/12</f>
        <v>8.4273998419077261E-12</v>
      </c>
      <c r="AC118" s="24">
        <f t="shared" si="57"/>
        <v>15.478508009591081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5.6843418860808015E-14</v>
      </c>
      <c r="O119" s="14">
        <f>N119*VLOOKUP('Données projet'!$B$9,Paramètres!$A$1:$I$89,3,0)*VLOOKUP('Données projet'!$B$9,Paramètres!$A$1:$I$89,5,0)</f>
        <v>3.3992364478763198E-14</v>
      </c>
      <c r="P119" s="14">
        <f t="shared" si="87"/>
        <v>5.790027782444094E-13</v>
      </c>
      <c r="Q119" s="22">
        <f t="shared" si="107"/>
        <v>1.0676332069095257E-12</v>
      </c>
      <c r="R119" s="62">
        <f t="shared" si="55"/>
        <v>293.33333333333439</v>
      </c>
      <c r="S119" s="62">
        <f ca="1">AVERAGE(OFFSET($R$3,0,0,'Données projet'!$E$9+1,1))-AVERAGE(OFFSET($H$3,0,0,'Données projet'!$E$9+1,1))</f>
        <v>179.92943593637102</v>
      </c>
      <c r="T119" s="62">
        <f t="shared" si="88"/>
        <v>449.95981246883593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9.8552478732627495</v>
      </c>
      <c r="AA119" s="23">
        <f>EXP(-LN(2)/25)*AA118+(1-EXP(-LN(2)/25))/(LN(2)/25)*Calculateur!V119*Calculateur!X119*VLOOKUP('Données projet'!$B$9,Paramètres!$A$1:$I$89,3,0)*0.475*44/12</f>
        <v>5.2777612526214943</v>
      </c>
      <c r="AB119" s="23">
        <f>EXP(-LN(2)/2)*AB118+(1-EXP(-LN(2)/2))/(LN(2)/2)*V119*Y119*VLOOKUP('Données projet'!$B$9,Paramètres!$A$1:$I$89,3,0)*0.475*44/12</f>
        <v>5.9590715759833918E-12</v>
      </c>
      <c r="AC119" s="24">
        <f t="shared" si="57"/>
        <v>15.133009125890203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5.6843418860808015E-14</v>
      </c>
      <c r="O120" s="14">
        <f>N120*VLOOKUP('Données projet'!$B$9,Paramètres!$A$1:$I$89,3,0)*VLOOKUP('Données projet'!$B$9,Paramètres!$A$1:$I$89,5,0)</f>
        <v>3.3992364478763198E-14</v>
      </c>
      <c r="P120" s="14">
        <f t="shared" si="87"/>
        <v>5.790027782444094E-13</v>
      </c>
      <c r="Q120" s="22">
        <f t="shared" si="107"/>
        <v>1.0676332069095257E-12</v>
      </c>
      <c r="R120" s="62">
        <f t="shared" si="55"/>
        <v>293.33333333333439</v>
      </c>
      <c r="S120" s="62">
        <f ca="1">AVERAGE(OFFSET($R$3,0,0,'Données projet'!$E$9+1,1))-AVERAGE(OFFSET($H$3,0,0,'Données projet'!$E$9+1,1))</f>
        <v>179.92943593637102</v>
      </c>
      <c r="T120" s="62">
        <f t="shared" si="88"/>
        <v>449.95981246883593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9.6619924735757223</v>
      </c>
      <c r="AA120" s="23">
        <f>EXP(-LN(2)/25)*AA119+(1-EXP(-LN(2)/25))/(LN(2)/25)*Calculateur!V120*Calculateur!X120*VLOOKUP('Données projet'!$B$9,Paramètres!$A$1:$I$89,3,0)*0.475*44/12</f>
        <v>5.133440593623158</v>
      </c>
      <c r="AB120" s="23">
        <f>EXP(-LN(2)/2)*AB119+(1-EXP(-LN(2)/2))/(LN(2)/2)*V120*Y120*VLOOKUP('Données projet'!$B$9,Paramètres!$A$1:$I$89,3,0)*0.475*44/12</f>
        <v>4.2136999209538631E-12</v>
      </c>
      <c r="AC120" s="24">
        <f t="shared" si="57"/>
        <v>14.795433067203094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5.6843418860808015E-14</v>
      </c>
      <c r="O121" s="14">
        <f>N121*VLOOKUP('Données projet'!$B$9,Paramètres!$A$1:$I$89,3,0)*VLOOKUP('Données projet'!$B$9,Paramètres!$A$1:$I$89,5,0)</f>
        <v>3.3992364478763198E-14</v>
      </c>
      <c r="P121" s="14">
        <f t="shared" si="87"/>
        <v>5.790027782444094E-13</v>
      </c>
      <c r="Q121" s="22">
        <f t="shared" si="107"/>
        <v>1.0676332069095257E-12</v>
      </c>
      <c r="R121" s="62">
        <f t="shared" si="55"/>
        <v>293.33333333333439</v>
      </c>
      <c r="S121" s="62">
        <f ca="1">AVERAGE(OFFSET($R$3,0,0,'Données projet'!$E$9+1,1))-AVERAGE(OFFSET($H$3,0,0,'Données projet'!$E$9+1,1))</f>
        <v>179.92943593637102</v>
      </c>
      <c r="T121" s="62">
        <f t="shared" si="88"/>
        <v>449.95981246883593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9.4725266944024025</v>
      </c>
      <c r="AA121" s="23">
        <f>EXP(-LN(2)/25)*AA120+(1-EXP(-LN(2)/25))/(LN(2)/25)*Calculateur!V121*Calculateur!X121*VLOOKUP('Données projet'!$B$9,Paramètres!$A$1:$I$89,3,0)*0.475*44/12</f>
        <v>4.9930663906346249</v>
      </c>
      <c r="AB121" s="23">
        <f>EXP(-LN(2)/2)*AB120+(1-EXP(-LN(2)/2))/(LN(2)/2)*V121*Y121*VLOOKUP('Données projet'!$B$9,Paramètres!$A$1:$I$89,3,0)*0.475*44/12</f>
        <v>2.9795357879916959E-12</v>
      </c>
      <c r="AC121" s="24">
        <f t="shared" si="57"/>
        <v>14.465593085040007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5.6843418860808015E-14</v>
      </c>
      <c r="O122" s="14">
        <f>N122*VLOOKUP('Données projet'!$B$9,Paramètres!$A$1:$I$89,3,0)*VLOOKUP('Données projet'!$B$9,Paramètres!$A$1:$I$89,5,0)</f>
        <v>3.3992364478763198E-14</v>
      </c>
      <c r="P122" s="14">
        <f t="shared" si="87"/>
        <v>5.790027782444094E-13</v>
      </c>
      <c r="Q122" s="22">
        <f t="shared" si="107"/>
        <v>1.0676332069095257E-12</v>
      </c>
      <c r="R122" s="62">
        <f t="shared" si="55"/>
        <v>293.33333333333439</v>
      </c>
      <c r="S122" s="62">
        <f ca="1">AVERAGE(OFFSET($R$3,0,0,'Données projet'!$E$9+1,1))-AVERAGE(OFFSET($H$3,0,0,'Données projet'!$E$9+1,1))</f>
        <v>179.92943593637102</v>
      </c>
      <c r="T122" s="62">
        <f t="shared" si="88"/>
        <v>449.95981246883593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9.2867762235959574</v>
      </c>
      <c r="AA122" s="23">
        <f>EXP(-LN(2)/25)*AA121+(1-EXP(-LN(2)/25))/(LN(2)/25)*Calculateur!V122*Calculateur!X122*VLOOKUP('Données projet'!$B$9,Paramètres!$A$1:$I$89,3,0)*0.475*44/12</f>
        <v>4.8565307276087717</v>
      </c>
      <c r="AB122" s="23">
        <f>EXP(-LN(2)/2)*AB121+(1-EXP(-LN(2)/2))/(LN(2)/2)*V122*Y122*VLOOKUP('Données projet'!$B$9,Paramètres!$A$1:$I$89,3,0)*0.475*44/12</f>
        <v>2.1068499604769315E-12</v>
      </c>
      <c r="AC122" s="24">
        <f t="shared" si="57"/>
        <v>14.143306951206835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5.6843418860808015E-14</v>
      </c>
      <c r="O123" s="14">
        <f>N123*VLOOKUP('Données projet'!$B$9,Paramètres!$A$1:$I$89,3,0)*VLOOKUP('Données projet'!$B$9,Paramètres!$A$1:$I$89,5,0)</f>
        <v>3.3992364478763198E-14</v>
      </c>
      <c r="P123" s="14">
        <f t="shared" si="87"/>
        <v>5.790027782444094E-13</v>
      </c>
      <c r="Q123" s="22">
        <f t="shared" si="107"/>
        <v>1.0676332069095257E-12</v>
      </c>
      <c r="R123" s="62">
        <f t="shared" si="55"/>
        <v>293.33333333333439</v>
      </c>
      <c r="S123" s="62">
        <f ca="1">AVERAGE(OFFSET($R$3,0,0,'Données projet'!$E$9+1,1))-AVERAGE(OFFSET($H$3,0,0,'Données projet'!$E$9+1,1))</f>
        <v>179.92943593637102</v>
      </c>
      <c r="T123" s="62">
        <f t="shared" si="88"/>
        <v>449.95981246883593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9.1046682062254263</v>
      </c>
      <c r="AA123" s="23">
        <f>EXP(-LN(2)/25)*AA122+(1-EXP(-LN(2)/25))/(LN(2)/25)*Calculateur!V123*Calculateur!X123*VLOOKUP('Données projet'!$B$9,Paramètres!$A$1:$I$89,3,0)*0.475*44/12</f>
        <v>4.723728639468459</v>
      </c>
      <c r="AB123" s="23">
        <f>EXP(-LN(2)/2)*AB122+(1-EXP(-LN(2)/2))/(LN(2)/2)*V123*Y123*VLOOKUP('Données projet'!$B$9,Paramètres!$A$1:$I$89,3,0)*0.475*44/12</f>
        <v>1.489767893995848E-12</v>
      </c>
      <c r="AC123" s="24">
        <f t="shared" si="57"/>
        <v>13.828396845695375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5.6843418860808015E-14</v>
      </c>
      <c r="O124" s="14">
        <f>N124*VLOOKUP('Données projet'!$B$9,Paramètres!$A$1:$I$89,3,0)*VLOOKUP('Données projet'!$B$9,Paramètres!$A$1:$I$89,5,0)</f>
        <v>3.3992364478763198E-14</v>
      </c>
      <c r="P124" s="14">
        <f t="shared" si="87"/>
        <v>5.790027782444094E-13</v>
      </c>
      <c r="Q124" s="22">
        <f t="shared" si="107"/>
        <v>1.0676332069095257E-12</v>
      </c>
      <c r="R124" s="62">
        <f t="shared" si="55"/>
        <v>293.33333333333439</v>
      </c>
      <c r="S124" s="62">
        <f ca="1">AVERAGE(OFFSET($R$3,0,0,'Données projet'!$E$9+1,1))-AVERAGE(OFFSET($H$3,0,0,'Données projet'!$E$9+1,1))</f>
        <v>179.92943593637102</v>
      </c>
      <c r="T124" s="62">
        <f t="shared" si="88"/>
        <v>449.95981246883593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8.9261312160006092</v>
      </c>
      <c r="AA124" s="23">
        <f>EXP(-LN(2)/25)*AA123+(1-EXP(-LN(2)/25))/(LN(2)/25)*Calculateur!V124*Calculateur!X124*VLOOKUP('Données projet'!$B$9,Paramètres!$A$1:$I$89,3,0)*0.475*44/12</f>
        <v>4.5945580314121015</v>
      </c>
      <c r="AB124" s="23">
        <f>EXP(-LN(2)/2)*AB123+(1-EXP(-LN(2)/2))/(LN(2)/2)*V124*Y124*VLOOKUP('Données projet'!$B$9,Paramètres!$A$1:$I$89,3,0)*0.475*44/12</f>
        <v>1.0534249802384658E-12</v>
      </c>
      <c r="AC124" s="24">
        <f t="shared" si="57"/>
        <v>13.520689247413765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5.6843418860808015E-14</v>
      </c>
      <c r="O125" s="14">
        <f>N125*VLOOKUP('Données projet'!$B$9,Paramètres!$A$1:$I$89,3,0)*VLOOKUP('Données projet'!$B$9,Paramètres!$A$1:$I$89,5,0)</f>
        <v>3.3992364478763198E-14</v>
      </c>
      <c r="P125" s="14">
        <f t="shared" si="87"/>
        <v>5.790027782444094E-13</v>
      </c>
      <c r="Q125" s="22">
        <f t="shared" si="107"/>
        <v>1.0676332069095257E-12</v>
      </c>
      <c r="R125" s="62">
        <f t="shared" si="55"/>
        <v>293.33333333333439</v>
      </c>
      <c r="S125" s="62">
        <f ca="1">AVERAGE(OFFSET($R$3,0,0,'Données projet'!$E$9+1,1))-AVERAGE(OFFSET($H$3,0,0,'Données projet'!$E$9+1,1))</f>
        <v>179.92943593637102</v>
      </c>
      <c r="T125" s="62">
        <f t="shared" si="88"/>
        <v>449.95981246883593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8.7510952272572897</v>
      </c>
      <c r="AA125" s="23">
        <f>EXP(-LN(2)/25)*AA124+(1-EXP(-LN(2)/25))/(LN(2)/25)*Calculateur!V125*Calculateur!X125*VLOOKUP('Données projet'!$B$9,Paramètres!$A$1:$I$89,3,0)*0.475*44/12</f>
        <v>4.4689196004258314</v>
      </c>
      <c r="AB125" s="23">
        <f>EXP(-LN(2)/2)*AB124+(1-EXP(-LN(2)/2))/(LN(2)/2)*V125*Y125*VLOOKUP('Données projet'!$B$9,Paramètres!$A$1:$I$89,3,0)*0.475*44/12</f>
        <v>7.4488394699792398E-13</v>
      </c>
      <c r="AC125" s="24">
        <f t="shared" si="57"/>
        <v>13.220014827683865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5.6843418860808015E-14</v>
      </c>
      <c r="O126" s="14">
        <f>N126*VLOOKUP('Données projet'!$B$9,Paramètres!$A$1:$I$89,3,0)*VLOOKUP('Données projet'!$B$9,Paramètres!$A$1:$I$89,5,0)</f>
        <v>3.3992364478763198E-14</v>
      </c>
      <c r="P126" s="14">
        <f t="shared" si="87"/>
        <v>5.790027782444094E-13</v>
      </c>
      <c r="Q126" s="22">
        <f t="shared" si="107"/>
        <v>1.0676332069095257E-12</v>
      </c>
      <c r="R126" s="62">
        <f t="shared" si="55"/>
        <v>293.33333333333439</v>
      </c>
      <c r="S126" s="62">
        <f ca="1">AVERAGE(OFFSET($R$3,0,0,'Données projet'!$E$9+1,1))-AVERAGE(OFFSET($H$3,0,0,'Données projet'!$E$9+1,1))</f>
        <v>179.92943593637102</v>
      </c>
      <c r="T126" s="62">
        <f t="shared" si="88"/>
        <v>449.95981246883593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8.5794915874918143</v>
      </c>
      <c r="AA126" s="23">
        <f>EXP(-LN(2)/25)*AA125+(1-EXP(-LN(2)/25))/(LN(2)/25)*Calculateur!V126*Calculateur!X126*VLOOKUP('Données projet'!$B$9,Paramètres!$A$1:$I$89,3,0)*0.475*44/12</f>
        <v>4.3467167589419189</v>
      </c>
      <c r="AB126" s="23">
        <f>EXP(-LN(2)/2)*AB125+(1-EXP(-LN(2)/2))/(LN(2)/2)*V126*Y126*VLOOKUP('Données projet'!$B$9,Paramètres!$A$1:$I$89,3,0)*0.475*44/12</f>
        <v>5.2671249011923288E-13</v>
      </c>
      <c r="AC126" s="24">
        <f t="shared" si="57"/>
        <v>12.92620834643426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5.6843418860808015E-14</v>
      </c>
      <c r="O127" s="14">
        <f>N127*VLOOKUP('Données projet'!$B$9,Paramètres!$A$1:$I$89,3,0)*VLOOKUP('Données projet'!$B$9,Paramètres!$A$1:$I$89,5,0)</f>
        <v>3.3992364478763198E-14</v>
      </c>
      <c r="P127" s="14">
        <f t="shared" si="87"/>
        <v>5.790027782444094E-13</v>
      </c>
      <c r="Q127" s="22">
        <f t="shared" si="107"/>
        <v>1.0676332069095257E-12</v>
      </c>
      <c r="R127" s="62">
        <f t="shared" si="55"/>
        <v>293.33333333333439</v>
      </c>
      <c r="S127" s="62">
        <f ca="1">AVERAGE(OFFSET($R$3,0,0,'Données projet'!$E$9+1,1))-AVERAGE(OFFSET($H$3,0,0,'Données projet'!$E$9+1,1))</f>
        <v>179.92943593637102</v>
      </c>
      <c r="T127" s="62">
        <f t="shared" si="88"/>
        <v>449.95981246883593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8.4112529904342548</v>
      </c>
      <c r="AA127" s="23">
        <f>EXP(-LN(2)/25)*AA126+(1-EXP(-LN(2)/25))/(LN(2)/25)*Calculateur!V127*Calculateur!X127*VLOOKUP('Données projet'!$B$9,Paramètres!$A$1:$I$89,3,0)*0.475*44/12</f>
        <v>4.2278555605847528</v>
      </c>
      <c r="AB127" s="23">
        <f>EXP(-LN(2)/2)*AB126+(1-EXP(-LN(2)/2))/(LN(2)/2)*V127*Y127*VLOOKUP('Données projet'!$B$9,Paramètres!$A$1:$I$89,3,0)*0.475*44/12</f>
        <v>3.7244197349896199E-13</v>
      </c>
      <c r="AC127" s="24">
        <f t="shared" si="57"/>
        <v>12.63910855101938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5.6843418860808015E-14</v>
      </c>
      <c r="O128" s="14">
        <f>N128*VLOOKUP('Données projet'!$B$9,Paramètres!$A$1:$I$89,3,0)*VLOOKUP('Données projet'!$B$9,Paramètres!$A$1:$I$89,5,0)</f>
        <v>3.3992364478763198E-14</v>
      </c>
      <c r="P128" s="14">
        <f t="shared" si="87"/>
        <v>5.790027782444094E-13</v>
      </c>
      <c r="Q128" s="22">
        <f t="shared" si="107"/>
        <v>1.0676332069095257E-12</v>
      </c>
      <c r="R128" s="62">
        <f t="shared" si="55"/>
        <v>293.33333333333439</v>
      </c>
      <c r="S128" s="62">
        <f ca="1">AVERAGE(OFFSET($R$3,0,0,'Données projet'!$E$9+1,1))-AVERAGE(OFFSET($H$3,0,0,'Données projet'!$E$9+1,1))</f>
        <v>179.92943593637102</v>
      </c>
      <c r="T128" s="62">
        <f t="shared" si="88"/>
        <v>449.95981246883593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8.2463134496495822</v>
      </c>
      <c r="AA128" s="23">
        <f>EXP(-LN(2)/25)*AA127+(1-EXP(-LN(2)/25))/(LN(2)/25)*Calculateur!V128*Calculateur!X128*VLOOKUP('Données projet'!$B$9,Paramètres!$A$1:$I$89,3,0)*0.475*44/12</f>
        <v>4.1122446279473017</v>
      </c>
      <c r="AB128" s="23">
        <f>EXP(-LN(2)/2)*AB127+(1-EXP(-LN(2)/2))/(LN(2)/2)*V128*Y128*VLOOKUP('Données projet'!$B$9,Paramètres!$A$1:$I$89,3,0)*0.475*44/12</f>
        <v>2.6335624505961644E-13</v>
      </c>
      <c r="AC128" s="24">
        <f t="shared" si="57"/>
        <v>12.358558077597147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5.6843418860808015E-14</v>
      </c>
      <c r="O129" s="14">
        <f>N129*VLOOKUP('Données projet'!$B$9,Paramètres!$A$1:$I$89,3,0)*VLOOKUP('Données projet'!$B$9,Paramètres!$A$1:$I$89,5,0)</f>
        <v>3.3992364478763198E-14</v>
      </c>
      <c r="P129" s="14">
        <f t="shared" si="87"/>
        <v>5.790027782444094E-13</v>
      </c>
      <c r="Q129" s="22">
        <f t="shared" si="107"/>
        <v>1.0676332069095257E-12</v>
      </c>
      <c r="R129" s="62">
        <f t="shared" si="55"/>
        <v>293.33333333333439</v>
      </c>
      <c r="S129" s="62">
        <f ca="1">AVERAGE(OFFSET($R$3,0,0,'Données projet'!$E$9+1,1))-AVERAGE(OFFSET($H$3,0,0,'Données projet'!$E$9+1,1))</f>
        <v>179.92943593637102</v>
      </c>
      <c r="T129" s="62">
        <f t="shared" si="88"/>
        <v>449.95981246883593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8.0846082726565118</v>
      </c>
      <c r="AA129" s="23">
        <f>EXP(-LN(2)/25)*AA128+(1-EXP(-LN(2)/25))/(LN(2)/25)*Calculateur!V129*Calculateur!X129*VLOOKUP('Données projet'!$B$9,Paramètres!$A$1:$I$89,3,0)*0.475*44/12</f>
        <v>3.9997950823425366</v>
      </c>
      <c r="AB129" s="23">
        <f>EXP(-LN(2)/2)*AB128+(1-EXP(-LN(2)/2))/(LN(2)/2)*V129*Y129*VLOOKUP('Données projet'!$B$9,Paramètres!$A$1:$I$89,3,0)*0.475*44/12</f>
        <v>1.8622098674948099E-13</v>
      </c>
      <c r="AC129" s="24">
        <f t="shared" si="57"/>
        <v>12.084403354999235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5.6843418860808015E-14</v>
      </c>
      <c r="O130" s="14">
        <f>N130*VLOOKUP('Données projet'!$B$9,Paramètres!$A$1:$I$89,3,0)*VLOOKUP('Données projet'!$B$9,Paramètres!$A$1:$I$89,5,0)</f>
        <v>3.3992364478763198E-14</v>
      </c>
      <c r="P130" s="14">
        <f t="shared" si="87"/>
        <v>5.790027782444094E-13</v>
      </c>
      <c r="Q130" s="22">
        <f t="shared" si="107"/>
        <v>1.0676332069095257E-12</v>
      </c>
      <c r="R130" s="62">
        <f t="shared" si="55"/>
        <v>293.33333333333439</v>
      </c>
      <c r="S130" s="62">
        <f ca="1">AVERAGE(OFFSET($R$3,0,0,'Données projet'!$E$9+1,1))-AVERAGE(OFFSET($H$3,0,0,'Données projet'!$E$9+1,1))</f>
        <v>179.92943593637102</v>
      </c>
      <c r="T130" s="62">
        <f t="shared" si="88"/>
        <v>449.95981246883593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7.9260740355538557</v>
      </c>
      <c r="AA130" s="23">
        <f>EXP(-LN(2)/25)*AA129+(1-EXP(-LN(2)/25))/(LN(2)/25)*Calculateur!V130*Calculateur!X130*VLOOKUP('Données projet'!$B$9,Paramètres!$A$1:$I$89,3,0)*0.475*44/12</f>
        <v>3.8904204754757981</v>
      </c>
      <c r="AB130" s="23">
        <f>EXP(-LN(2)/2)*AB129+(1-EXP(-LN(2)/2))/(LN(2)/2)*V130*Y130*VLOOKUP('Données projet'!$B$9,Paramètres!$A$1:$I$89,3,0)*0.475*44/12</f>
        <v>1.3167812252980822E-13</v>
      </c>
      <c r="AC130" s="24">
        <f t="shared" si="57"/>
        <v>11.816494511029784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5.6843418860808015E-14</v>
      </c>
      <c r="O131" s="14">
        <f>N131*VLOOKUP('Données projet'!$B$9,Paramètres!$A$1:$I$89,3,0)*VLOOKUP('Données projet'!$B$9,Paramètres!$A$1:$I$89,5,0)</f>
        <v>3.3992364478763198E-14</v>
      </c>
      <c r="P131" s="14">
        <f t="shared" si="87"/>
        <v>5.790027782444094E-13</v>
      </c>
      <c r="Q131" s="22">
        <f t="shared" ref="Q131:Q153" si="108">(O131+P131)*0.475*44/12</f>
        <v>1.0676332069095257E-12</v>
      </c>
      <c r="R131" s="62">
        <f t="shared" ref="R131:R194" si="109">Q131+(I131+J131)*44/12</f>
        <v>293.33333333333439</v>
      </c>
      <c r="S131" s="62">
        <f ca="1">AVERAGE(OFFSET($R$3,0,0,'Données projet'!$E$9+1,1))-AVERAGE(OFFSET($H$3,0,0,'Données projet'!$E$9+1,1))</f>
        <v>179.92943593637102</v>
      </c>
      <c r="T131" s="62">
        <f t="shared" si="88"/>
        <v>449.95981246883593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7.7706485581444458</v>
      </c>
      <c r="AA131" s="23">
        <f>EXP(-LN(2)/25)*AA130+(1-EXP(-LN(2)/25))/(LN(2)/25)*Calculateur!V131*Calculateur!X131*VLOOKUP('Données projet'!$B$9,Paramètres!$A$1:$I$89,3,0)*0.475*44/12</f>
        <v>3.7840367229855914</v>
      </c>
      <c r="AB131" s="23">
        <f>EXP(-LN(2)/2)*AB130+(1-EXP(-LN(2)/2))/(LN(2)/2)*V131*Y131*VLOOKUP('Données projet'!$B$9,Paramètres!$A$1:$I$89,3,0)*0.475*44/12</f>
        <v>9.3110493374740497E-14</v>
      </c>
      <c r="AC131" s="24">
        <f t="shared" si="57"/>
        <v>11.55468528113013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5.6843418860808015E-14</v>
      </c>
      <c r="O132" s="14">
        <f>N132*VLOOKUP('Données projet'!$B$9,Paramètres!$A$1:$I$89,3,0)*VLOOKUP('Données projet'!$B$9,Paramètres!$A$1:$I$89,5,0)</f>
        <v>3.3992364478763198E-14</v>
      </c>
      <c r="P132" s="14">
        <f t="shared" si="87"/>
        <v>5.790027782444094E-13</v>
      </c>
      <c r="Q132" s="22">
        <f t="shared" si="108"/>
        <v>1.0676332069095257E-12</v>
      </c>
      <c r="R132" s="62">
        <f t="shared" si="109"/>
        <v>293.33333333333439</v>
      </c>
      <c r="S132" s="62">
        <f ca="1">AVERAGE(OFFSET($R$3,0,0,'Données projet'!$E$9+1,1))-AVERAGE(OFFSET($H$3,0,0,'Données projet'!$E$9+1,1))</f>
        <v>179.92943593637102</v>
      </c>
      <c r="T132" s="62">
        <f t="shared" si="88"/>
        <v>449.95981246883593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7.6182708795468539</v>
      </c>
      <c r="AA132" s="23">
        <f>EXP(-LN(2)/25)*AA131+(1-EXP(-LN(2)/25))/(LN(2)/25)*Calculateur!V132*Calculateur!X132*VLOOKUP('Données projet'!$B$9,Paramètres!$A$1:$I$89,3,0)*0.475*44/12</f>
        <v>3.6805620398017078</v>
      </c>
      <c r="AB132" s="23">
        <f>EXP(-LN(2)/2)*AB131+(1-EXP(-LN(2)/2))/(LN(2)/2)*V132*Y132*VLOOKUP('Données projet'!$B$9,Paramètres!$A$1:$I$89,3,0)*0.475*44/12</f>
        <v>6.583906126490411E-14</v>
      </c>
      <c r="AC132" s="24">
        <f t="shared" ref="AC132:AC153" si="111">SUM(Z132:AB132)</f>
        <v>11.298832919348628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5.6843418860808015E-14</v>
      </c>
      <c r="O133" s="14">
        <f>N133*VLOOKUP('Données projet'!$B$9,Paramètres!$A$1:$I$89,3,0)*VLOOKUP('Données projet'!$B$9,Paramètres!$A$1:$I$89,5,0)</f>
        <v>3.3992364478763198E-14</v>
      </c>
      <c r="P133" s="14">
        <f t="shared" ref="P133:P196" si="141">EXP(-1.0587+0.8836*LN(O133)+0.284)</f>
        <v>5.790027782444094E-13</v>
      </c>
      <c r="Q133" s="22">
        <f t="shared" si="108"/>
        <v>1.0676332069095257E-12</v>
      </c>
      <c r="R133" s="62">
        <f t="shared" si="109"/>
        <v>293.33333333333439</v>
      </c>
      <c r="S133" s="62">
        <f ca="1">AVERAGE(OFFSET($R$3,0,0,'Données projet'!$E$9+1,1))-AVERAGE(OFFSET($H$3,0,0,'Données projet'!$E$9+1,1))</f>
        <v>179.92943593637102</v>
      </c>
      <c r="T133" s="62">
        <f t="shared" ref="T133:T196" si="142">$T$3</f>
        <v>449.95981246883593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7.4688812342853543</v>
      </c>
      <c r="AA133" s="23">
        <f>EXP(-LN(2)/25)*AA132+(1-EXP(-LN(2)/25))/(LN(2)/25)*Calculateur!V133*Calculateur!X133*VLOOKUP('Données projet'!$B$9,Paramètres!$A$1:$I$89,3,0)*0.475*44/12</f>
        <v>3.5799168772709846</v>
      </c>
      <c r="AB133" s="23">
        <f>EXP(-LN(2)/2)*AB132+(1-EXP(-LN(2)/2))/(LN(2)/2)*V133*Y133*VLOOKUP('Données projet'!$B$9,Paramètres!$A$1:$I$89,3,0)*0.475*44/12</f>
        <v>4.6555246687370248E-14</v>
      </c>
      <c r="AC133" s="24">
        <f t="shared" si="111"/>
        <v>11.048798111556385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5.6843418860808015E-14</v>
      </c>
      <c r="O134" s="14">
        <f>N134*VLOOKUP('Données projet'!$B$9,Paramètres!$A$1:$I$89,3,0)*VLOOKUP('Données projet'!$B$9,Paramètres!$A$1:$I$89,5,0)</f>
        <v>3.3992364478763198E-14</v>
      </c>
      <c r="P134" s="14">
        <f t="shared" si="141"/>
        <v>5.790027782444094E-13</v>
      </c>
      <c r="Q134" s="22">
        <f t="shared" si="108"/>
        <v>1.0676332069095257E-12</v>
      </c>
      <c r="R134" s="62">
        <f t="shared" si="109"/>
        <v>293.33333333333439</v>
      </c>
      <c r="S134" s="62">
        <f ca="1">AVERAGE(OFFSET($R$3,0,0,'Données projet'!$E$9+1,1))-AVERAGE(OFFSET($H$3,0,0,'Données projet'!$E$9+1,1))</f>
        <v>179.92943593637102</v>
      </c>
      <c r="T134" s="62">
        <f t="shared" si="142"/>
        <v>449.95981246883593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7.3224210288487468</v>
      </c>
      <c r="AA134" s="23">
        <f>EXP(-LN(2)/25)*AA133+(1-EXP(-LN(2)/25))/(LN(2)/25)*Calculateur!V134*Calculateur!X134*VLOOKUP('Données projet'!$B$9,Paramètres!$A$1:$I$89,3,0)*0.475*44/12</f>
        <v>3.4820238620023631</v>
      </c>
      <c r="AB134" s="23">
        <f>EXP(-LN(2)/2)*AB133+(1-EXP(-LN(2)/2))/(LN(2)/2)*V134*Y134*VLOOKUP('Données projet'!$B$9,Paramètres!$A$1:$I$89,3,0)*0.475*44/12</f>
        <v>3.2919530632452055E-14</v>
      </c>
      <c r="AC134" s="24">
        <f t="shared" si="111"/>
        <v>10.804444890851144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5.6843418860808015E-14</v>
      </c>
      <c r="O135" s="14">
        <f>N135*VLOOKUP('Données projet'!$B$9,Paramètres!$A$1:$I$89,3,0)*VLOOKUP('Données projet'!$B$9,Paramètres!$A$1:$I$89,5,0)</f>
        <v>3.3992364478763198E-14</v>
      </c>
      <c r="P135" s="14">
        <f t="shared" si="141"/>
        <v>5.790027782444094E-13</v>
      </c>
      <c r="Q135" s="22">
        <f t="shared" si="108"/>
        <v>1.0676332069095257E-12</v>
      </c>
      <c r="R135" s="62">
        <f t="shared" si="109"/>
        <v>293.33333333333439</v>
      </c>
      <c r="S135" s="62">
        <f ca="1">AVERAGE(OFFSET($R$3,0,0,'Données projet'!$E$9+1,1))-AVERAGE(OFFSET($H$3,0,0,'Données projet'!$E$9+1,1))</f>
        <v>179.92943593637102</v>
      </c>
      <c r="T135" s="62">
        <f t="shared" si="142"/>
        <v>449.95981246883593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7.1788328187088464</v>
      </c>
      <c r="AA135" s="23">
        <f>EXP(-LN(2)/25)*AA134+(1-EXP(-LN(2)/25))/(LN(2)/25)*Calculateur!V135*Calculateur!X135*VLOOKUP('Données projet'!$B$9,Paramètres!$A$1:$I$89,3,0)*0.475*44/12</f>
        <v>3.3868077363842319</v>
      </c>
      <c r="AB135" s="23">
        <f>EXP(-LN(2)/2)*AB134+(1-EXP(-LN(2)/2))/(LN(2)/2)*V135*Y135*VLOOKUP('Données projet'!$B$9,Paramètres!$A$1:$I$89,3,0)*0.475*44/12</f>
        <v>2.3277623343685124E-14</v>
      </c>
      <c r="AC135" s="24">
        <f t="shared" si="111"/>
        <v>10.565640555093102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5.6843418860808015E-14</v>
      </c>
      <c r="O136" s="14">
        <f>N136*VLOOKUP('Données projet'!$B$9,Paramètres!$A$1:$I$89,3,0)*VLOOKUP('Données projet'!$B$9,Paramètres!$A$1:$I$89,5,0)</f>
        <v>3.3992364478763198E-14</v>
      </c>
      <c r="P136" s="14">
        <f t="shared" si="141"/>
        <v>5.790027782444094E-13</v>
      </c>
      <c r="Q136" s="22">
        <f t="shared" si="108"/>
        <v>1.0676332069095257E-12</v>
      </c>
      <c r="R136" s="62">
        <f t="shared" si="109"/>
        <v>293.33333333333439</v>
      </c>
      <c r="S136" s="62">
        <f ca="1">AVERAGE(OFFSET($R$3,0,0,'Données projet'!$E$9+1,1))-AVERAGE(OFFSET($H$3,0,0,'Données projet'!$E$9+1,1))</f>
        <v>179.92943593637102</v>
      </c>
      <c r="T136" s="62">
        <f t="shared" si="142"/>
        <v>449.95981246883593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7.0380602857896291</v>
      </c>
      <c r="AA136" s="23">
        <f>EXP(-LN(2)/25)*AA135+(1-EXP(-LN(2)/25))/(LN(2)/25)*Calculateur!V136*Calculateur!X136*VLOOKUP('Données projet'!$B$9,Paramètres!$A$1:$I$89,3,0)*0.475*44/12</f>
        <v>3.2941953007283269</v>
      </c>
      <c r="AB136" s="23">
        <f>EXP(-LN(2)/2)*AB135+(1-EXP(-LN(2)/2))/(LN(2)/2)*V136*Y136*VLOOKUP('Données projet'!$B$9,Paramètres!$A$1:$I$89,3,0)*0.475*44/12</f>
        <v>1.6459765316226028E-14</v>
      </c>
      <c r="AC136" s="24">
        <f t="shared" si="111"/>
        <v>10.332255586517972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5.6843418860808015E-14</v>
      </c>
      <c r="O137" s="14">
        <f>N137*VLOOKUP('Données projet'!$B$9,Paramètres!$A$1:$I$89,3,0)*VLOOKUP('Données projet'!$B$9,Paramètres!$A$1:$I$89,5,0)</f>
        <v>3.3992364478763198E-14</v>
      </c>
      <c r="P137" s="14">
        <f t="shared" si="141"/>
        <v>5.790027782444094E-13</v>
      </c>
      <c r="Q137" s="22">
        <f t="shared" si="108"/>
        <v>1.0676332069095257E-12</v>
      </c>
      <c r="R137" s="62">
        <f t="shared" si="109"/>
        <v>293.33333333333439</v>
      </c>
      <c r="S137" s="62">
        <f ca="1">AVERAGE(OFFSET($R$3,0,0,'Données projet'!$E$9+1,1))-AVERAGE(OFFSET($H$3,0,0,'Données projet'!$E$9+1,1))</f>
        <v>179.92943593637102</v>
      </c>
      <c r="T137" s="62">
        <f t="shared" si="142"/>
        <v>449.95981246883593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6.9000482163781909</v>
      </c>
      <c r="AA137" s="23">
        <f>EXP(-LN(2)/25)*AA136+(1-EXP(-LN(2)/25))/(LN(2)/25)*Calculateur!V137*Calculateur!X137*VLOOKUP('Données projet'!$B$9,Paramètres!$A$1:$I$89,3,0)*0.475*44/12</f>
        <v>3.2041153569957088</v>
      </c>
      <c r="AB137" s="23">
        <f>EXP(-LN(2)/2)*AB136+(1-EXP(-LN(2)/2))/(LN(2)/2)*V137*Y137*VLOOKUP('Données projet'!$B$9,Paramètres!$A$1:$I$89,3,0)*0.475*44/12</f>
        <v>1.1638811671842562E-14</v>
      </c>
      <c r="AC137" s="24">
        <f t="shared" si="111"/>
        <v>10.104163573373912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5.6843418860808015E-14</v>
      </c>
      <c r="O138" s="14">
        <f>N138*VLOOKUP('Données projet'!$B$9,Paramètres!$A$1:$I$89,3,0)*VLOOKUP('Données projet'!$B$9,Paramètres!$A$1:$I$89,5,0)</f>
        <v>3.3992364478763198E-14</v>
      </c>
      <c r="P138" s="14">
        <f t="shared" si="141"/>
        <v>5.790027782444094E-13</v>
      </c>
      <c r="Q138" s="22">
        <f t="shared" si="108"/>
        <v>1.0676332069095257E-12</v>
      </c>
      <c r="R138" s="62">
        <f t="shared" si="109"/>
        <v>293.33333333333439</v>
      </c>
      <c r="S138" s="62">
        <f ca="1">AVERAGE(OFFSET($R$3,0,0,'Données projet'!$E$9+1,1))-AVERAGE(OFFSET($H$3,0,0,'Données projet'!$E$9+1,1))</f>
        <v>179.92943593637102</v>
      </c>
      <c r="T138" s="62">
        <f t="shared" si="142"/>
        <v>449.95981246883593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6.7647424794688602</v>
      </c>
      <c r="AA138" s="23">
        <f>EXP(-LN(2)/25)*AA137+(1-EXP(-LN(2)/25))/(LN(2)/25)*Calculateur!V138*Calculateur!X138*VLOOKUP('Données projet'!$B$9,Paramètres!$A$1:$I$89,3,0)*0.475*44/12</f>
        <v>3.1164986540615578</v>
      </c>
      <c r="AB138" s="23">
        <f>EXP(-LN(2)/2)*AB137+(1-EXP(-LN(2)/2))/(LN(2)/2)*V138*Y138*VLOOKUP('Données projet'!$B$9,Paramètres!$A$1:$I$89,3,0)*0.475*44/12</f>
        <v>8.2298826581130138E-15</v>
      </c>
      <c r="AC138" s="24">
        <f t="shared" si="111"/>
        <v>9.8812411335304269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5.6843418860808015E-14</v>
      </c>
      <c r="O139" s="14">
        <f>N139*VLOOKUP('Données projet'!$B$9,Paramètres!$A$1:$I$89,3,0)*VLOOKUP('Données projet'!$B$9,Paramètres!$A$1:$I$89,5,0)</f>
        <v>3.3992364478763198E-14</v>
      </c>
      <c r="P139" s="14">
        <f t="shared" si="141"/>
        <v>5.790027782444094E-13</v>
      </c>
      <c r="Q139" s="22">
        <f t="shared" si="108"/>
        <v>1.0676332069095257E-12</v>
      </c>
      <c r="R139" s="62">
        <f t="shared" si="109"/>
        <v>293.33333333333439</v>
      </c>
      <c r="S139" s="62">
        <f ca="1">AVERAGE(OFFSET($R$3,0,0,'Données projet'!$E$9+1,1))-AVERAGE(OFFSET($H$3,0,0,'Données projet'!$E$9+1,1))</f>
        <v>179.92943593637102</v>
      </c>
      <c r="T139" s="62">
        <f t="shared" si="142"/>
        <v>449.95981246883593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6.6320900055319711</v>
      </c>
      <c r="AA139" s="23">
        <f>EXP(-LN(2)/25)*AA138+(1-EXP(-LN(2)/25))/(LN(2)/25)*Calculateur!V139*Calculateur!X139*VLOOKUP('Données projet'!$B$9,Paramètres!$A$1:$I$89,3,0)*0.475*44/12</f>
        <v>3.0312778344767031</v>
      </c>
      <c r="AB139" s="23">
        <f>EXP(-LN(2)/2)*AB138+(1-EXP(-LN(2)/2))/(LN(2)/2)*V139*Y139*VLOOKUP('Données projet'!$B$9,Paramètres!$A$1:$I$89,3,0)*0.475*44/12</f>
        <v>5.8194058359212811E-15</v>
      </c>
      <c r="AC139" s="24">
        <f t="shared" si="111"/>
        <v>9.6633678400086804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5.6843418860808015E-14</v>
      </c>
      <c r="O140" s="14">
        <f>N140*VLOOKUP('Données projet'!$B$9,Paramètres!$A$1:$I$89,3,0)*VLOOKUP('Données projet'!$B$9,Paramètres!$A$1:$I$89,5,0)</f>
        <v>3.3992364478763198E-14</v>
      </c>
      <c r="P140" s="14">
        <f t="shared" si="141"/>
        <v>5.790027782444094E-13</v>
      </c>
      <c r="Q140" s="22">
        <f t="shared" si="108"/>
        <v>1.0676332069095257E-12</v>
      </c>
      <c r="R140" s="62">
        <f t="shared" si="109"/>
        <v>293.33333333333439</v>
      </c>
      <c r="S140" s="62">
        <f ca="1">AVERAGE(OFFSET($R$3,0,0,'Données projet'!$E$9+1,1))-AVERAGE(OFFSET($H$3,0,0,'Données projet'!$E$9+1,1))</f>
        <v>179.92943593637102</v>
      </c>
      <c r="T140" s="62">
        <f t="shared" si="142"/>
        <v>449.95981246883593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6.5020387656989644</v>
      </c>
      <c r="AA140" s="23">
        <f>EXP(-LN(2)/25)*AA139+(1-EXP(-LN(2)/25))/(LN(2)/25)*Calculateur!V140*Calculateur!X140*VLOOKUP('Données projet'!$B$9,Paramètres!$A$1:$I$89,3,0)*0.475*44/12</f>
        <v>2.9483873826849645</v>
      </c>
      <c r="AB140" s="23">
        <f>EXP(-LN(2)/2)*AB139+(1-EXP(-LN(2)/2))/(LN(2)/2)*V140*Y140*VLOOKUP('Données projet'!$B$9,Paramètres!$A$1:$I$89,3,0)*0.475*44/12</f>
        <v>4.1149413290565069E-15</v>
      </c>
      <c r="AC140" s="24">
        <f t="shared" si="111"/>
        <v>9.4504261483839329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5.6843418860808015E-14</v>
      </c>
      <c r="O141" s="14">
        <f>N141*VLOOKUP('Données projet'!$B$9,Paramètres!$A$1:$I$89,3,0)*VLOOKUP('Données projet'!$B$9,Paramètres!$A$1:$I$89,5,0)</f>
        <v>3.3992364478763198E-14</v>
      </c>
      <c r="P141" s="14">
        <f t="shared" si="141"/>
        <v>5.790027782444094E-13</v>
      </c>
      <c r="Q141" s="22">
        <f t="shared" si="108"/>
        <v>1.0676332069095257E-12</v>
      </c>
      <c r="R141" s="62">
        <f t="shared" si="109"/>
        <v>293.33333333333439</v>
      </c>
      <c r="S141" s="62">
        <f ca="1">AVERAGE(OFFSET($R$3,0,0,'Données projet'!$E$9+1,1))-AVERAGE(OFFSET($H$3,0,0,'Données projet'!$E$9+1,1))</f>
        <v>179.92943593637102</v>
      </c>
      <c r="T141" s="62">
        <f t="shared" si="142"/>
        <v>449.95981246883593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6.3745377513556596</v>
      </c>
      <c r="AA141" s="23">
        <f>EXP(-LN(2)/25)*AA140+(1-EXP(-LN(2)/25))/(LN(2)/25)*Calculateur!V141*Calculateur!X141*VLOOKUP('Données projet'!$B$9,Paramètres!$A$1:$I$89,3,0)*0.475*44/12</f>
        <v>2.8677635746564905</v>
      </c>
      <c r="AB141" s="23">
        <f>EXP(-LN(2)/2)*AB140+(1-EXP(-LN(2)/2))/(LN(2)/2)*V141*Y141*VLOOKUP('Données projet'!$B$9,Paramètres!$A$1:$I$89,3,0)*0.475*44/12</f>
        <v>2.9097029179606405E-15</v>
      </c>
      <c r="AC141" s="24">
        <f t="shared" si="111"/>
        <v>9.2423013260121536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5.6843418860808015E-14</v>
      </c>
      <c r="O142" s="14">
        <f>N142*VLOOKUP('Données projet'!$B$9,Paramètres!$A$1:$I$89,3,0)*VLOOKUP('Données projet'!$B$9,Paramètres!$A$1:$I$89,5,0)</f>
        <v>3.3992364478763198E-14</v>
      </c>
      <c r="P142" s="14">
        <f t="shared" si="141"/>
        <v>5.790027782444094E-13</v>
      </c>
      <c r="Q142" s="22">
        <f t="shared" si="108"/>
        <v>1.0676332069095257E-12</v>
      </c>
      <c r="R142" s="62">
        <f t="shared" si="109"/>
        <v>293.33333333333439</v>
      </c>
      <c r="S142" s="62">
        <f ca="1">AVERAGE(OFFSET($R$3,0,0,'Données projet'!$E$9+1,1))-AVERAGE(OFFSET($H$3,0,0,'Données projet'!$E$9+1,1))</f>
        <v>179.92943593637102</v>
      </c>
      <c r="T142" s="62">
        <f t="shared" si="142"/>
        <v>449.95981246883593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6.2495369541356869</v>
      </c>
      <c r="AA142" s="23">
        <f>EXP(-LN(2)/25)*AA141+(1-EXP(-LN(2)/25))/(LN(2)/25)*Calculateur!V142*Calculateur!X142*VLOOKUP('Données projet'!$B$9,Paramètres!$A$1:$I$89,3,0)*0.475*44/12</f>
        <v>2.7893444288983766</v>
      </c>
      <c r="AB142" s="23">
        <f>EXP(-LN(2)/2)*AB141+(1-EXP(-LN(2)/2))/(LN(2)/2)*V142*Y142*VLOOKUP('Données projet'!$B$9,Paramètres!$A$1:$I$89,3,0)*0.475*44/12</f>
        <v>2.0574706645282534E-15</v>
      </c>
      <c r="AC142" s="24">
        <f t="shared" si="111"/>
        <v>9.0388813830340649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5.6843418860808015E-14</v>
      </c>
      <c r="O143" s="14">
        <f>N143*VLOOKUP('Données projet'!$B$9,Paramètres!$A$1:$I$89,3,0)*VLOOKUP('Données projet'!$B$9,Paramètres!$A$1:$I$89,5,0)</f>
        <v>3.3992364478763198E-14</v>
      </c>
      <c r="P143" s="14">
        <f t="shared" si="141"/>
        <v>5.790027782444094E-13</v>
      </c>
      <c r="Q143" s="22">
        <f t="shared" si="108"/>
        <v>1.0676332069095257E-12</v>
      </c>
      <c r="R143" s="62">
        <f t="shared" si="109"/>
        <v>293.33333333333439</v>
      </c>
      <c r="S143" s="62">
        <f ca="1">AVERAGE(OFFSET($R$3,0,0,'Données projet'!$E$9+1,1))-AVERAGE(OFFSET($H$3,0,0,'Données projet'!$E$9+1,1))</f>
        <v>179.92943593637102</v>
      </c>
      <c r="T143" s="62">
        <f t="shared" si="142"/>
        <v>449.95981246883593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6.1269873463062403</v>
      </c>
      <c r="AA143" s="23">
        <f>EXP(-LN(2)/25)*AA142+(1-EXP(-LN(2)/25))/(LN(2)/25)*Calculateur!V143*Calculateur!X143*VLOOKUP('Données projet'!$B$9,Paramètres!$A$1:$I$89,3,0)*0.475*44/12</f>
        <v>2.7130696588049021</v>
      </c>
      <c r="AB143" s="23">
        <f>EXP(-LN(2)/2)*AB142+(1-EXP(-LN(2)/2))/(LN(2)/2)*V143*Y143*VLOOKUP('Données projet'!$B$9,Paramètres!$A$1:$I$89,3,0)*0.475*44/12</f>
        <v>1.4548514589803203E-15</v>
      </c>
      <c r="AC143" s="24">
        <f t="shared" si="111"/>
        <v>8.8400570051111433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5.6843418860808015E-14</v>
      </c>
      <c r="O144" s="14">
        <f>N144*VLOOKUP('Données projet'!$B$9,Paramètres!$A$1:$I$89,3,0)*VLOOKUP('Données projet'!$B$9,Paramètres!$A$1:$I$89,5,0)</f>
        <v>3.3992364478763198E-14</v>
      </c>
      <c r="P144" s="14">
        <f t="shared" si="141"/>
        <v>5.790027782444094E-13</v>
      </c>
      <c r="Q144" s="22">
        <f t="shared" si="108"/>
        <v>1.0676332069095257E-12</v>
      </c>
      <c r="R144" s="62">
        <f t="shared" si="109"/>
        <v>293.33333333333439</v>
      </c>
      <c r="S144" s="62">
        <f ca="1">AVERAGE(OFFSET($R$3,0,0,'Données projet'!$E$9+1,1))-AVERAGE(OFFSET($H$3,0,0,'Données projet'!$E$9+1,1))</f>
        <v>179.92943593637102</v>
      </c>
      <c r="T144" s="62">
        <f t="shared" si="142"/>
        <v>449.95981246883593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6.006840861538449</v>
      </c>
      <c r="AA144" s="23">
        <f>EXP(-LN(2)/25)*AA143+(1-EXP(-LN(2)/25))/(LN(2)/25)*Calculateur!V144*Calculateur!X144*VLOOKUP('Données projet'!$B$9,Paramètres!$A$1:$I$89,3,0)*0.475*44/12</f>
        <v>2.6388806263107494</v>
      </c>
      <c r="AB144" s="23">
        <f>EXP(-LN(2)/2)*AB143+(1-EXP(-LN(2)/2))/(LN(2)/2)*V144*Y144*VLOOKUP('Données projet'!$B$9,Paramètres!$A$1:$I$89,3,0)*0.475*44/12</f>
        <v>1.0287353322641267E-15</v>
      </c>
      <c r="AC144" s="24">
        <f t="shared" si="111"/>
        <v>8.6457214878491992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5.6843418860808015E-14</v>
      </c>
      <c r="O145" s="14">
        <f>N145*VLOOKUP('Données projet'!$B$9,Paramètres!$A$1:$I$89,3,0)*VLOOKUP('Données projet'!$B$9,Paramètres!$A$1:$I$89,5,0)</f>
        <v>3.3992364478763198E-14</v>
      </c>
      <c r="P145" s="14">
        <f t="shared" si="141"/>
        <v>5.790027782444094E-13</v>
      </c>
      <c r="Q145" s="22">
        <f t="shared" si="108"/>
        <v>1.0676332069095257E-12</v>
      </c>
      <c r="R145" s="62">
        <f t="shared" si="109"/>
        <v>293.33333333333439</v>
      </c>
      <c r="S145" s="62">
        <f ca="1">AVERAGE(OFFSET($R$3,0,0,'Données projet'!$E$9+1,1))-AVERAGE(OFFSET($H$3,0,0,'Données projet'!$E$9+1,1))</f>
        <v>179.92943593637102</v>
      </c>
      <c r="T145" s="62">
        <f t="shared" si="142"/>
        <v>449.95981246883593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5.8890503760548345</v>
      </c>
      <c r="AA145" s="23">
        <f>EXP(-LN(2)/25)*AA144+(1-EXP(-LN(2)/25))/(LN(2)/25)*Calculateur!V145*Calculateur!X145*VLOOKUP('Données projet'!$B$9,Paramètres!$A$1:$I$89,3,0)*0.475*44/12</f>
        <v>2.5667202968115812</v>
      </c>
      <c r="AB145" s="23">
        <f>EXP(-LN(2)/2)*AB144+(1-EXP(-LN(2)/2))/(LN(2)/2)*V145*Y145*VLOOKUP('Données projet'!$B$9,Paramètres!$A$1:$I$89,3,0)*0.475*44/12</f>
        <v>7.2742572949016013E-16</v>
      </c>
      <c r="AC145" s="24">
        <f t="shared" si="111"/>
        <v>8.4557706728664161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5.6843418860808015E-14</v>
      </c>
      <c r="O146" s="14">
        <f>N146*VLOOKUP('Données projet'!$B$9,Paramètres!$A$1:$I$89,3,0)*VLOOKUP('Données projet'!$B$9,Paramètres!$A$1:$I$89,5,0)</f>
        <v>3.3992364478763198E-14</v>
      </c>
      <c r="P146" s="14">
        <f t="shared" si="141"/>
        <v>5.790027782444094E-13</v>
      </c>
      <c r="Q146" s="22">
        <f t="shared" si="108"/>
        <v>1.0676332069095257E-12</v>
      </c>
      <c r="R146" s="62">
        <f t="shared" si="109"/>
        <v>293.33333333333439</v>
      </c>
      <c r="S146" s="62">
        <f ca="1">AVERAGE(OFFSET($R$3,0,0,'Données projet'!$E$9+1,1))-AVERAGE(OFFSET($H$3,0,0,'Données projet'!$E$9+1,1))</f>
        <v>179.92943593637102</v>
      </c>
      <c r="T146" s="62">
        <f t="shared" si="142"/>
        <v>449.95981246883593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5.7735696901464513</v>
      </c>
      <c r="AA146" s="23">
        <f>EXP(-LN(2)/25)*AA145+(1-EXP(-LN(2)/25))/(LN(2)/25)*Calculateur!V146*Calculateur!X146*VLOOKUP('Données projet'!$B$9,Paramètres!$A$1:$I$89,3,0)*0.475*44/12</f>
        <v>2.4965331953173142</v>
      </c>
      <c r="AB146" s="23">
        <f>EXP(-LN(2)/2)*AB145+(1-EXP(-LN(2)/2))/(LN(2)/2)*V146*Y146*VLOOKUP('Données projet'!$B$9,Paramètres!$A$1:$I$89,3,0)*0.475*44/12</f>
        <v>5.1436766613206336E-16</v>
      </c>
      <c r="AC146" s="24">
        <f t="shared" si="111"/>
        <v>8.2701028854637659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5.6843418860808015E-14</v>
      </c>
      <c r="O147" s="14">
        <f>N147*VLOOKUP('Données projet'!$B$9,Paramètres!$A$1:$I$89,3,0)*VLOOKUP('Données projet'!$B$9,Paramètres!$A$1:$I$89,5,0)</f>
        <v>3.3992364478763198E-14</v>
      </c>
      <c r="P147" s="14">
        <f t="shared" si="141"/>
        <v>5.790027782444094E-13</v>
      </c>
      <c r="Q147" s="22">
        <f t="shared" si="108"/>
        <v>1.0676332069095257E-12</v>
      </c>
      <c r="R147" s="62">
        <f t="shared" si="109"/>
        <v>293.33333333333439</v>
      </c>
      <c r="S147" s="62">
        <f ca="1">AVERAGE(OFFSET($R$3,0,0,'Données projet'!$E$9+1,1))-AVERAGE(OFFSET($H$3,0,0,'Données projet'!$E$9+1,1))</f>
        <v>179.92943593637102</v>
      </c>
      <c r="T147" s="62">
        <f t="shared" si="142"/>
        <v>449.95981246883593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5.6603535100524685</v>
      </c>
      <c r="AA147" s="23">
        <f>EXP(-LN(2)/25)*AA146+(1-EXP(-LN(2)/25))/(LN(2)/25)*Calculateur!V147*Calculateur!X147*VLOOKUP('Données projet'!$B$9,Paramètres!$A$1:$I$89,3,0)*0.475*44/12</f>
        <v>2.4282653638043876</v>
      </c>
      <c r="AB147" s="23">
        <f>EXP(-LN(2)/2)*AB146+(1-EXP(-LN(2)/2))/(LN(2)/2)*V147*Y147*VLOOKUP('Données projet'!$B$9,Paramètres!$A$1:$I$89,3,0)*0.475*44/12</f>
        <v>3.6371286474508007E-16</v>
      </c>
      <c r="AC147" s="24">
        <f t="shared" si="111"/>
        <v>8.0886188738568556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5.6843418860808015E-14</v>
      </c>
      <c r="O148" s="14">
        <f>N148*VLOOKUP('Données projet'!$B$9,Paramètres!$A$1:$I$89,3,0)*VLOOKUP('Données projet'!$B$9,Paramètres!$A$1:$I$89,5,0)</f>
        <v>3.3992364478763198E-14</v>
      </c>
      <c r="P148" s="14">
        <f t="shared" si="141"/>
        <v>5.790027782444094E-13</v>
      </c>
      <c r="Q148" s="22">
        <f t="shared" si="108"/>
        <v>1.0676332069095257E-12</v>
      </c>
      <c r="R148" s="62">
        <f t="shared" si="109"/>
        <v>293.33333333333439</v>
      </c>
      <c r="S148" s="62">
        <f ca="1">AVERAGE(OFFSET($R$3,0,0,'Données projet'!$E$9+1,1))-AVERAGE(OFFSET($H$3,0,0,'Données projet'!$E$9+1,1))</f>
        <v>179.92943593637102</v>
      </c>
      <c r="T148" s="62">
        <f t="shared" si="142"/>
        <v>449.95981246883593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5.5493574301950774</v>
      </c>
      <c r="AA148" s="23">
        <f>EXP(-LN(2)/25)*AA147+(1-EXP(-LN(2)/25))/(LN(2)/25)*Calculateur!V148*Calculateur!X148*VLOOKUP('Données projet'!$B$9,Paramètres!$A$1:$I$89,3,0)*0.475*44/12</f>
        <v>2.3618643197342308</v>
      </c>
      <c r="AB148" s="23">
        <f>EXP(-LN(2)/2)*AB147+(1-EXP(-LN(2)/2))/(LN(2)/2)*V148*Y148*VLOOKUP('Données projet'!$B$9,Paramètres!$A$1:$I$89,3,0)*0.475*44/12</f>
        <v>2.5718383306603168E-16</v>
      </c>
      <c r="AC148" s="24">
        <f t="shared" si="111"/>
        <v>7.9112217499293083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5.6843418860808015E-14</v>
      </c>
      <c r="O149" s="14">
        <f>N149*VLOOKUP('Données projet'!$B$9,Paramètres!$A$1:$I$89,3,0)*VLOOKUP('Données projet'!$B$9,Paramètres!$A$1:$I$89,5,0)</f>
        <v>3.3992364478763198E-14</v>
      </c>
      <c r="P149" s="14">
        <f t="shared" si="141"/>
        <v>5.790027782444094E-13</v>
      </c>
      <c r="Q149" s="22">
        <f t="shared" si="108"/>
        <v>1.0676332069095257E-12</v>
      </c>
      <c r="R149" s="62">
        <f t="shared" si="109"/>
        <v>293.33333333333439</v>
      </c>
      <c r="S149" s="62">
        <f ca="1">AVERAGE(OFFSET($R$3,0,0,'Données projet'!$E$9+1,1))-AVERAGE(OFFSET($H$3,0,0,'Données projet'!$E$9+1,1))</f>
        <v>179.92943593637102</v>
      </c>
      <c r="T149" s="62">
        <f t="shared" si="142"/>
        <v>449.95981246883593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5.440537915762766</v>
      </c>
      <c r="AA149" s="23">
        <f>EXP(-LN(2)/25)*AA148+(1-EXP(-LN(2)/25))/(LN(2)/25)*Calculateur!V149*Calculateur!X149*VLOOKUP('Données projet'!$B$9,Paramètres!$A$1:$I$89,3,0)*0.475*44/12</f>
        <v>2.2972790157060516</v>
      </c>
      <c r="AB149" s="23">
        <f>EXP(-LN(2)/2)*AB148+(1-EXP(-LN(2)/2))/(LN(2)/2)*V149*Y149*VLOOKUP('Données projet'!$B$9,Paramètres!$A$1:$I$89,3,0)*0.475*44/12</f>
        <v>1.8185643237254003E-16</v>
      </c>
      <c r="AC149" s="24">
        <f t="shared" si="111"/>
        <v>7.7378169314688172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5.6843418860808015E-14</v>
      </c>
      <c r="O150" s="14">
        <f>N150*VLOOKUP('Données projet'!$B$9,Paramètres!$A$1:$I$89,3,0)*VLOOKUP('Données projet'!$B$9,Paramètres!$A$1:$I$89,5,0)</f>
        <v>3.3992364478763198E-14</v>
      </c>
      <c r="P150" s="14">
        <f t="shared" si="141"/>
        <v>5.790027782444094E-13</v>
      </c>
      <c r="Q150" s="22">
        <f t="shared" si="108"/>
        <v>1.0676332069095257E-12</v>
      </c>
      <c r="R150" s="62">
        <f t="shared" si="109"/>
        <v>293.33333333333439</v>
      </c>
      <c r="S150" s="62">
        <f ca="1">AVERAGE(OFFSET($R$3,0,0,'Données projet'!$E$9+1,1))-AVERAGE(OFFSET($H$3,0,0,'Données projet'!$E$9+1,1))</f>
        <v>179.92943593637102</v>
      </c>
      <c r="T150" s="62">
        <f t="shared" si="142"/>
        <v>449.95981246883593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5.333852285635122</v>
      </c>
      <c r="AA150" s="23">
        <f>EXP(-LN(2)/25)*AA149+(1-EXP(-LN(2)/25))/(LN(2)/25)*Calculateur!V150*Calculateur!X150*VLOOKUP('Données projet'!$B$9,Paramètres!$A$1:$I$89,3,0)*0.475*44/12</f>
        <v>2.2344598002129166</v>
      </c>
      <c r="AB150" s="23">
        <f>EXP(-LN(2)/2)*AB149+(1-EXP(-LN(2)/2))/(LN(2)/2)*V150*Y150*VLOOKUP('Données projet'!$B$9,Paramètres!$A$1:$I$89,3,0)*0.475*44/12</f>
        <v>1.2859191653301584E-16</v>
      </c>
      <c r="AC150" s="24">
        <f t="shared" si="111"/>
        <v>7.5683120858480386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5.6843418860808015E-14</v>
      </c>
      <c r="O151" s="14">
        <f>N151*VLOOKUP('Données projet'!$B$9,Paramètres!$A$1:$I$89,3,0)*VLOOKUP('Données projet'!$B$9,Paramètres!$A$1:$I$89,5,0)</f>
        <v>3.3992364478763198E-14</v>
      </c>
      <c r="P151" s="14">
        <f t="shared" si="141"/>
        <v>5.790027782444094E-13</v>
      </c>
      <c r="Q151" s="22">
        <f t="shared" si="108"/>
        <v>1.0676332069095257E-12</v>
      </c>
      <c r="R151" s="62">
        <f t="shared" si="109"/>
        <v>293.33333333333439</v>
      </c>
      <c r="S151" s="62">
        <f ca="1">AVERAGE(OFFSET($R$3,0,0,'Données projet'!$E$9+1,1))-AVERAGE(OFFSET($H$3,0,0,'Données projet'!$E$9+1,1))</f>
        <v>179.92943593637102</v>
      </c>
      <c r="T151" s="62">
        <f t="shared" si="142"/>
        <v>449.95981246883593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5.2292586956424723</v>
      </c>
      <c r="AA151" s="23">
        <f>EXP(-LN(2)/25)*AA150+(1-EXP(-LN(2)/25))/(LN(2)/25)*Calculateur!V151*Calculateur!X151*VLOOKUP('Données projet'!$B$9,Paramètres!$A$1:$I$89,3,0)*0.475*44/12</f>
        <v>2.1733583794709603</v>
      </c>
      <c r="AB151" s="23">
        <f>EXP(-LN(2)/2)*AB150+(1-EXP(-LN(2)/2))/(LN(2)/2)*V151*Y151*VLOOKUP('Données projet'!$B$9,Paramètres!$A$1:$I$89,3,0)*0.475*44/12</f>
        <v>9.0928216186270017E-17</v>
      </c>
      <c r="AC151" s="24">
        <f t="shared" si="111"/>
        <v>7.402617075113433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5.6843418860808015E-14</v>
      </c>
      <c r="O152" s="14">
        <f>N152*VLOOKUP('Données projet'!$B$9,Paramètres!$A$1:$I$89,3,0)*VLOOKUP('Données projet'!$B$9,Paramètres!$A$1:$I$89,5,0)</f>
        <v>3.3992364478763198E-14</v>
      </c>
      <c r="P152" s="14">
        <f t="shared" si="141"/>
        <v>5.790027782444094E-13</v>
      </c>
      <c r="Q152" s="22">
        <f t="shared" si="108"/>
        <v>1.0676332069095257E-12</v>
      </c>
      <c r="R152" s="62">
        <f t="shared" si="109"/>
        <v>293.33333333333439</v>
      </c>
      <c r="S152" s="62">
        <f ca="1">AVERAGE(OFFSET($R$3,0,0,'Données projet'!$E$9+1,1))-AVERAGE(OFFSET($H$3,0,0,'Données projet'!$E$9+1,1))</f>
        <v>179.92943593637102</v>
      </c>
      <c r="T152" s="62">
        <f t="shared" si="142"/>
        <v>449.95981246883593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5.1267161221537876</v>
      </c>
      <c r="AA152" s="23">
        <f>EXP(-LN(2)/25)*AA151+(1-EXP(-LN(2)/25))/(LN(2)/25)*Calculateur!V152*Calculateur!X152*VLOOKUP('Données projet'!$B$9,Paramètres!$A$1:$I$89,3,0)*0.475*44/12</f>
        <v>2.1139277802923768</v>
      </c>
      <c r="AB152" s="23">
        <f>EXP(-LN(2)/2)*AB151+(1-EXP(-LN(2)/2))/(LN(2)/2)*V152*Y152*VLOOKUP('Données projet'!$B$9,Paramètres!$A$1:$I$89,3,0)*0.475*44/12</f>
        <v>6.429595826650792E-17</v>
      </c>
      <c r="AC152" s="24">
        <f t="shared" si="111"/>
        <v>7.2406439024461644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5.6843418860808015E-14</v>
      </c>
      <c r="O153" s="14">
        <f>N153*VLOOKUP('Données projet'!$B$9,Paramètres!$A$1:$I$89,3,0)*VLOOKUP('Données projet'!$B$9,Paramètres!$A$1:$I$89,5,0)</f>
        <v>3.3992364478763198E-14</v>
      </c>
      <c r="P153" s="14">
        <f t="shared" si="141"/>
        <v>5.790027782444094E-13</v>
      </c>
      <c r="Q153" s="22">
        <f t="shared" si="108"/>
        <v>1.0676332069095257E-12</v>
      </c>
      <c r="R153" s="62">
        <f t="shared" si="109"/>
        <v>293.33333333333439</v>
      </c>
      <c r="S153" s="62">
        <f ca="1">AVERAGE(OFFSET($R$3,0,0,'Données projet'!$E$9+1,1))-AVERAGE(OFFSET($H$3,0,0,'Données projet'!$E$9+1,1))</f>
        <v>179.92943593637102</v>
      </c>
      <c r="T153" s="62">
        <f t="shared" si="142"/>
        <v>449.95981246883593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5.0261843459864215</v>
      </c>
      <c r="AA153" s="23">
        <f>EXP(-LN(2)/25)*AA152+(1-EXP(-LN(2)/25))/(LN(2)/25)*Calculateur!V153*Calculateur!X153*VLOOKUP('Données projet'!$B$9,Paramètres!$A$1:$I$89,3,0)*0.475*44/12</f>
        <v>2.0561223139736513</v>
      </c>
      <c r="AB153" s="23">
        <f>EXP(-LN(2)/2)*AB152+(1-EXP(-LN(2)/2))/(LN(2)/2)*V153*Y153*VLOOKUP('Données projet'!$B$9,Paramètres!$A$1:$I$89,3,0)*0.475*44/12</f>
        <v>4.5464108093135008E-17</v>
      </c>
      <c r="AC153" s="24">
        <f t="shared" si="111"/>
        <v>7.0823066599600732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5.6843418860808015E-14</v>
      </c>
      <c r="O154" s="14">
        <f>N154*VLOOKUP('Données projet'!$B$9,Paramètres!$A$1:$I$89,3,0)*VLOOKUP('Données projet'!$B$9,Paramètres!$A$1:$I$89,5,0)</f>
        <v>3.3992364478763198E-14</v>
      </c>
      <c r="P154" s="14">
        <f t="shared" si="141"/>
        <v>5.790027782444094E-13</v>
      </c>
      <c r="Q154" s="22">
        <f t="shared" ref="Q154:Q203" si="162">(O154+P154)*0.475*44/12</f>
        <v>1.0676332069095257E-12</v>
      </c>
      <c r="R154" s="62">
        <f t="shared" si="109"/>
        <v>293.33333333333439</v>
      </c>
      <c r="S154" s="62">
        <f ca="1">AVERAGE(OFFSET($R$3,0,0,'Données projet'!$E$9+1,1))-AVERAGE(OFFSET($H$3,0,0,'Données projet'!$E$9+1,1))</f>
        <v>179.92943593637102</v>
      </c>
      <c r="T154" s="62">
        <f t="shared" si="142"/>
        <v>449.95981246883593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4.9276239366313694</v>
      </c>
      <c r="AA154" s="23">
        <f>EXP(-LN(2)/25)*AA153+(1-EXP(-LN(2)/25))/(LN(2)/25)*Calculateur!V154*Calculateur!X154*VLOOKUP('Données projet'!$B$9,Paramètres!$A$1:$I$89,3,0)*0.475*44/12</f>
        <v>1.9998975411712687</v>
      </c>
      <c r="AB154" s="23">
        <f>EXP(-LN(2)/2)*AB153+(1-EXP(-LN(2)/2))/(LN(2)/2)*V154*Y154*VLOOKUP('Données projet'!$B$9,Paramètres!$A$1:$I$89,3,0)*0.475*44/12</f>
        <v>3.214797913325396E-17</v>
      </c>
      <c r="AC154" s="24">
        <f t="shared" ref="AC154:AC203" si="163">SUM(Z154:AB154)</f>
        <v>6.9275214778026379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5.6843418860808015E-14</v>
      </c>
      <c r="O155" s="14">
        <f>N155*VLOOKUP('Données projet'!$B$9,Paramètres!$A$1:$I$89,3,0)*VLOOKUP('Données projet'!$B$9,Paramètres!$A$1:$I$89,5,0)</f>
        <v>3.3992364478763198E-14</v>
      </c>
      <c r="P155" s="14">
        <f t="shared" si="141"/>
        <v>5.790027782444094E-13</v>
      </c>
      <c r="Q155" s="22">
        <f t="shared" si="162"/>
        <v>1.0676332069095257E-12</v>
      </c>
      <c r="R155" s="62">
        <f t="shared" si="109"/>
        <v>293.33333333333439</v>
      </c>
      <c r="S155" s="62">
        <f ca="1">AVERAGE(OFFSET($R$3,0,0,'Données projet'!$E$9+1,1))-AVERAGE(OFFSET($H$3,0,0,'Données projet'!$E$9+1,1))</f>
        <v>179.92943593637102</v>
      </c>
      <c r="T155" s="62">
        <f t="shared" si="142"/>
        <v>449.95981246883593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4.8309962367878558</v>
      </c>
      <c r="AA155" s="23">
        <f>EXP(-LN(2)/25)*AA154+(1-EXP(-LN(2)/25))/(LN(2)/25)*Calculateur!V155*Calculateur!X155*VLOOKUP('Données projet'!$B$9,Paramètres!$A$1:$I$89,3,0)*0.475*44/12</f>
        <v>1.9452102377378995</v>
      </c>
      <c r="AB155" s="23">
        <f>EXP(-LN(2)/2)*AB154+(1-EXP(-LN(2)/2))/(LN(2)/2)*V155*Y155*VLOOKUP('Données projet'!$B$9,Paramètres!$A$1:$I$89,3,0)*0.475*44/12</f>
        <v>2.2732054046567504E-17</v>
      </c>
      <c r="AC155" s="24">
        <f t="shared" si="163"/>
        <v>6.7762064745257558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5.6843418860808015E-14</v>
      </c>
      <c r="O156" s="14">
        <f>N156*VLOOKUP('Données projet'!$B$9,Paramètres!$A$1:$I$89,3,0)*VLOOKUP('Données projet'!$B$9,Paramètres!$A$1:$I$89,5,0)</f>
        <v>3.3992364478763198E-14</v>
      </c>
      <c r="P156" s="14">
        <f t="shared" si="141"/>
        <v>5.790027782444094E-13</v>
      </c>
      <c r="Q156" s="22">
        <f t="shared" si="162"/>
        <v>1.0676332069095257E-12</v>
      </c>
      <c r="R156" s="62">
        <f t="shared" si="109"/>
        <v>293.33333333333439</v>
      </c>
      <c r="S156" s="62">
        <f ca="1">AVERAGE(OFFSET($R$3,0,0,'Données projet'!$E$9+1,1))-AVERAGE(OFFSET($H$3,0,0,'Données projet'!$E$9+1,1))</f>
        <v>179.92943593637102</v>
      </c>
      <c r="T156" s="62">
        <f t="shared" si="142"/>
        <v>449.95981246883593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4.7362633472011959</v>
      </c>
      <c r="AA156" s="23">
        <f>EXP(-LN(2)/25)*AA155+(1-EXP(-LN(2)/25))/(LN(2)/25)*Calculateur!V156*Calculateur!X156*VLOOKUP('Données projet'!$B$9,Paramètres!$A$1:$I$89,3,0)*0.475*44/12</f>
        <v>1.8920183614927961</v>
      </c>
      <c r="AB156" s="23">
        <f>EXP(-LN(2)/2)*AB155+(1-EXP(-LN(2)/2))/(LN(2)/2)*V156*Y156*VLOOKUP('Données projet'!$B$9,Paramètres!$A$1:$I$89,3,0)*0.475*44/12</f>
        <v>1.607398956662698E-17</v>
      </c>
      <c r="AC156" s="24">
        <f t="shared" si="163"/>
        <v>6.6282817086939918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5.6843418860808015E-14</v>
      </c>
      <c r="O157" s="14">
        <f>N157*VLOOKUP('Données projet'!$B$9,Paramètres!$A$1:$I$89,3,0)*VLOOKUP('Données projet'!$B$9,Paramètres!$A$1:$I$89,5,0)</f>
        <v>3.3992364478763198E-14</v>
      </c>
      <c r="P157" s="14">
        <f t="shared" si="141"/>
        <v>5.790027782444094E-13</v>
      </c>
      <c r="Q157" s="22">
        <f t="shared" si="162"/>
        <v>1.0676332069095257E-12</v>
      </c>
      <c r="R157" s="62">
        <f t="shared" si="109"/>
        <v>293.33333333333439</v>
      </c>
      <c r="S157" s="62">
        <f ca="1">AVERAGE(OFFSET($R$3,0,0,'Données projet'!$E$9+1,1))-AVERAGE(OFFSET($H$3,0,0,'Données projet'!$E$9+1,1))</f>
        <v>179.92943593637102</v>
      </c>
      <c r="T157" s="62">
        <f t="shared" si="142"/>
        <v>449.95981246883593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4.6433881117979734</v>
      </c>
      <c r="AA157" s="23">
        <f>EXP(-LN(2)/25)*AA156+(1-EXP(-LN(2)/25))/(LN(2)/25)*Calculateur!V157*Calculateur!X157*VLOOKUP('Données projet'!$B$9,Paramètres!$A$1:$I$89,3,0)*0.475*44/12</f>
        <v>1.8402810199008544</v>
      </c>
      <c r="AB157" s="23">
        <f>EXP(-LN(2)/2)*AB156+(1-EXP(-LN(2)/2))/(LN(2)/2)*V157*Y157*VLOOKUP('Données projet'!$B$9,Paramètres!$A$1:$I$89,3,0)*0.475*44/12</f>
        <v>1.1366027023283752E-17</v>
      </c>
      <c r="AC157" s="24">
        <f t="shared" si="163"/>
        <v>6.4836691316988277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5.6843418860808015E-14</v>
      </c>
      <c r="O158" s="14">
        <f>N158*VLOOKUP('Données projet'!$B$9,Paramètres!$A$1:$I$89,3,0)*VLOOKUP('Données projet'!$B$9,Paramètres!$A$1:$I$89,5,0)</f>
        <v>3.3992364478763198E-14</v>
      </c>
      <c r="P158" s="14">
        <f t="shared" si="141"/>
        <v>5.790027782444094E-13</v>
      </c>
      <c r="Q158" s="22">
        <f t="shared" si="162"/>
        <v>1.0676332069095257E-12</v>
      </c>
      <c r="R158" s="62">
        <f t="shared" si="109"/>
        <v>293.33333333333439</v>
      </c>
      <c r="S158" s="62">
        <f ca="1">AVERAGE(OFFSET($R$3,0,0,'Données projet'!$E$9+1,1))-AVERAGE(OFFSET($H$3,0,0,'Données projet'!$E$9+1,1))</f>
        <v>179.92943593637102</v>
      </c>
      <c r="T158" s="62">
        <f t="shared" si="142"/>
        <v>449.95981246883593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4.5523341031127078</v>
      </c>
      <c r="AA158" s="23">
        <f>EXP(-LN(2)/25)*AA157+(1-EXP(-LN(2)/25))/(LN(2)/25)*Calculateur!V158*Calculateur!X158*VLOOKUP('Données projet'!$B$9,Paramètres!$A$1:$I$89,3,0)*0.475*44/12</f>
        <v>1.7899584386354928</v>
      </c>
      <c r="AB158" s="23">
        <f>EXP(-LN(2)/2)*AB157+(1-EXP(-LN(2)/2))/(LN(2)/2)*V158*Y158*VLOOKUP('Données projet'!$B$9,Paramètres!$A$1:$I$89,3,0)*0.475*44/12</f>
        <v>8.03699478331349E-18</v>
      </c>
      <c r="AC158" s="24">
        <f t="shared" si="163"/>
        <v>6.3422925417482006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5.6843418860808015E-14</v>
      </c>
      <c r="O159" s="14">
        <f>N159*VLOOKUP('Données projet'!$B$9,Paramètres!$A$1:$I$89,3,0)*VLOOKUP('Données projet'!$B$9,Paramètres!$A$1:$I$89,5,0)</f>
        <v>3.3992364478763198E-14</v>
      </c>
      <c r="P159" s="14">
        <f t="shared" si="141"/>
        <v>5.790027782444094E-13</v>
      </c>
      <c r="Q159" s="22">
        <f t="shared" si="162"/>
        <v>1.0676332069095257E-12</v>
      </c>
      <c r="R159" s="62">
        <f t="shared" si="109"/>
        <v>293.33333333333439</v>
      </c>
      <c r="S159" s="62">
        <f ca="1">AVERAGE(OFFSET($R$3,0,0,'Données projet'!$E$9+1,1))-AVERAGE(OFFSET($H$3,0,0,'Données projet'!$E$9+1,1))</f>
        <v>179.92943593637102</v>
      </c>
      <c r="T159" s="62">
        <f t="shared" si="142"/>
        <v>449.95981246883593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4.4630656080002993</v>
      </c>
      <c r="AA159" s="23">
        <f>EXP(-LN(2)/25)*AA158+(1-EXP(-LN(2)/25))/(LN(2)/25)*Calculateur!V159*Calculateur!X159*VLOOKUP('Données projet'!$B$9,Paramètres!$A$1:$I$89,3,0)*0.475*44/12</f>
        <v>1.741011931001182</v>
      </c>
      <c r="AB159" s="23">
        <f>EXP(-LN(2)/2)*AB158+(1-EXP(-LN(2)/2))/(LN(2)/2)*V159*Y159*VLOOKUP('Données projet'!$B$9,Paramètres!$A$1:$I$89,3,0)*0.475*44/12</f>
        <v>5.683013511641876E-18</v>
      </c>
      <c r="AC159" s="24">
        <f t="shared" si="163"/>
        <v>6.2040775390014815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5.6843418860808015E-14</v>
      </c>
      <c r="O160" s="14">
        <f>N160*VLOOKUP('Données projet'!$B$9,Paramètres!$A$1:$I$89,3,0)*VLOOKUP('Données projet'!$B$9,Paramètres!$A$1:$I$89,5,0)</f>
        <v>3.3992364478763198E-14</v>
      </c>
      <c r="P160" s="14">
        <f t="shared" si="141"/>
        <v>5.790027782444094E-13</v>
      </c>
      <c r="Q160" s="22">
        <f t="shared" si="162"/>
        <v>1.0676332069095257E-12</v>
      </c>
      <c r="R160" s="62">
        <f t="shared" si="109"/>
        <v>293.33333333333439</v>
      </c>
      <c r="S160" s="62">
        <f ca="1">AVERAGE(OFFSET($R$3,0,0,'Données projet'!$E$9+1,1))-AVERAGE(OFFSET($H$3,0,0,'Données projet'!$E$9+1,1))</f>
        <v>179.92943593637102</v>
      </c>
      <c r="T160" s="62">
        <f t="shared" si="142"/>
        <v>449.95981246883593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4.3755476136286395</v>
      </c>
      <c r="AA160" s="23">
        <f>EXP(-LN(2)/25)*AA159+(1-EXP(-LN(2)/25))/(LN(2)/25)*Calculateur!V160*Calculateur!X160*VLOOKUP('Données projet'!$B$9,Paramètres!$A$1:$I$89,3,0)*0.475*44/12</f>
        <v>1.6934038681921164</v>
      </c>
      <c r="AB160" s="23">
        <f>EXP(-LN(2)/2)*AB159+(1-EXP(-LN(2)/2))/(LN(2)/2)*V160*Y160*VLOOKUP('Données projet'!$B$9,Paramètres!$A$1:$I$89,3,0)*0.475*44/12</f>
        <v>4.018497391656745E-18</v>
      </c>
      <c r="AC160" s="24">
        <f t="shared" si="163"/>
        <v>6.0689514818207559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5.6843418860808015E-14</v>
      </c>
      <c r="O161" s="14">
        <f>N161*VLOOKUP('Données projet'!$B$9,Paramètres!$A$1:$I$89,3,0)*VLOOKUP('Données projet'!$B$9,Paramètres!$A$1:$I$89,5,0)</f>
        <v>3.3992364478763198E-14</v>
      </c>
      <c r="P161" s="14">
        <f t="shared" si="141"/>
        <v>5.790027782444094E-13</v>
      </c>
      <c r="Q161" s="22">
        <f t="shared" si="162"/>
        <v>1.0676332069095257E-12</v>
      </c>
      <c r="R161" s="62">
        <f t="shared" si="109"/>
        <v>293.33333333333439</v>
      </c>
      <c r="S161" s="62">
        <f ca="1">AVERAGE(OFFSET($R$3,0,0,'Données projet'!$E$9+1,1))-AVERAGE(OFFSET($H$3,0,0,'Données projet'!$E$9+1,1))</f>
        <v>179.92943593637102</v>
      </c>
      <c r="T161" s="62">
        <f t="shared" si="142"/>
        <v>449.95981246883593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4.2897457937459018</v>
      </c>
      <c r="AA161" s="23">
        <f>EXP(-LN(2)/25)*AA160+(1-EXP(-LN(2)/25))/(LN(2)/25)*Calculateur!V161*Calculateur!X161*VLOOKUP('Données projet'!$B$9,Paramètres!$A$1:$I$89,3,0)*0.475*44/12</f>
        <v>1.6470976503641639</v>
      </c>
      <c r="AB161" s="23">
        <f>EXP(-LN(2)/2)*AB160+(1-EXP(-LN(2)/2))/(LN(2)/2)*V161*Y161*VLOOKUP('Données projet'!$B$9,Paramètres!$A$1:$I$89,3,0)*0.475*44/12</f>
        <v>2.841506755820938E-18</v>
      </c>
      <c r="AC161" s="24">
        <f t="shared" si="163"/>
        <v>5.9368434441100657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5.6843418860808015E-14</v>
      </c>
      <c r="O162" s="14">
        <f>N162*VLOOKUP('Données projet'!$B$9,Paramètres!$A$1:$I$89,3,0)*VLOOKUP('Données projet'!$B$9,Paramètres!$A$1:$I$89,5,0)</f>
        <v>3.3992364478763198E-14</v>
      </c>
      <c r="P162" s="14">
        <f t="shared" si="141"/>
        <v>5.790027782444094E-13</v>
      </c>
      <c r="Q162" s="22">
        <f t="shared" si="162"/>
        <v>1.0676332069095257E-12</v>
      </c>
      <c r="R162" s="62">
        <f t="shared" si="109"/>
        <v>293.33333333333439</v>
      </c>
      <c r="S162" s="62">
        <f ca="1">AVERAGE(OFFSET($R$3,0,0,'Données projet'!$E$9+1,1))-AVERAGE(OFFSET($H$3,0,0,'Données projet'!$E$9+1,1))</f>
        <v>179.92943593637102</v>
      </c>
      <c r="T162" s="62">
        <f t="shared" si="142"/>
        <v>449.95981246883593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4.2056264952171221</v>
      </c>
      <c r="AA162" s="23">
        <f>EXP(-LN(2)/25)*AA161+(1-EXP(-LN(2)/25))/(LN(2)/25)*Calculateur!V162*Calculateur!X162*VLOOKUP('Données projet'!$B$9,Paramètres!$A$1:$I$89,3,0)*0.475*44/12</f>
        <v>1.6020576784978549</v>
      </c>
      <c r="AB162" s="23">
        <f>EXP(-LN(2)/2)*AB161+(1-EXP(-LN(2)/2))/(LN(2)/2)*V162*Y162*VLOOKUP('Données projet'!$B$9,Paramètres!$A$1:$I$89,3,0)*0.475*44/12</f>
        <v>2.0092486958283725E-18</v>
      </c>
      <c r="AC162" s="24">
        <f t="shared" si="163"/>
        <v>5.8076841737149767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5.6843418860808015E-14</v>
      </c>
      <c r="O163" s="14">
        <f>N163*VLOOKUP('Données projet'!$B$9,Paramètres!$A$1:$I$89,3,0)*VLOOKUP('Données projet'!$B$9,Paramètres!$A$1:$I$89,5,0)</f>
        <v>3.3992364478763198E-14</v>
      </c>
      <c r="P163" s="14">
        <f t="shared" si="141"/>
        <v>5.790027782444094E-13</v>
      </c>
      <c r="Q163" s="22">
        <f t="shared" si="162"/>
        <v>1.0676332069095257E-12</v>
      </c>
      <c r="R163" s="62">
        <f t="shared" si="109"/>
        <v>293.33333333333439</v>
      </c>
      <c r="S163" s="62">
        <f ca="1">AVERAGE(OFFSET($R$3,0,0,'Données projet'!$E$9+1,1))-AVERAGE(OFFSET($H$3,0,0,'Données projet'!$E$9+1,1))</f>
        <v>179.92943593637102</v>
      </c>
      <c r="T163" s="62">
        <f t="shared" si="142"/>
        <v>449.95981246883593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4.1231567248247858</v>
      </c>
      <c r="AA163" s="23">
        <f>EXP(-LN(2)/25)*AA162+(1-EXP(-LN(2)/25))/(LN(2)/25)*Calculateur!V163*Calculateur!X163*VLOOKUP('Données projet'!$B$9,Paramètres!$A$1:$I$89,3,0)*0.475*44/12</f>
        <v>1.5582493270307793</v>
      </c>
      <c r="AB163" s="23">
        <f>EXP(-LN(2)/2)*AB162+(1-EXP(-LN(2)/2))/(LN(2)/2)*V163*Y163*VLOOKUP('Données projet'!$B$9,Paramètres!$A$1:$I$89,3,0)*0.475*44/12</f>
        <v>1.420753377910469E-18</v>
      </c>
      <c r="AC163" s="24">
        <f t="shared" si="163"/>
        <v>5.6814060518555651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5.6843418860808015E-14</v>
      </c>
      <c r="O164" s="14">
        <f>N164*VLOOKUP('Données projet'!$B$9,Paramètres!$A$1:$I$89,3,0)*VLOOKUP('Données projet'!$B$9,Paramètres!$A$1:$I$89,5,0)</f>
        <v>3.3992364478763198E-14</v>
      </c>
      <c r="P164" s="14">
        <f t="shared" si="141"/>
        <v>5.790027782444094E-13</v>
      </c>
      <c r="Q164" s="22">
        <f t="shared" si="162"/>
        <v>1.0676332069095257E-12</v>
      </c>
      <c r="R164" s="62">
        <f t="shared" si="109"/>
        <v>293.33333333333439</v>
      </c>
      <c r="S164" s="62">
        <f ca="1">AVERAGE(OFFSET($R$3,0,0,'Données projet'!$E$9+1,1))-AVERAGE(OFFSET($H$3,0,0,'Données projet'!$E$9+1,1))</f>
        <v>179.92943593637102</v>
      </c>
      <c r="T164" s="62">
        <f t="shared" si="142"/>
        <v>449.95981246883593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4.0423041363282506</v>
      </c>
      <c r="AA164" s="23">
        <f>EXP(-LN(2)/25)*AA163+(1-EXP(-LN(2)/25))/(LN(2)/25)*Calculateur!V164*Calculateur!X164*VLOOKUP('Données projet'!$B$9,Paramètres!$A$1:$I$89,3,0)*0.475*44/12</f>
        <v>1.515638917238352</v>
      </c>
      <c r="AB164" s="23">
        <f>EXP(-LN(2)/2)*AB163+(1-EXP(-LN(2)/2))/(LN(2)/2)*V164*Y164*VLOOKUP('Données projet'!$B$9,Paramètres!$A$1:$I$89,3,0)*0.475*44/12</f>
        <v>1.0046243479141863E-18</v>
      </c>
      <c r="AC164" s="24">
        <f t="shared" si="163"/>
        <v>5.5579430535666026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5.6843418860808015E-14</v>
      </c>
      <c r="O165" s="14">
        <f>N165*VLOOKUP('Données projet'!$B$9,Paramètres!$A$1:$I$89,3,0)*VLOOKUP('Données projet'!$B$9,Paramètres!$A$1:$I$89,5,0)</f>
        <v>3.3992364478763198E-14</v>
      </c>
      <c r="P165" s="14">
        <f t="shared" si="141"/>
        <v>5.790027782444094E-13</v>
      </c>
      <c r="Q165" s="22">
        <f t="shared" si="162"/>
        <v>1.0676332069095257E-12</v>
      </c>
      <c r="R165" s="62">
        <f t="shared" si="109"/>
        <v>293.33333333333439</v>
      </c>
      <c r="S165" s="62">
        <f ca="1">AVERAGE(OFFSET($R$3,0,0,'Données projet'!$E$9+1,1))-AVERAGE(OFFSET($H$3,0,0,'Données projet'!$E$9+1,1))</f>
        <v>179.92943593637102</v>
      </c>
      <c r="T165" s="62">
        <f t="shared" si="142"/>
        <v>449.95981246883593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3.9630370177769225</v>
      </c>
      <c r="AA165" s="23">
        <f>EXP(-LN(2)/25)*AA164+(1-EXP(-LN(2)/25))/(LN(2)/25)*Calculateur!V165*Calculateur!X165*VLOOKUP('Données projet'!$B$9,Paramètres!$A$1:$I$89,3,0)*0.475*44/12</f>
        <v>1.4741936913424827</v>
      </c>
      <c r="AB165" s="23">
        <f>EXP(-LN(2)/2)*AB164+(1-EXP(-LN(2)/2))/(LN(2)/2)*V165*Y165*VLOOKUP('Données projet'!$B$9,Paramètres!$A$1:$I$89,3,0)*0.475*44/12</f>
        <v>7.103766889552345E-19</v>
      </c>
      <c r="AC165" s="24">
        <f t="shared" si="163"/>
        <v>5.4372307091194054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5.6843418860808015E-14</v>
      </c>
      <c r="O166" s="14">
        <f>N166*VLOOKUP('Données projet'!$B$9,Paramètres!$A$1:$I$89,3,0)*VLOOKUP('Données projet'!$B$9,Paramètres!$A$1:$I$89,5,0)</f>
        <v>3.3992364478763198E-14</v>
      </c>
      <c r="P166" s="14">
        <f t="shared" si="141"/>
        <v>5.790027782444094E-13</v>
      </c>
      <c r="Q166" s="22">
        <f t="shared" si="162"/>
        <v>1.0676332069095257E-12</v>
      </c>
      <c r="R166" s="62">
        <f t="shared" si="109"/>
        <v>293.33333333333439</v>
      </c>
      <c r="S166" s="62">
        <f ca="1">AVERAGE(OFFSET($R$3,0,0,'Données projet'!$E$9+1,1))-AVERAGE(OFFSET($H$3,0,0,'Données projet'!$E$9+1,1))</f>
        <v>179.92943593637102</v>
      </c>
      <c r="T166" s="62">
        <f t="shared" si="142"/>
        <v>449.95981246883593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3.885324279072218</v>
      </c>
      <c r="AA166" s="23">
        <f>EXP(-LN(2)/25)*AA165+(1-EXP(-LN(2)/25))/(LN(2)/25)*Calculateur!V166*Calculateur!X166*VLOOKUP('Données projet'!$B$9,Paramètres!$A$1:$I$89,3,0)*0.475*44/12</f>
        <v>1.4338817873282457</v>
      </c>
      <c r="AB166" s="23">
        <f>EXP(-LN(2)/2)*AB165+(1-EXP(-LN(2)/2))/(LN(2)/2)*V166*Y166*VLOOKUP('Données projet'!$B$9,Paramètres!$A$1:$I$89,3,0)*0.475*44/12</f>
        <v>5.0231217395709313E-19</v>
      </c>
      <c r="AC166" s="24">
        <f t="shared" si="163"/>
        <v>5.3192060664004632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5.6843418860808015E-14</v>
      </c>
      <c r="O167" s="14">
        <f>N167*VLOOKUP('Données projet'!$B$9,Paramètres!$A$1:$I$89,3,0)*VLOOKUP('Données projet'!$B$9,Paramètres!$A$1:$I$89,5,0)</f>
        <v>3.3992364478763198E-14</v>
      </c>
      <c r="P167" s="14">
        <f t="shared" si="141"/>
        <v>5.790027782444094E-13</v>
      </c>
      <c r="Q167" s="22">
        <f t="shared" si="162"/>
        <v>1.0676332069095257E-12</v>
      </c>
      <c r="R167" s="62">
        <f t="shared" si="109"/>
        <v>293.33333333333439</v>
      </c>
      <c r="S167" s="62">
        <f ca="1">AVERAGE(OFFSET($R$3,0,0,'Données projet'!$E$9+1,1))-AVERAGE(OFFSET($H$3,0,0,'Données projet'!$E$9+1,1))</f>
        <v>179.92943593637102</v>
      </c>
      <c r="T167" s="62">
        <f t="shared" si="142"/>
        <v>449.95981246883593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3.8091354397734225</v>
      </c>
      <c r="AA167" s="23">
        <f>EXP(-LN(2)/25)*AA166+(1-EXP(-LN(2)/25))/(LN(2)/25)*Calculateur!V167*Calculateur!X167*VLOOKUP('Données projet'!$B$9,Paramètres!$A$1:$I$89,3,0)*0.475*44/12</f>
        <v>1.3946722144491888</v>
      </c>
      <c r="AB167" s="23">
        <f>EXP(-LN(2)/2)*AB166+(1-EXP(-LN(2)/2))/(LN(2)/2)*V167*Y167*VLOOKUP('Données projet'!$B$9,Paramètres!$A$1:$I$89,3,0)*0.475*44/12</f>
        <v>3.5518834447761725E-19</v>
      </c>
      <c r="AC167" s="24">
        <f t="shared" si="163"/>
        <v>5.2038076542226115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5.6843418860808015E-14</v>
      </c>
      <c r="O168" s="14">
        <f>N168*VLOOKUP('Données projet'!$B$9,Paramètres!$A$1:$I$89,3,0)*VLOOKUP('Données projet'!$B$9,Paramètres!$A$1:$I$89,5,0)</f>
        <v>3.3992364478763198E-14</v>
      </c>
      <c r="P168" s="14">
        <f t="shared" si="141"/>
        <v>5.790027782444094E-13</v>
      </c>
      <c r="Q168" s="22">
        <f t="shared" si="162"/>
        <v>1.0676332069095257E-12</v>
      </c>
      <c r="R168" s="62">
        <f t="shared" si="109"/>
        <v>293.33333333333439</v>
      </c>
      <c r="S168" s="62">
        <f ca="1">AVERAGE(OFFSET($R$3,0,0,'Données projet'!$E$9+1,1))-AVERAGE(OFFSET($H$3,0,0,'Données projet'!$E$9+1,1))</f>
        <v>179.92943593637102</v>
      </c>
      <c r="T168" s="62">
        <f t="shared" si="142"/>
        <v>449.95981246883593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3.7344406171426727</v>
      </c>
      <c r="AA168" s="23">
        <f>EXP(-LN(2)/25)*AA167+(1-EXP(-LN(2)/25))/(LN(2)/25)*Calculateur!V168*Calculateur!X168*VLOOKUP('Données projet'!$B$9,Paramètres!$A$1:$I$89,3,0)*0.475*44/12</f>
        <v>1.3565348294024515</v>
      </c>
      <c r="AB168" s="23">
        <f>EXP(-LN(2)/2)*AB167+(1-EXP(-LN(2)/2))/(LN(2)/2)*V168*Y168*VLOOKUP('Données projet'!$B$9,Paramètres!$A$1:$I$89,3,0)*0.475*44/12</f>
        <v>2.5115608697854656E-19</v>
      </c>
      <c r="AC168" s="24">
        <f t="shared" si="163"/>
        <v>5.0909754465451247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5.6843418860808015E-14</v>
      </c>
      <c r="O169" s="14">
        <f>N169*VLOOKUP('Données projet'!$B$9,Paramètres!$A$1:$I$89,3,0)*VLOOKUP('Données projet'!$B$9,Paramètres!$A$1:$I$89,5,0)</f>
        <v>3.3992364478763198E-14</v>
      </c>
      <c r="P169" s="14">
        <f t="shared" si="141"/>
        <v>5.790027782444094E-13</v>
      </c>
      <c r="Q169" s="22">
        <f t="shared" si="162"/>
        <v>1.0676332069095257E-12</v>
      </c>
      <c r="R169" s="62">
        <f t="shared" si="109"/>
        <v>293.33333333333439</v>
      </c>
      <c r="S169" s="62">
        <f ca="1">AVERAGE(OFFSET($R$3,0,0,'Données projet'!$E$9+1,1))-AVERAGE(OFFSET($H$3,0,0,'Données projet'!$E$9+1,1))</f>
        <v>179.92943593637102</v>
      </c>
      <c r="T169" s="62">
        <f t="shared" si="142"/>
        <v>449.95981246883593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3.661210514424369</v>
      </c>
      <c r="AA169" s="23">
        <f>EXP(-LN(2)/25)*AA168+(1-EXP(-LN(2)/25))/(LN(2)/25)*Calculateur!V169*Calculateur!X169*VLOOKUP('Données projet'!$B$9,Paramètres!$A$1:$I$89,3,0)*0.475*44/12</f>
        <v>1.3194403131553751</v>
      </c>
      <c r="AB169" s="23">
        <f>EXP(-LN(2)/2)*AB168+(1-EXP(-LN(2)/2))/(LN(2)/2)*V169*Y169*VLOOKUP('Données projet'!$B$9,Paramètres!$A$1:$I$89,3,0)*0.475*44/12</f>
        <v>1.7759417223880863E-19</v>
      </c>
      <c r="AC169" s="24">
        <f t="shared" si="163"/>
        <v>4.9806508275797441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5.6843418860808015E-14</v>
      </c>
      <c r="O170" s="14">
        <f>N170*VLOOKUP('Données projet'!$B$9,Paramètres!$A$1:$I$89,3,0)*VLOOKUP('Données projet'!$B$9,Paramètres!$A$1:$I$89,5,0)</f>
        <v>3.3992364478763198E-14</v>
      </c>
      <c r="P170" s="14">
        <f t="shared" si="141"/>
        <v>5.790027782444094E-13</v>
      </c>
      <c r="Q170" s="22">
        <f t="shared" si="162"/>
        <v>1.0676332069095257E-12</v>
      </c>
      <c r="R170" s="62">
        <f t="shared" si="109"/>
        <v>293.33333333333439</v>
      </c>
      <c r="S170" s="62">
        <f ca="1">AVERAGE(OFFSET($R$3,0,0,'Données projet'!$E$9+1,1))-AVERAGE(OFFSET($H$3,0,0,'Données projet'!$E$9+1,1))</f>
        <v>179.92943593637102</v>
      </c>
      <c r="T170" s="62">
        <f t="shared" si="142"/>
        <v>449.95981246883593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3.5894164093544187</v>
      </c>
      <c r="AA170" s="23">
        <f>EXP(-LN(2)/25)*AA169+(1-EXP(-LN(2)/25))/(LN(2)/25)*Calculateur!V170*Calculateur!X170*VLOOKUP('Données projet'!$B$9,Paramètres!$A$1:$I$89,3,0)*0.475*44/12</f>
        <v>1.283360148405791</v>
      </c>
      <c r="AB170" s="23">
        <f>EXP(-LN(2)/2)*AB169+(1-EXP(-LN(2)/2))/(LN(2)/2)*V170*Y170*VLOOKUP('Données projet'!$B$9,Paramètres!$A$1:$I$89,3,0)*0.475*44/12</f>
        <v>1.2557804348927328E-19</v>
      </c>
      <c r="AC170" s="24">
        <f t="shared" si="163"/>
        <v>4.8727765577602096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5.6843418860808015E-14</v>
      </c>
      <c r="O171" s="14">
        <f>N171*VLOOKUP('Données projet'!$B$9,Paramètres!$A$1:$I$89,3,0)*VLOOKUP('Données projet'!$B$9,Paramètres!$A$1:$I$89,5,0)</f>
        <v>3.3992364478763198E-14</v>
      </c>
      <c r="P171" s="14">
        <f t="shared" si="141"/>
        <v>5.790027782444094E-13</v>
      </c>
      <c r="Q171" s="22">
        <f t="shared" si="162"/>
        <v>1.0676332069095257E-12</v>
      </c>
      <c r="R171" s="62">
        <f t="shared" si="109"/>
        <v>293.33333333333439</v>
      </c>
      <c r="S171" s="62">
        <f ca="1">AVERAGE(OFFSET($R$3,0,0,'Données projet'!$E$9+1,1))-AVERAGE(OFFSET($H$3,0,0,'Données projet'!$E$9+1,1))</f>
        <v>179.92943593637102</v>
      </c>
      <c r="T171" s="62">
        <f t="shared" si="142"/>
        <v>449.95981246883593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3.5190301428948101</v>
      </c>
      <c r="AA171" s="23">
        <f>EXP(-LN(2)/25)*AA170+(1-EXP(-LN(2)/25))/(LN(2)/25)*Calculateur!V171*Calculateur!X171*VLOOKUP('Données projet'!$B$9,Paramètres!$A$1:$I$89,3,0)*0.475*44/12</f>
        <v>1.2482665976586576</v>
      </c>
      <c r="AB171" s="23">
        <f>EXP(-LN(2)/2)*AB170+(1-EXP(-LN(2)/2))/(LN(2)/2)*V171*Y171*VLOOKUP('Données projet'!$B$9,Paramètres!$A$1:$I$89,3,0)*0.475*44/12</f>
        <v>8.8797086119404313E-20</v>
      </c>
      <c r="AC171" s="24">
        <f t="shared" si="163"/>
        <v>4.7672967405534674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5.6843418860808015E-14</v>
      </c>
      <c r="O172" s="14">
        <f>N172*VLOOKUP('Données projet'!$B$9,Paramètres!$A$1:$I$89,3,0)*VLOOKUP('Données projet'!$B$9,Paramètres!$A$1:$I$89,5,0)</f>
        <v>3.3992364478763198E-14</v>
      </c>
      <c r="P172" s="14">
        <f t="shared" si="141"/>
        <v>5.790027782444094E-13</v>
      </c>
      <c r="Q172" s="22">
        <f t="shared" si="162"/>
        <v>1.0676332069095257E-12</v>
      </c>
      <c r="R172" s="62">
        <f t="shared" si="109"/>
        <v>293.33333333333439</v>
      </c>
      <c r="S172" s="62">
        <f ca="1">AVERAGE(OFFSET($R$3,0,0,'Données projet'!$E$9+1,1))-AVERAGE(OFFSET($H$3,0,0,'Données projet'!$E$9+1,1))</f>
        <v>179.92943593637102</v>
      </c>
      <c r="T172" s="62">
        <f t="shared" si="142"/>
        <v>449.95981246883593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3.450024108189091</v>
      </c>
      <c r="AA172" s="23">
        <f>EXP(-LN(2)/25)*AA171+(1-EXP(-LN(2)/25))/(LN(2)/25)*Calculateur!V172*Calculateur!X172*VLOOKUP('Données projet'!$B$9,Paramètres!$A$1:$I$89,3,0)*0.475*44/12</f>
        <v>1.214132681902194</v>
      </c>
      <c r="AB172" s="23">
        <f>EXP(-LN(2)/2)*AB171+(1-EXP(-LN(2)/2))/(LN(2)/2)*V172*Y172*VLOOKUP('Données projet'!$B$9,Paramètres!$A$1:$I$89,3,0)*0.475*44/12</f>
        <v>6.2789021744636641E-20</v>
      </c>
      <c r="AC172" s="24">
        <f t="shared" si="163"/>
        <v>4.664156790091285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5.6843418860808015E-14</v>
      </c>
      <c r="O173" s="14">
        <f>N173*VLOOKUP('Données projet'!$B$9,Paramètres!$A$1:$I$89,3,0)*VLOOKUP('Données projet'!$B$9,Paramètres!$A$1:$I$89,5,0)</f>
        <v>3.3992364478763198E-14</v>
      </c>
      <c r="P173" s="14">
        <f t="shared" si="141"/>
        <v>5.790027782444094E-13</v>
      </c>
      <c r="Q173" s="22">
        <f t="shared" si="162"/>
        <v>1.0676332069095257E-12</v>
      </c>
      <c r="R173" s="62">
        <f t="shared" si="109"/>
        <v>293.33333333333439</v>
      </c>
      <c r="S173" s="62">
        <f ca="1">AVERAGE(OFFSET($R$3,0,0,'Données projet'!$E$9+1,1))-AVERAGE(OFFSET($H$3,0,0,'Données projet'!$E$9+1,1))</f>
        <v>179.92943593637102</v>
      </c>
      <c r="T173" s="62">
        <f t="shared" si="142"/>
        <v>449.95981246883593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3.3823712397344257</v>
      </c>
      <c r="AA173" s="23">
        <f>EXP(-LN(2)/25)*AA172+(1-EXP(-LN(2)/25))/(LN(2)/25)*Calculateur!V173*Calculateur!X173*VLOOKUP('Données projet'!$B$9,Paramètres!$A$1:$I$89,3,0)*0.475*44/12</f>
        <v>1.1809321598671156</v>
      </c>
      <c r="AB173" s="23">
        <f>EXP(-LN(2)/2)*AB172+(1-EXP(-LN(2)/2))/(LN(2)/2)*V173*Y173*VLOOKUP('Données projet'!$B$9,Paramètres!$A$1:$I$89,3,0)*0.475*44/12</f>
        <v>4.4398543059702157E-20</v>
      </c>
      <c r="AC173" s="24">
        <f t="shared" si="163"/>
        <v>4.5633033996015415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5.6843418860808015E-14</v>
      </c>
      <c r="O174" s="14">
        <f>N174*VLOOKUP('Données projet'!$B$9,Paramètres!$A$1:$I$89,3,0)*VLOOKUP('Données projet'!$B$9,Paramètres!$A$1:$I$89,5,0)</f>
        <v>3.3992364478763198E-14</v>
      </c>
      <c r="P174" s="14">
        <f t="shared" si="141"/>
        <v>5.790027782444094E-13</v>
      </c>
      <c r="Q174" s="22">
        <f t="shared" si="162"/>
        <v>1.0676332069095257E-12</v>
      </c>
      <c r="R174" s="62">
        <f t="shared" si="109"/>
        <v>293.33333333333439</v>
      </c>
      <c r="S174" s="62">
        <f ca="1">AVERAGE(OFFSET($R$3,0,0,'Données projet'!$E$9+1,1))-AVERAGE(OFFSET($H$3,0,0,'Données projet'!$E$9+1,1))</f>
        <v>179.92943593637102</v>
      </c>
      <c r="T174" s="62">
        <f t="shared" si="142"/>
        <v>449.95981246883593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3.3160450027659811</v>
      </c>
      <c r="AA174" s="23">
        <f>EXP(-LN(2)/25)*AA173+(1-EXP(-LN(2)/25))/(LN(2)/25)*Calculateur!V174*Calculateur!X174*VLOOKUP('Données projet'!$B$9,Paramètres!$A$1:$I$89,3,0)*0.475*44/12</f>
        <v>1.148639507853026</v>
      </c>
      <c r="AB174" s="23">
        <f>EXP(-LN(2)/2)*AB173+(1-EXP(-LN(2)/2))/(LN(2)/2)*V174*Y174*VLOOKUP('Données projet'!$B$9,Paramètres!$A$1:$I$89,3,0)*0.475*44/12</f>
        <v>3.139451087231832E-20</v>
      </c>
      <c r="AC174" s="24">
        <f t="shared" si="163"/>
        <v>4.4646845106190067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5.6843418860808015E-14</v>
      </c>
      <c r="O175" s="14">
        <f>N175*VLOOKUP('Données projet'!$B$9,Paramètres!$A$1:$I$89,3,0)*VLOOKUP('Données projet'!$B$9,Paramètres!$A$1:$I$89,5,0)</f>
        <v>3.3992364478763198E-14</v>
      </c>
      <c r="P175" s="14">
        <f t="shared" si="141"/>
        <v>5.790027782444094E-13</v>
      </c>
      <c r="Q175" s="22">
        <f t="shared" si="162"/>
        <v>1.0676332069095257E-12</v>
      </c>
      <c r="R175" s="62">
        <f t="shared" si="109"/>
        <v>293.33333333333439</v>
      </c>
      <c r="S175" s="62">
        <f ca="1">AVERAGE(OFFSET($R$3,0,0,'Données projet'!$E$9+1,1))-AVERAGE(OFFSET($H$3,0,0,'Données projet'!$E$9+1,1))</f>
        <v>179.92943593637102</v>
      </c>
      <c r="T175" s="62">
        <f t="shared" si="142"/>
        <v>449.95981246883593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3.2510193828494778</v>
      </c>
      <c r="AA175" s="23">
        <f>EXP(-LN(2)/25)*AA174+(1-EXP(-LN(2)/25))/(LN(2)/25)*Calculateur!V175*Calculateur!X175*VLOOKUP('Données projet'!$B$9,Paramètres!$A$1:$I$89,3,0)*0.475*44/12</f>
        <v>1.1172299001064585</v>
      </c>
      <c r="AB175" s="23">
        <f>EXP(-LN(2)/2)*AB174+(1-EXP(-LN(2)/2))/(LN(2)/2)*V175*Y175*VLOOKUP('Données projet'!$B$9,Paramètres!$A$1:$I$89,3,0)*0.475*44/12</f>
        <v>2.2199271529851078E-20</v>
      </c>
      <c r="AC175" s="24">
        <f t="shared" si="163"/>
        <v>4.3682492829559365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5.6843418860808015E-14</v>
      </c>
      <c r="O176" s="14">
        <f>N176*VLOOKUP('Données projet'!$B$9,Paramètres!$A$1:$I$89,3,0)*VLOOKUP('Données projet'!$B$9,Paramètres!$A$1:$I$89,5,0)</f>
        <v>3.3992364478763198E-14</v>
      </c>
      <c r="P176" s="14">
        <f t="shared" si="141"/>
        <v>5.790027782444094E-13</v>
      </c>
      <c r="Q176" s="22">
        <f t="shared" si="162"/>
        <v>1.0676332069095257E-12</v>
      </c>
      <c r="R176" s="62">
        <f t="shared" si="109"/>
        <v>293.33333333333439</v>
      </c>
      <c r="S176" s="62">
        <f ca="1">AVERAGE(OFFSET($R$3,0,0,'Données projet'!$E$9+1,1))-AVERAGE(OFFSET($H$3,0,0,'Données projet'!$E$9+1,1))</f>
        <v>179.92943593637102</v>
      </c>
      <c r="T176" s="62">
        <f t="shared" si="142"/>
        <v>449.95981246883593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3.1872688756778254</v>
      </c>
      <c r="AA176" s="23">
        <f>EXP(-LN(2)/25)*AA175+(1-EXP(-LN(2)/25))/(LN(2)/25)*Calculateur!V176*Calculateur!X176*VLOOKUP('Données projet'!$B$9,Paramètres!$A$1:$I$89,3,0)*0.475*44/12</f>
        <v>1.0866791897354804</v>
      </c>
      <c r="AB176" s="23">
        <f>EXP(-LN(2)/2)*AB175+(1-EXP(-LN(2)/2))/(LN(2)/2)*V176*Y176*VLOOKUP('Données projet'!$B$9,Paramètres!$A$1:$I$89,3,0)*0.475*44/12</f>
        <v>1.569725543615916E-20</v>
      </c>
      <c r="AC176" s="24">
        <f t="shared" si="163"/>
        <v>4.2739480654133057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5.6843418860808015E-14</v>
      </c>
      <c r="O177" s="14">
        <f>N177*VLOOKUP('Données projet'!$B$9,Paramètres!$A$1:$I$89,3,0)*VLOOKUP('Données projet'!$B$9,Paramètres!$A$1:$I$89,5,0)</f>
        <v>3.3992364478763198E-14</v>
      </c>
      <c r="P177" s="14">
        <f t="shared" si="141"/>
        <v>5.790027782444094E-13</v>
      </c>
      <c r="Q177" s="22">
        <f t="shared" si="162"/>
        <v>1.0676332069095257E-12</v>
      </c>
      <c r="R177" s="62">
        <f t="shared" si="109"/>
        <v>293.33333333333439</v>
      </c>
      <c r="S177" s="62">
        <f ca="1">AVERAGE(OFFSET($R$3,0,0,'Données projet'!$E$9+1,1))-AVERAGE(OFFSET($H$3,0,0,'Données projet'!$E$9+1,1))</f>
        <v>179.92943593637102</v>
      </c>
      <c r="T177" s="62">
        <f t="shared" si="142"/>
        <v>449.95981246883593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3.124768477067839</v>
      </c>
      <c r="AA177" s="23">
        <f>EXP(-LN(2)/25)*AA176+(1-EXP(-LN(2)/25))/(LN(2)/25)*Calculateur!V177*Calculateur!X177*VLOOKUP('Données projet'!$B$9,Paramètres!$A$1:$I$89,3,0)*0.475*44/12</f>
        <v>1.0569638901461886</v>
      </c>
      <c r="AB177" s="23">
        <f>EXP(-LN(2)/2)*AB176+(1-EXP(-LN(2)/2))/(LN(2)/2)*V177*Y177*VLOOKUP('Données projet'!$B$9,Paramètres!$A$1:$I$89,3,0)*0.475*44/12</f>
        <v>1.1099635764925539E-20</v>
      </c>
      <c r="AC177" s="24">
        <f t="shared" si="163"/>
        <v>4.1817323672140274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5.6843418860808015E-14</v>
      </c>
      <c r="O178" s="14">
        <f>N178*VLOOKUP('Données projet'!$B$9,Paramètres!$A$1:$I$89,3,0)*VLOOKUP('Données projet'!$B$9,Paramètres!$A$1:$I$89,5,0)</f>
        <v>3.3992364478763198E-14</v>
      </c>
      <c r="P178" s="14">
        <f t="shared" si="141"/>
        <v>5.790027782444094E-13</v>
      </c>
      <c r="Q178" s="22">
        <f t="shared" si="162"/>
        <v>1.0676332069095257E-12</v>
      </c>
      <c r="R178" s="62">
        <f t="shared" si="109"/>
        <v>293.33333333333439</v>
      </c>
      <c r="S178" s="62">
        <f ca="1">AVERAGE(OFFSET($R$3,0,0,'Données projet'!$E$9+1,1))-AVERAGE(OFFSET($H$3,0,0,'Données projet'!$E$9+1,1))</f>
        <v>179.92943593637102</v>
      </c>
      <c r="T178" s="62">
        <f t="shared" si="142"/>
        <v>449.95981246883593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3.0634936731531157</v>
      </c>
      <c r="AA178" s="23">
        <f>EXP(-LN(2)/25)*AA177+(1-EXP(-LN(2)/25))/(LN(2)/25)*Calculateur!V178*Calculateur!X178*VLOOKUP('Données projet'!$B$9,Paramètres!$A$1:$I$89,3,0)*0.475*44/12</f>
        <v>1.0280611569868259</v>
      </c>
      <c r="AB178" s="23">
        <f>EXP(-LN(2)/2)*AB177+(1-EXP(-LN(2)/2))/(LN(2)/2)*V178*Y178*VLOOKUP('Données projet'!$B$9,Paramètres!$A$1:$I$89,3,0)*0.475*44/12</f>
        <v>7.8486277180795801E-21</v>
      </c>
      <c r="AC178" s="24">
        <f t="shared" si="163"/>
        <v>4.0915548301399411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5.6843418860808015E-14</v>
      </c>
      <c r="O179" s="14">
        <f>N179*VLOOKUP('Données projet'!$B$9,Paramètres!$A$1:$I$89,3,0)*VLOOKUP('Données projet'!$B$9,Paramètres!$A$1:$I$89,5,0)</f>
        <v>3.3992364478763198E-14</v>
      </c>
      <c r="P179" s="14">
        <f t="shared" si="141"/>
        <v>5.790027782444094E-13</v>
      </c>
      <c r="Q179" s="22">
        <f t="shared" si="162"/>
        <v>1.0676332069095257E-12</v>
      </c>
      <c r="R179" s="62">
        <f t="shared" si="109"/>
        <v>293.33333333333439</v>
      </c>
      <c r="S179" s="62">
        <f ca="1">AVERAGE(OFFSET($R$3,0,0,'Données projet'!$E$9+1,1))-AVERAGE(OFFSET($H$3,0,0,'Données projet'!$E$9+1,1))</f>
        <v>179.92943593637102</v>
      </c>
      <c r="T179" s="62">
        <f t="shared" si="142"/>
        <v>449.95981246883593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3.0034204307692201</v>
      </c>
      <c r="AA179" s="23">
        <f>EXP(-LN(2)/25)*AA178+(1-EXP(-LN(2)/25))/(LN(2)/25)*Calculateur!V179*Calculateur!X179*VLOOKUP('Données projet'!$B$9,Paramètres!$A$1:$I$89,3,0)*0.475*44/12</f>
        <v>0.99994877058563458</v>
      </c>
      <c r="AB179" s="23">
        <f>EXP(-LN(2)/2)*AB178+(1-EXP(-LN(2)/2))/(LN(2)/2)*V179*Y179*VLOOKUP('Données projet'!$B$9,Paramètres!$A$1:$I$89,3,0)*0.475*44/12</f>
        <v>5.5498178824627696E-21</v>
      </c>
      <c r="AC179" s="24">
        <f t="shared" si="163"/>
        <v>4.0033692013548547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5.6843418860808015E-14</v>
      </c>
      <c r="O180" s="14">
        <f>N180*VLOOKUP('Données projet'!$B$9,Paramètres!$A$1:$I$89,3,0)*VLOOKUP('Données projet'!$B$9,Paramètres!$A$1:$I$89,5,0)</f>
        <v>3.3992364478763198E-14</v>
      </c>
      <c r="P180" s="14">
        <f t="shared" si="141"/>
        <v>5.790027782444094E-13</v>
      </c>
      <c r="Q180" s="22">
        <f t="shared" si="162"/>
        <v>1.0676332069095257E-12</v>
      </c>
      <c r="R180" s="62">
        <f t="shared" si="109"/>
        <v>293.33333333333439</v>
      </c>
      <c r="S180" s="62">
        <f ca="1">AVERAGE(OFFSET($R$3,0,0,'Données projet'!$E$9+1,1))-AVERAGE(OFFSET($H$3,0,0,'Données projet'!$E$9+1,1))</f>
        <v>179.92943593637102</v>
      </c>
      <c r="T180" s="62">
        <f t="shared" si="142"/>
        <v>449.95981246883593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2.9445251880274128</v>
      </c>
      <c r="AA180" s="23">
        <f>EXP(-LN(2)/25)*AA179+(1-EXP(-LN(2)/25))/(LN(2)/25)*Calculateur!V180*Calculateur!X180*VLOOKUP('Données projet'!$B$9,Paramètres!$A$1:$I$89,3,0)*0.475*44/12</f>
        <v>0.97260511886894996</v>
      </c>
      <c r="AB180" s="23">
        <f>EXP(-LN(2)/2)*AB179+(1-EXP(-LN(2)/2))/(LN(2)/2)*V180*Y180*VLOOKUP('Données projet'!$B$9,Paramètres!$A$1:$I$89,3,0)*0.475*44/12</f>
        <v>3.9243138590397901E-21</v>
      </c>
      <c r="AC180" s="24">
        <f t="shared" si="163"/>
        <v>3.9171303068963628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5.6843418860808015E-14</v>
      </c>
      <c r="O181" s="14">
        <f>N181*VLOOKUP('Données projet'!$B$9,Paramètres!$A$1:$I$89,3,0)*VLOOKUP('Données projet'!$B$9,Paramètres!$A$1:$I$89,5,0)</f>
        <v>3.3992364478763198E-14</v>
      </c>
      <c r="P181" s="14">
        <f t="shared" si="141"/>
        <v>5.790027782444094E-13</v>
      </c>
      <c r="Q181" s="22">
        <f t="shared" si="162"/>
        <v>1.0676332069095257E-12</v>
      </c>
      <c r="R181" s="62">
        <f t="shared" si="109"/>
        <v>293.33333333333439</v>
      </c>
      <c r="S181" s="62">
        <f ca="1">AVERAGE(OFFSET($R$3,0,0,'Données projet'!$E$9+1,1))-AVERAGE(OFFSET($H$3,0,0,'Données projet'!$E$9+1,1))</f>
        <v>179.92943593637102</v>
      </c>
      <c r="T181" s="62">
        <f t="shared" si="142"/>
        <v>449.95981246883593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2.8867848450732212</v>
      </c>
      <c r="AA181" s="23">
        <f>EXP(-LN(2)/25)*AA180+(1-EXP(-LN(2)/25))/(LN(2)/25)*Calculateur!V181*Calculateur!X181*VLOOKUP('Données projet'!$B$9,Paramètres!$A$1:$I$89,3,0)*0.475*44/12</f>
        <v>0.94600918074639828</v>
      </c>
      <c r="AB181" s="23">
        <f>EXP(-LN(2)/2)*AB180+(1-EXP(-LN(2)/2))/(LN(2)/2)*V181*Y181*VLOOKUP('Données projet'!$B$9,Paramètres!$A$1:$I$89,3,0)*0.475*44/12</f>
        <v>2.7749089412313848E-21</v>
      </c>
      <c r="AC181" s="24">
        <f t="shared" si="163"/>
        <v>3.8327940258196196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5.6843418860808015E-14</v>
      </c>
      <c r="O182" s="14">
        <f>N182*VLOOKUP('Données projet'!$B$9,Paramètres!$A$1:$I$89,3,0)*VLOOKUP('Données projet'!$B$9,Paramètres!$A$1:$I$89,5,0)</f>
        <v>3.3992364478763198E-14</v>
      </c>
      <c r="P182" s="14">
        <f t="shared" si="141"/>
        <v>5.790027782444094E-13</v>
      </c>
      <c r="Q182" s="22">
        <f t="shared" si="162"/>
        <v>1.0676332069095257E-12</v>
      </c>
      <c r="R182" s="62">
        <f t="shared" si="109"/>
        <v>293.33333333333439</v>
      </c>
      <c r="S182" s="62">
        <f ca="1">AVERAGE(OFFSET($R$3,0,0,'Données projet'!$E$9+1,1))-AVERAGE(OFFSET($H$3,0,0,'Données projet'!$E$9+1,1))</f>
        <v>179.92943593637102</v>
      </c>
      <c r="T182" s="62">
        <f t="shared" si="142"/>
        <v>449.95981246883593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2.8301767550262298</v>
      </c>
      <c r="AA182" s="23">
        <f>EXP(-LN(2)/25)*AA181+(1-EXP(-LN(2)/25))/(LN(2)/25)*Calculateur!V182*Calculateur!X182*VLOOKUP('Données projet'!$B$9,Paramètres!$A$1:$I$89,3,0)*0.475*44/12</f>
        <v>0.92014050995042729</v>
      </c>
      <c r="AB182" s="23">
        <f>EXP(-LN(2)/2)*AB181+(1-EXP(-LN(2)/2))/(LN(2)/2)*V182*Y182*VLOOKUP('Données projet'!$B$9,Paramètres!$A$1:$I$89,3,0)*0.475*44/12</f>
        <v>1.962156929519895E-21</v>
      </c>
      <c r="AC182" s="24">
        <f t="shared" si="163"/>
        <v>3.750317264976657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5.6843418860808015E-14</v>
      </c>
      <c r="O183" s="14">
        <f>N183*VLOOKUP('Données projet'!$B$9,Paramètres!$A$1:$I$89,3,0)*VLOOKUP('Données projet'!$B$9,Paramètres!$A$1:$I$89,5,0)</f>
        <v>3.3992364478763198E-14</v>
      </c>
      <c r="P183" s="14">
        <f t="shared" si="141"/>
        <v>5.790027782444094E-13</v>
      </c>
      <c r="Q183" s="22">
        <f t="shared" si="162"/>
        <v>1.0676332069095257E-12</v>
      </c>
      <c r="R183" s="62">
        <f t="shared" si="109"/>
        <v>293.33333333333439</v>
      </c>
      <c r="S183" s="62">
        <f ca="1">AVERAGE(OFFSET($R$3,0,0,'Données projet'!$E$9+1,1))-AVERAGE(OFFSET($H$3,0,0,'Données projet'!$E$9+1,1))</f>
        <v>179.92943593637102</v>
      </c>
      <c r="T183" s="62">
        <f t="shared" si="142"/>
        <v>449.95981246883593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2.7746787150975343</v>
      </c>
      <c r="AA183" s="23">
        <f>EXP(-LN(2)/25)*AA182+(1-EXP(-LN(2)/25))/(LN(2)/25)*Calculateur!V183*Calculateur!X183*VLOOKUP('Données projet'!$B$9,Paramètres!$A$1:$I$89,3,0)*0.475*44/12</f>
        <v>0.89497921931774649</v>
      </c>
      <c r="AB183" s="23">
        <f>EXP(-LN(2)/2)*AB182+(1-EXP(-LN(2)/2))/(LN(2)/2)*V183*Y183*VLOOKUP('Données projet'!$B$9,Paramètres!$A$1:$I$89,3,0)*0.475*44/12</f>
        <v>1.3874544706156924E-21</v>
      </c>
      <c r="AC183" s="24">
        <f t="shared" si="163"/>
        <v>3.6696579344152807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5.6843418860808015E-14</v>
      </c>
      <c r="O184" s="14">
        <f>N184*VLOOKUP('Données projet'!$B$9,Paramètres!$A$1:$I$89,3,0)*VLOOKUP('Données projet'!$B$9,Paramètres!$A$1:$I$89,5,0)</f>
        <v>3.3992364478763198E-14</v>
      </c>
      <c r="P184" s="14">
        <f t="shared" si="141"/>
        <v>5.790027782444094E-13</v>
      </c>
      <c r="Q184" s="22">
        <f t="shared" si="162"/>
        <v>1.0676332069095257E-12</v>
      </c>
      <c r="R184" s="62">
        <f t="shared" si="109"/>
        <v>293.33333333333439</v>
      </c>
      <c r="S184" s="62">
        <f ca="1">AVERAGE(OFFSET($R$3,0,0,'Données projet'!$E$9+1,1))-AVERAGE(OFFSET($H$3,0,0,'Données projet'!$E$9+1,1))</f>
        <v>179.92943593637102</v>
      </c>
      <c r="T184" s="62">
        <f t="shared" si="142"/>
        <v>449.95981246883593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2.7202689578813786</v>
      </c>
      <c r="AA184" s="23">
        <f>EXP(-LN(2)/25)*AA183+(1-EXP(-LN(2)/25))/(LN(2)/25)*Calculateur!V184*Calculateur!X184*VLOOKUP('Données projet'!$B$9,Paramètres!$A$1:$I$89,3,0)*0.475*44/12</f>
        <v>0.87050596550059112</v>
      </c>
      <c r="AB184" s="23">
        <f>EXP(-LN(2)/2)*AB183+(1-EXP(-LN(2)/2))/(LN(2)/2)*V184*Y184*VLOOKUP('Données projet'!$B$9,Paramètres!$A$1:$I$89,3,0)*0.475*44/12</f>
        <v>9.8107846475994751E-22</v>
      </c>
      <c r="AC184" s="24">
        <f t="shared" si="163"/>
        <v>3.5907749233819697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5.6843418860808015E-14</v>
      </c>
      <c r="O185" s="14">
        <f>N185*VLOOKUP('Données projet'!$B$9,Paramètres!$A$1:$I$89,3,0)*VLOOKUP('Données projet'!$B$9,Paramètres!$A$1:$I$89,5,0)</f>
        <v>3.3992364478763198E-14</v>
      </c>
      <c r="P185" s="14">
        <f t="shared" si="141"/>
        <v>5.790027782444094E-13</v>
      </c>
      <c r="Q185" s="22">
        <f t="shared" si="162"/>
        <v>1.0676332069095257E-12</v>
      </c>
      <c r="R185" s="62">
        <f t="shared" si="109"/>
        <v>293.33333333333439</v>
      </c>
      <c r="S185" s="62">
        <f ca="1">AVERAGE(OFFSET($R$3,0,0,'Données projet'!$E$9+1,1))-AVERAGE(OFFSET($H$3,0,0,'Données projet'!$E$9+1,1))</f>
        <v>179.92943593637102</v>
      </c>
      <c r="T185" s="62">
        <f t="shared" si="142"/>
        <v>449.95981246883593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2.6669261428175566</v>
      </c>
      <c r="AA185" s="23">
        <f>EXP(-LN(2)/25)*AA184+(1-EXP(-LN(2)/25))/(LN(2)/25)*Calculateur!V185*Calculateur!X185*VLOOKUP('Données projet'!$B$9,Paramètres!$A$1:$I$89,3,0)*0.475*44/12</f>
        <v>0.84670193409605832</v>
      </c>
      <c r="AB185" s="23">
        <f>EXP(-LN(2)/2)*AB184+(1-EXP(-LN(2)/2))/(LN(2)/2)*V185*Y185*VLOOKUP('Données projet'!$B$9,Paramètres!$A$1:$I$89,3,0)*0.475*44/12</f>
        <v>6.937272353078462E-22</v>
      </c>
      <c r="AC185" s="24">
        <f t="shared" si="163"/>
        <v>3.5136280769136148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5.6843418860808015E-14</v>
      </c>
      <c r="O186" s="14">
        <f>N186*VLOOKUP('Données projet'!$B$9,Paramètres!$A$1:$I$89,3,0)*VLOOKUP('Données projet'!$B$9,Paramètres!$A$1:$I$89,5,0)</f>
        <v>3.3992364478763198E-14</v>
      </c>
      <c r="P186" s="14">
        <f t="shared" si="141"/>
        <v>5.790027782444094E-13</v>
      </c>
      <c r="Q186" s="22">
        <f t="shared" si="162"/>
        <v>1.0676332069095257E-12</v>
      </c>
      <c r="R186" s="62">
        <f t="shared" si="109"/>
        <v>293.33333333333439</v>
      </c>
      <c r="S186" s="62">
        <f ca="1">AVERAGE(OFFSET($R$3,0,0,'Données projet'!$E$9+1,1))-AVERAGE(OFFSET($H$3,0,0,'Données projet'!$E$9+1,1))</f>
        <v>179.92943593637102</v>
      </c>
      <c r="T186" s="62">
        <f t="shared" si="142"/>
        <v>449.95981246883593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2.6146293478212317</v>
      </c>
      <c r="AA186" s="23">
        <f>EXP(-LN(2)/25)*AA185+(1-EXP(-LN(2)/25))/(LN(2)/25)*Calculateur!V186*Calculateur!X186*VLOOKUP('Données projet'!$B$9,Paramètres!$A$1:$I$89,3,0)*0.475*44/12</f>
        <v>0.82354882518208206</v>
      </c>
      <c r="AB186" s="23">
        <f>EXP(-LN(2)/2)*AB185+(1-EXP(-LN(2)/2))/(LN(2)/2)*V186*Y186*VLOOKUP('Données projet'!$B$9,Paramètres!$A$1:$I$89,3,0)*0.475*44/12</f>
        <v>4.9053923237997376E-22</v>
      </c>
      <c r="AC186" s="24">
        <f t="shared" si="163"/>
        <v>3.4381781730033136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5.6843418860808015E-14</v>
      </c>
      <c r="O187" s="14">
        <f>N187*VLOOKUP('Données projet'!$B$9,Paramètres!$A$1:$I$89,3,0)*VLOOKUP('Données projet'!$B$9,Paramètres!$A$1:$I$89,5,0)</f>
        <v>3.3992364478763198E-14</v>
      </c>
      <c r="P187" s="14">
        <f t="shared" si="141"/>
        <v>5.790027782444094E-13</v>
      </c>
      <c r="Q187" s="22">
        <f t="shared" si="162"/>
        <v>1.0676332069095257E-12</v>
      </c>
      <c r="R187" s="62">
        <f t="shared" si="109"/>
        <v>293.33333333333439</v>
      </c>
      <c r="S187" s="62">
        <f ca="1">AVERAGE(OFFSET($R$3,0,0,'Données projet'!$E$9+1,1))-AVERAGE(OFFSET($H$3,0,0,'Données projet'!$E$9+1,1))</f>
        <v>179.92943593637102</v>
      </c>
      <c r="T187" s="62">
        <f t="shared" si="142"/>
        <v>449.95981246883593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2.5633580610768893</v>
      </c>
      <c r="AA187" s="23">
        <f>EXP(-LN(2)/25)*AA186+(1-EXP(-LN(2)/25))/(LN(2)/25)*Calculateur!V187*Calculateur!X187*VLOOKUP('Données projet'!$B$9,Paramètres!$A$1:$I$89,3,0)*0.475*44/12</f>
        <v>0.80102883924892754</v>
      </c>
      <c r="AB187" s="23">
        <f>EXP(-LN(2)/2)*AB186+(1-EXP(-LN(2)/2))/(LN(2)/2)*V187*Y187*VLOOKUP('Données projet'!$B$9,Paramètres!$A$1:$I$89,3,0)*0.475*44/12</f>
        <v>3.468636176539231E-22</v>
      </c>
      <c r="AC187" s="24">
        <f t="shared" si="163"/>
        <v>3.3643869003258171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5.6843418860808015E-14</v>
      </c>
      <c r="O188" s="14">
        <f>N188*VLOOKUP('Données projet'!$B$9,Paramètres!$A$1:$I$89,3,0)*VLOOKUP('Données projet'!$B$9,Paramètres!$A$1:$I$89,5,0)</f>
        <v>3.3992364478763198E-14</v>
      </c>
      <c r="P188" s="14">
        <f t="shared" si="141"/>
        <v>5.790027782444094E-13</v>
      </c>
      <c r="Q188" s="22">
        <f t="shared" si="162"/>
        <v>1.0676332069095257E-12</v>
      </c>
      <c r="R188" s="62">
        <f t="shared" si="109"/>
        <v>293.33333333333439</v>
      </c>
      <c r="S188" s="62">
        <f ca="1">AVERAGE(OFFSET($R$3,0,0,'Données projet'!$E$9+1,1))-AVERAGE(OFFSET($H$3,0,0,'Données projet'!$E$9+1,1))</f>
        <v>179.92943593637102</v>
      </c>
      <c r="T188" s="62">
        <f t="shared" si="142"/>
        <v>449.95981246883593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2.5130921729932068</v>
      </c>
      <c r="AA188" s="23">
        <f>EXP(-LN(2)/25)*AA187+(1-EXP(-LN(2)/25))/(LN(2)/25)*Calculateur!V188*Calculateur!X188*VLOOKUP('Données projet'!$B$9,Paramètres!$A$1:$I$89,3,0)*0.475*44/12</f>
        <v>0.77912466351538978</v>
      </c>
      <c r="AB188" s="23">
        <f>EXP(-LN(2)/2)*AB187+(1-EXP(-LN(2)/2))/(LN(2)/2)*V188*Y188*VLOOKUP('Données projet'!$B$9,Paramètres!$A$1:$I$89,3,0)*0.475*44/12</f>
        <v>2.4526961618998688E-22</v>
      </c>
      <c r="AC188" s="24">
        <f t="shared" si="163"/>
        <v>3.2922168365085964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5.6843418860808015E-14</v>
      </c>
      <c r="O189" s="14">
        <f>N189*VLOOKUP('Données projet'!$B$9,Paramètres!$A$1:$I$89,3,0)*VLOOKUP('Données projet'!$B$9,Paramètres!$A$1:$I$89,5,0)</f>
        <v>3.3992364478763198E-14</v>
      </c>
      <c r="P189" s="14">
        <f t="shared" si="141"/>
        <v>5.790027782444094E-13</v>
      </c>
      <c r="Q189" s="22">
        <f t="shared" si="162"/>
        <v>1.0676332069095257E-12</v>
      </c>
      <c r="R189" s="62">
        <f t="shared" si="109"/>
        <v>293.33333333333439</v>
      </c>
      <c r="S189" s="62">
        <f ca="1">AVERAGE(OFFSET($R$3,0,0,'Données projet'!$E$9+1,1))-AVERAGE(OFFSET($H$3,0,0,'Données projet'!$E$9+1,1))</f>
        <v>179.92943593637102</v>
      </c>
      <c r="T189" s="62">
        <f t="shared" si="142"/>
        <v>449.95981246883593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2.4638119683156807</v>
      </c>
      <c r="AA189" s="23">
        <f>EXP(-LN(2)/25)*AA188+(1-EXP(-LN(2)/25))/(LN(2)/25)*Calculateur!V189*Calculateur!X189*VLOOKUP('Données projet'!$B$9,Paramètres!$A$1:$I$89,3,0)*0.475*44/12</f>
        <v>0.7578194586191761</v>
      </c>
      <c r="AB189" s="23">
        <f>EXP(-LN(2)/2)*AB188+(1-EXP(-LN(2)/2))/(LN(2)/2)*V189*Y189*VLOOKUP('Données projet'!$B$9,Paramètres!$A$1:$I$89,3,0)*0.475*44/12</f>
        <v>1.7343180882696155E-22</v>
      </c>
      <c r="AC189" s="24">
        <f t="shared" si="163"/>
        <v>3.2216314269348567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5.6843418860808015E-14</v>
      </c>
      <c r="O190" s="14">
        <f>N190*VLOOKUP('Données projet'!$B$9,Paramètres!$A$1:$I$89,3,0)*VLOOKUP('Données projet'!$B$9,Paramètres!$A$1:$I$89,5,0)</f>
        <v>3.3992364478763198E-14</v>
      </c>
      <c r="P190" s="14">
        <f t="shared" si="141"/>
        <v>5.790027782444094E-13</v>
      </c>
      <c r="Q190" s="22">
        <f t="shared" si="162"/>
        <v>1.0676332069095257E-12</v>
      </c>
      <c r="R190" s="62">
        <f t="shared" si="109"/>
        <v>293.33333333333439</v>
      </c>
      <c r="S190" s="62">
        <f ca="1">AVERAGE(OFFSET($R$3,0,0,'Données projet'!$E$9+1,1))-AVERAGE(OFFSET($H$3,0,0,'Données projet'!$E$9+1,1))</f>
        <v>179.92943593637102</v>
      </c>
      <c r="T190" s="62">
        <f t="shared" si="142"/>
        <v>449.95981246883593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2.4154981183939239</v>
      </c>
      <c r="AA190" s="23">
        <f>EXP(-LN(2)/25)*AA189+(1-EXP(-LN(2)/25))/(LN(2)/25)*Calculateur!V190*Calculateur!X190*VLOOKUP('Données projet'!$B$9,Paramètres!$A$1:$I$89,3,0)*0.475*44/12</f>
        <v>0.73709684567124145</v>
      </c>
      <c r="AB190" s="23">
        <f>EXP(-LN(2)/2)*AB189+(1-EXP(-LN(2)/2))/(LN(2)/2)*V190*Y190*VLOOKUP('Données projet'!$B$9,Paramètres!$A$1:$I$89,3,0)*0.475*44/12</f>
        <v>1.2263480809499344E-22</v>
      </c>
      <c r="AC190" s="24">
        <f t="shared" si="163"/>
        <v>3.1525949640651652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5.6843418860808015E-14</v>
      </c>
      <c r="O191" s="14">
        <f>N191*VLOOKUP('Données projet'!$B$9,Paramètres!$A$1:$I$89,3,0)*VLOOKUP('Données projet'!$B$9,Paramètres!$A$1:$I$89,5,0)</f>
        <v>3.3992364478763198E-14</v>
      </c>
      <c r="P191" s="14">
        <f t="shared" si="141"/>
        <v>5.790027782444094E-13</v>
      </c>
      <c r="Q191" s="22">
        <f t="shared" si="162"/>
        <v>1.0676332069095257E-12</v>
      </c>
      <c r="R191" s="62">
        <f t="shared" si="109"/>
        <v>293.33333333333439</v>
      </c>
      <c r="S191" s="62">
        <f ca="1">AVERAGE(OFFSET($R$3,0,0,'Données projet'!$E$9+1,1))-AVERAGE(OFFSET($H$3,0,0,'Données projet'!$E$9+1,1))</f>
        <v>179.92943593637102</v>
      </c>
      <c r="T191" s="62">
        <f t="shared" si="142"/>
        <v>449.95981246883593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2.368131673600594</v>
      </c>
      <c r="AA191" s="23">
        <f>EXP(-LN(2)/25)*AA190+(1-EXP(-LN(2)/25))/(LN(2)/25)*Calculateur!V191*Calculateur!X191*VLOOKUP('Données projet'!$B$9,Paramètres!$A$1:$I$89,3,0)*0.475*44/12</f>
        <v>0.71694089366412295</v>
      </c>
      <c r="AB191" s="23">
        <f>EXP(-LN(2)/2)*AB190+(1-EXP(-LN(2)/2))/(LN(2)/2)*V191*Y191*VLOOKUP('Données projet'!$B$9,Paramètres!$A$1:$I$89,3,0)*0.475*44/12</f>
        <v>8.6715904413480774E-23</v>
      </c>
      <c r="AC191" s="24">
        <f t="shared" si="163"/>
        <v>3.0850725672647168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5.6843418860808015E-14</v>
      </c>
      <c r="O192" s="14">
        <f>N192*VLOOKUP('Données projet'!$B$9,Paramètres!$A$1:$I$89,3,0)*VLOOKUP('Données projet'!$B$9,Paramètres!$A$1:$I$89,5,0)</f>
        <v>3.3992364478763198E-14</v>
      </c>
      <c r="P192" s="14">
        <f t="shared" si="141"/>
        <v>5.790027782444094E-13</v>
      </c>
      <c r="Q192" s="22">
        <f t="shared" si="162"/>
        <v>1.0676332069095257E-12</v>
      </c>
      <c r="R192" s="62">
        <f t="shared" si="109"/>
        <v>293.33333333333439</v>
      </c>
      <c r="S192" s="62">
        <f ca="1">AVERAGE(OFFSET($R$3,0,0,'Données projet'!$E$9+1,1))-AVERAGE(OFFSET($H$3,0,0,'Données projet'!$E$9+1,1))</f>
        <v>179.92943593637102</v>
      </c>
      <c r="T192" s="62">
        <f t="shared" si="142"/>
        <v>449.95981246883593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2.3216940558989827</v>
      </c>
      <c r="AA192" s="23">
        <f>EXP(-LN(2)/25)*AA191+(1-EXP(-LN(2)/25))/(LN(2)/25)*Calculateur!V192*Calculateur!X192*VLOOKUP('Données projet'!$B$9,Paramètres!$A$1:$I$89,3,0)*0.475*44/12</f>
        <v>0.69733610722459449</v>
      </c>
      <c r="AB192" s="23">
        <f>EXP(-LN(2)/2)*AB191+(1-EXP(-LN(2)/2))/(LN(2)/2)*V192*Y192*VLOOKUP('Données projet'!$B$9,Paramètres!$A$1:$I$89,3,0)*0.475*44/12</f>
        <v>6.131740404749672E-23</v>
      </c>
      <c r="AC192" s="24">
        <f t="shared" si="163"/>
        <v>3.0190301631235772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5.6843418860808015E-14</v>
      </c>
      <c r="O193" s="14">
        <f>N193*VLOOKUP('Données projet'!$B$9,Paramètres!$A$1:$I$89,3,0)*VLOOKUP('Données projet'!$B$9,Paramètres!$A$1:$I$89,5,0)</f>
        <v>3.3992364478763198E-14</v>
      </c>
      <c r="P193" s="14">
        <f t="shared" si="141"/>
        <v>5.790027782444094E-13</v>
      </c>
      <c r="Q193" s="22">
        <f t="shared" si="162"/>
        <v>1.0676332069095257E-12</v>
      </c>
      <c r="R193" s="62">
        <f t="shared" si="109"/>
        <v>293.33333333333439</v>
      </c>
      <c r="S193" s="62">
        <f ca="1">AVERAGE(OFFSET($R$3,0,0,'Données projet'!$E$9+1,1))-AVERAGE(OFFSET($H$3,0,0,'Données projet'!$E$9+1,1))</f>
        <v>179.92943593637102</v>
      </c>
      <c r="T193" s="62">
        <f t="shared" si="142"/>
        <v>449.95981246883593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2.2761670515563499</v>
      </c>
      <c r="AA193" s="23">
        <f>EXP(-LN(2)/25)*AA192+(1-EXP(-LN(2)/25))/(LN(2)/25)*Calculateur!V193*Calculateur!X193*VLOOKUP('Données projet'!$B$9,Paramètres!$A$1:$I$89,3,0)*0.475*44/12</f>
        <v>0.67826741470122587</v>
      </c>
      <c r="AB193" s="23">
        <f>EXP(-LN(2)/2)*AB192+(1-EXP(-LN(2)/2))/(LN(2)/2)*V193*Y193*VLOOKUP('Données projet'!$B$9,Paramètres!$A$1:$I$89,3,0)*0.475*44/12</f>
        <v>4.3357952206740387E-23</v>
      </c>
      <c r="AC193" s="24">
        <f t="shared" si="163"/>
        <v>2.9544344662575757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5.6843418860808015E-14</v>
      </c>
      <c r="O194" s="14">
        <f>N194*VLOOKUP('Données projet'!$B$9,Paramètres!$A$1:$I$89,3,0)*VLOOKUP('Données projet'!$B$9,Paramètres!$A$1:$I$89,5,0)</f>
        <v>3.3992364478763198E-14</v>
      </c>
      <c r="P194" s="14">
        <f t="shared" si="141"/>
        <v>5.790027782444094E-13</v>
      </c>
      <c r="Q194" s="22">
        <f t="shared" si="162"/>
        <v>1.0676332069095257E-12</v>
      </c>
      <c r="R194" s="62">
        <f t="shared" si="109"/>
        <v>293.33333333333439</v>
      </c>
      <c r="S194" s="62">
        <f ca="1">AVERAGE(OFFSET($R$3,0,0,'Données projet'!$E$9+1,1))-AVERAGE(OFFSET($H$3,0,0,'Données projet'!$E$9+1,1))</f>
        <v>179.92943593637102</v>
      </c>
      <c r="T194" s="62">
        <f t="shared" si="142"/>
        <v>449.95981246883593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2.2315328040001456</v>
      </c>
      <c r="AA194" s="23">
        <f>EXP(-LN(2)/25)*AA193+(1-EXP(-LN(2)/25))/(LN(2)/25)*Calculateur!V194*Calculateur!X194*VLOOKUP('Données projet'!$B$9,Paramètres!$A$1:$I$89,3,0)*0.475*44/12</f>
        <v>0.65972015657768768</v>
      </c>
      <c r="AB194" s="23">
        <f>EXP(-LN(2)/2)*AB193+(1-EXP(-LN(2)/2))/(LN(2)/2)*V194*Y194*VLOOKUP('Données projet'!$B$9,Paramètres!$A$1:$I$89,3,0)*0.475*44/12</f>
        <v>3.065870202374836E-23</v>
      </c>
      <c r="AC194" s="24">
        <f t="shared" si="163"/>
        <v>2.8912529605778334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5.6843418860808015E-14</v>
      </c>
      <c r="O195" s="14">
        <f>N195*VLOOKUP('Données projet'!$B$9,Paramètres!$A$1:$I$89,3,0)*VLOOKUP('Données projet'!$B$9,Paramètres!$A$1:$I$89,5,0)</f>
        <v>3.3992364478763198E-14</v>
      </c>
      <c r="P195" s="14">
        <f t="shared" si="141"/>
        <v>5.790027782444094E-13</v>
      </c>
      <c r="Q195" s="22">
        <f t="shared" si="162"/>
        <v>1.0676332069095257E-12</v>
      </c>
      <c r="R195" s="62">
        <f t="shared" ref="R195:R203" si="191">Q195+(I195+J195)*44/12</f>
        <v>293.33333333333439</v>
      </c>
      <c r="S195" s="62">
        <f ca="1">AVERAGE(OFFSET($R$3,0,0,'Données projet'!$E$9+1,1))-AVERAGE(OFFSET($H$3,0,0,'Données projet'!$E$9+1,1))</f>
        <v>179.92943593637102</v>
      </c>
      <c r="T195" s="62">
        <f t="shared" si="142"/>
        <v>449.95981246883593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2.1877738068143158</v>
      </c>
      <c r="AA195" s="23">
        <f>EXP(-LN(2)/25)*AA194+(1-EXP(-LN(2)/25))/(LN(2)/25)*Calculateur!V195*Calculateur!X195*VLOOKUP('Données projet'!$B$9,Paramètres!$A$1:$I$89,3,0)*0.475*44/12</f>
        <v>0.64168007420289563</v>
      </c>
      <c r="AB195" s="23">
        <f>EXP(-LN(2)/2)*AB194+(1-EXP(-LN(2)/2))/(LN(2)/2)*V195*Y195*VLOOKUP('Données projet'!$B$9,Paramètres!$A$1:$I$89,3,0)*0.475*44/12</f>
        <v>2.1678976103370194E-23</v>
      </c>
      <c r="AC195" s="24">
        <f t="shared" si="163"/>
        <v>2.8294538810172112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5.6843418860808015E-14</v>
      </c>
      <c r="O196" s="14">
        <f>N196*VLOOKUP('Données projet'!$B$9,Paramètres!$A$1:$I$89,3,0)*VLOOKUP('Données projet'!$B$9,Paramètres!$A$1:$I$89,5,0)</f>
        <v>3.3992364478763198E-14</v>
      </c>
      <c r="P196" s="14">
        <f t="shared" si="141"/>
        <v>5.790027782444094E-13</v>
      </c>
      <c r="Q196" s="22">
        <f t="shared" si="162"/>
        <v>1.0676332069095257E-12</v>
      </c>
      <c r="R196" s="62">
        <f t="shared" si="191"/>
        <v>293.33333333333439</v>
      </c>
      <c r="S196" s="62">
        <f ca="1">AVERAGE(OFFSET($R$3,0,0,'Données projet'!$E$9+1,1))-AVERAGE(OFFSET($H$3,0,0,'Données projet'!$E$9+1,1))</f>
        <v>179.92943593637102</v>
      </c>
      <c r="T196" s="62">
        <f t="shared" si="142"/>
        <v>449.95981246883593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2.1448728968729469</v>
      </c>
      <c r="AA196" s="23">
        <f>EXP(-LN(2)/25)*AA195+(1-EXP(-LN(2)/25))/(LN(2)/25)*Calculateur!V196*Calculateur!X196*VLOOKUP('Données projet'!$B$9,Paramètres!$A$1:$I$89,3,0)*0.475*44/12</f>
        <v>0.62413329882932889</v>
      </c>
      <c r="AB196" s="23">
        <f>EXP(-LN(2)/2)*AB195+(1-EXP(-LN(2)/2))/(LN(2)/2)*V196*Y196*VLOOKUP('Données projet'!$B$9,Paramètres!$A$1:$I$89,3,0)*0.475*44/12</f>
        <v>1.532935101187418E-23</v>
      </c>
      <c r="AC196" s="24">
        <f t="shared" si="163"/>
        <v>2.7690061957022758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5.6843418860808015E-14</v>
      </c>
      <c r="O197" s="14">
        <f>N197*VLOOKUP('Données projet'!$B$9,Paramètres!$A$1:$I$89,3,0)*VLOOKUP('Données projet'!$B$9,Paramètres!$A$1:$I$89,5,0)</f>
        <v>3.3992364478763198E-14</v>
      </c>
      <c r="P197" s="14">
        <f t="shared" ref="P197:P203" si="203">EXP(-1.0587+0.8836*LN(O197)+0.284)</f>
        <v>5.790027782444094E-13</v>
      </c>
      <c r="Q197" s="22">
        <f t="shared" si="162"/>
        <v>1.0676332069095257E-12</v>
      </c>
      <c r="R197" s="62">
        <f t="shared" si="191"/>
        <v>293.33333333333439</v>
      </c>
      <c r="S197" s="62">
        <f ca="1">AVERAGE(OFFSET($R$3,0,0,'Données projet'!$E$9+1,1))-AVERAGE(OFFSET($H$3,0,0,'Données projet'!$E$9+1,1))</f>
        <v>179.92943593637102</v>
      </c>
      <c r="T197" s="62">
        <f t="shared" ref="T197:T203" si="204">$T$3</f>
        <v>449.95981246883593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2.102813247608557</v>
      </c>
      <c r="AA197" s="23">
        <f>EXP(-LN(2)/25)*AA196+(1-EXP(-LN(2)/25))/(LN(2)/25)*Calculateur!V197*Calculateur!X197*VLOOKUP('Données projet'!$B$9,Paramètres!$A$1:$I$89,3,0)*0.475*44/12</f>
        <v>0.60706634095109713</v>
      </c>
      <c r="AB197" s="23">
        <f>EXP(-LN(2)/2)*AB196+(1-EXP(-LN(2)/2))/(LN(2)/2)*V197*Y197*VLOOKUP('Données projet'!$B$9,Paramètres!$A$1:$I$89,3,0)*0.475*44/12</f>
        <v>1.0839488051685097E-23</v>
      </c>
      <c r="AC197" s="24">
        <f t="shared" si="163"/>
        <v>2.7098795885596543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5.6843418860808015E-14</v>
      </c>
      <c r="O198" s="14">
        <f>N198*VLOOKUP('Données projet'!$B$9,Paramètres!$A$1:$I$89,3,0)*VLOOKUP('Données projet'!$B$9,Paramètres!$A$1:$I$89,5,0)</f>
        <v>3.3992364478763198E-14</v>
      </c>
      <c r="P198" s="14">
        <f t="shared" si="203"/>
        <v>5.790027782444094E-13</v>
      </c>
      <c r="Q198" s="22">
        <f t="shared" si="162"/>
        <v>1.0676332069095257E-12</v>
      </c>
      <c r="R198" s="62">
        <f t="shared" si="191"/>
        <v>293.33333333333439</v>
      </c>
      <c r="S198" s="62">
        <f ca="1">AVERAGE(OFFSET($R$3,0,0,'Données projet'!$E$9+1,1))-AVERAGE(OFFSET($H$3,0,0,'Données projet'!$E$9+1,1))</f>
        <v>179.92943593637102</v>
      </c>
      <c r="T198" s="62">
        <f t="shared" si="204"/>
        <v>449.95981246883593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2.0615783624123889</v>
      </c>
      <c r="AA198" s="23">
        <f>EXP(-LN(2)/25)*AA197+(1-EXP(-LN(2)/25))/(LN(2)/25)*Calculateur!V198*Calculateur!X198*VLOOKUP('Données projet'!$B$9,Paramètres!$A$1:$I$89,3,0)*0.475*44/12</f>
        <v>0.59046607993355793</v>
      </c>
      <c r="AB198" s="23">
        <f>EXP(-LN(2)/2)*AB197+(1-EXP(-LN(2)/2))/(LN(2)/2)*V198*Y198*VLOOKUP('Données projet'!$B$9,Paramètres!$A$1:$I$89,3,0)*0.475*44/12</f>
        <v>7.66467550593709E-24</v>
      </c>
      <c r="AC198" s="24">
        <f t="shared" si="163"/>
        <v>2.6520444423459466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5.6843418860808015E-14</v>
      </c>
      <c r="O199" s="14">
        <f>N199*VLOOKUP('Données projet'!$B$9,Paramètres!$A$1:$I$89,3,0)*VLOOKUP('Données projet'!$B$9,Paramètres!$A$1:$I$89,5,0)</f>
        <v>3.3992364478763198E-14</v>
      </c>
      <c r="P199" s="14">
        <f t="shared" si="203"/>
        <v>5.790027782444094E-13</v>
      </c>
      <c r="Q199" s="22">
        <f t="shared" si="162"/>
        <v>1.0676332069095257E-12</v>
      </c>
      <c r="R199" s="62">
        <f t="shared" si="191"/>
        <v>293.33333333333439</v>
      </c>
      <c r="S199" s="62">
        <f ca="1">AVERAGE(OFFSET($R$3,0,0,'Données projet'!$E$9+1,1))-AVERAGE(OFFSET($H$3,0,0,'Données projet'!$E$9+1,1))</f>
        <v>179.92943593637102</v>
      </c>
      <c r="T199" s="62">
        <f t="shared" si="204"/>
        <v>449.95981246883593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2.0211520681641213</v>
      </c>
      <c r="AA199" s="23">
        <f>EXP(-LN(2)/25)*AA198+(1-EXP(-LN(2)/25))/(LN(2)/25)*Calculateur!V199*Calculateur!X199*VLOOKUP('Données projet'!$B$9,Paramètres!$A$1:$I$89,3,0)*0.475*44/12</f>
        <v>0.57431975392651313</v>
      </c>
      <c r="AB199" s="23">
        <f>EXP(-LN(2)/2)*AB198+(1-EXP(-LN(2)/2))/(LN(2)/2)*V199*Y199*VLOOKUP('Données projet'!$B$9,Paramètres!$A$1:$I$89,3,0)*0.475*44/12</f>
        <v>5.4197440258425484E-24</v>
      </c>
      <c r="AC199" s="24">
        <f t="shared" si="163"/>
        <v>2.5954718220906345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5.6843418860808015E-14</v>
      </c>
      <c r="O200" s="14">
        <f>N200*VLOOKUP('Données projet'!$B$9,Paramètres!$A$1:$I$89,3,0)*VLOOKUP('Données projet'!$B$9,Paramètres!$A$1:$I$89,5,0)</f>
        <v>3.3992364478763198E-14</v>
      </c>
      <c r="P200" s="14">
        <f t="shared" si="203"/>
        <v>5.790027782444094E-13</v>
      </c>
      <c r="Q200" s="22">
        <f t="shared" si="162"/>
        <v>1.0676332069095257E-12</v>
      </c>
      <c r="R200" s="62">
        <f t="shared" si="191"/>
        <v>293.33333333333439</v>
      </c>
      <c r="S200" s="62">
        <f ca="1">AVERAGE(OFFSET($R$3,0,0,'Données projet'!$E$9+1,1))-AVERAGE(OFFSET($H$3,0,0,'Données projet'!$E$9+1,1))</f>
        <v>179.92943593637102</v>
      </c>
      <c r="T200" s="62">
        <f t="shared" si="204"/>
        <v>449.95981246883593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1.9815185088884575</v>
      </c>
      <c r="AA200" s="23">
        <f>EXP(-LN(2)/25)*AA199+(1-EXP(-LN(2)/25))/(LN(2)/25)*Calculateur!V200*Calculateur!X200*VLOOKUP('Données projet'!$B$9,Paramètres!$A$1:$I$89,3,0)*0.475*44/12</f>
        <v>0.55861495005322936</v>
      </c>
      <c r="AB200" s="23">
        <f>EXP(-LN(2)/2)*AB199+(1-EXP(-LN(2)/2))/(LN(2)/2)*V200*Y200*VLOOKUP('Données projet'!$B$9,Paramètres!$A$1:$I$89,3,0)*0.475*44/12</f>
        <v>3.832337752968545E-24</v>
      </c>
      <c r="AC200" s="24">
        <f t="shared" si="163"/>
        <v>2.5401334589416869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5.6843418860808015E-14</v>
      </c>
      <c r="O201" s="14">
        <f>N201*VLOOKUP('Données projet'!$B$9,Paramètres!$A$1:$I$89,3,0)*VLOOKUP('Données projet'!$B$9,Paramètres!$A$1:$I$89,5,0)</f>
        <v>3.3992364478763198E-14</v>
      </c>
      <c r="P201" s="14">
        <f t="shared" si="203"/>
        <v>5.790027782444094E-13</v>
      </c>
      <c r="Q201" s="22">
        <f t="shared" si="162"/>
        <v>1.0676332069095257E-12</v>
      </c>
      <c r="R201" s="62">
        <f t="shared" si="191"/>
        <v>293.33333333333439</v>
      </c>
      <c r="S201" s="62">
        <f ca="1">AVERAGE(OFFSET($R$3,0,0,'Données projet'!$E$9+1,1))-AVERAGE(OFFSET($H$3,0,0,'Données projet'!$E$9+1,1))</f>
        <v>179.92943593637102</v>
      </c>
      <c r="T201" s="62">
        <f t="shared" si="204"/>
        <v>449.95981246883593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1.9426621395361052</v>
      </c>
      <c r="AA201" s="23">
        <f>EXP(-LN(2)/25)*AA200+(1-EXP(-LN(2)/25))/(LN(2)/25)*Calculateur!V201*Calculateur!X201*VLOOKUP('Données projet'!$B$9,Paramètres!$A$1:$I$89,3,0)*0.475*44/12</f>
        <v>0.54333959486774031</v>
      </c>
      <c r="AB201" s="23">
        <f>EXP(-LN(2)/2)*AB200+(1-EXP(-LN(2)/2))/(LN(2)/2)*V201*Y201*VLOOKUP('Données projet'!$B$9,Paramètres!$A$1:$I$89,3,0)*0.475*44/12</f>
        <v>2.7098720129212742E-24</v>
      </c>
      <c r="AC201" s="24">
        <f t="shared" si="163"/>
        <v>2.4860017344038456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5.6843418860808015E-14</v>
      </c>
      <c r="O202" s="14">
        <f>N202*VLOOKUP('Données projet'!$B$9,Paramètres!$A$1:$I$89,3,0)*VLOOKUP('Données projet'!$B$9,Paramètres!$A$1:$I$89,5,0)</f>
        <v>3.3992364478763198E-14</v>
      </c>
      <c r="P202" s="14">
        <f t="shared" si="203"/>
        <v>5.790027782444094E-13</v>
      </c>
      <c r="Q202" s="22">
        <f t="shared" si="162"/>
        <v>1.0676332069095257E-12</v>
      </c>
      <c r="R202" s="62">
        <f t="shared" si="191"/>
        <v>293.33333333333439</v>
      </c>
      <c r="S202" s="62">
        <f ca="1">AVERAGE(OFFSET($R$3,0,0,'Données projet'!$E$9+1,1))-AVERAGE(OFFSET($H$3,0,0,'Données projet'!$E$9+1,1))</f>
        <v>179.92943593637102</v>
      </c>
      <c r="T202" s="62">
        <f t="shared" si="204"/>
        <v>449.95981246883593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1.9045677198867075</v>
      </c>
      <c r="AA202" s="23">
        <f>EXP(-LN(2)/25)*AA201+(1-EXP(-LN(2)/25))/(LN(2)/25)*Calculateur!V202*Calculateur!X202*VLOOKUP('Données projet'!$B$9,Paramètres!$A$1:$I$89,3,0)*0.475*44/12</f>
        <v>0.52848194507309443</v>
      </c>
      <c r="AB202" s="23">
        <f>EXP(-LN(2)/2)*AB201+(1-EXP(-LN(2)/2))/(LN(2)/2)*V202*Y202*VLOOKUP('Données projet'!$B$9,Paramètres!$A$1:$I$89,3,0)*0.475*44/12</f>
        <v>1.9161688764842725E-24</v>
      </c>
      <c r="AC202" s="24">
        <f t="shared" si="163"/>
        <v>2.4330496649598019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5.6843418860808015E-14</v>
      </c>
      <c r="O203" s="14">
        <f>N203*VLOOKUP('Données projet'!$B$9,Paramètres!$A$1:$I$89,3,0)*VLOOKUP('Données projet'!$B$9,Paramètres!$A$1:$I$89,5,0)</f>
        <v>3.3992364478763198E-14</v>
      </c>
      <c r="P203" s="14">
        <f t="shared" si="203"/>
        <v>5.790027782444094E-13</v>
      </c>
      <c r="Q203" s="22">
        <f t="shared" si="162"/>
        <v>1.0676332069095257E-12</v>
      </c>
      <c r="R203" s="62">
        <f t="shared" si="191"/>
        <v>293.33333333333439</v>
      </c>
      <c r="S203" s="62">
        <f ca="1">AVERAGE(OFFSET($R$3,0,0,'Données projet'!$E$9+1,1))-AVERAGE(OFFSET($H$3,0,0,'Données projet'!$E$9+1,1))</f>
        <v>179.92943593637102</v>
      </c>
      <c r="T203" s="62">
        <f t="shared" si="204"/>
        <v>449.95981246883593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1.8672203085713328</v>
      </c>
      <c r="AA203" s="23">
        <f>EXP(-LN(2)/25)*AA202+(1-EXP(-LN(2)/25))/(LN(2)/25)*Calculateur!V203*Calculateur!X203*VLOOKUP('Données projet'!$B$9,Paramètres!$A$1:$I$89,3,0)*0.475*44/12</f>
        <v>0.51403057849341305</v>
      </c>
      <c r="AB203" s="23">
        <f>EXP(-LN(2)/2)*AB202+(1-EXP(-LN(2)/2))/(LN(2)/2)*V203*Y203*VLOOKUP('Données projet'!$B$9,Paramètres!$A$1:$I$89,3,0)*0.475*44/12</f>
        <v>1.3549360064606371E-24</v>
      </c>
      <c r="AC203" s="24">
        <f t="shared" si="163"/>
        <v>2.3812508870647457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1.4775846521465832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77734375" style="5" bestFit="1" customWidth="1"/>
    <col min="3" max="3" width="11.77734375" style="5" bestFit="1" customWidth="1"/>
    <col min="4" max="4" width="40" style="5" bestFit="1" customWidth="1"/>
    <col min="5" max="5" width="11.77734375" style="5" bestFit="1" customWidth="1"/>
    <col min="6" max="6" width="13.77734375" style="5" bestFit="1" customWidth="1"/>
    <col min="7" max="7" width="11.44140625" style="5" bestFit="1" customWidth="1"/>
    <col min="8" max="8" width="39" style="5" bestFit="1" customWidth="1"/>
    <col min="9" max="9" width="16.7773437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workbookViewId="0">
      <selection activeCell="O3" sqref="O3"/>
    </sheetView>
  </sheetViews>
  <sheetFormatPr baseColWidth="10" defaultColWidth="11.44140625" defaultRowHeight="14.4" x14ac:dyDescent="0.3"/>
  <cols>
    <col min="1" max="1" width="22.777343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Pin maritime</v>
      </c>
      <c r="B6" s="155">
        <f>'Données projet'!D9</f>
        <v>1.4237</v>
      </c>
      <c r="C6" s="156">
        <f ca="1">IF(OR('Données projet'!B9="",'Données projet'!C9="",'Données projet'!C9=0%),0,Calculateur!S3)</f>
        <v>179.92943593637102</v>
      </c>
      <c r="D6" s="156">
        <f>IF(OR('Données projet'!B9="",'Données projet'!C9="",'Données projet'!C9=0%),0,Calculateur!T3)</f>
        <v>449.95981246883593</v>
      </c>
      <c r="E6" s="156">
        <f ca="1">MIN(C6,D6)</f>
        <v>179.92943593637102</v>
      </c>
      <c r="F6" s="156">
        <f ca="1">E6*B6</f>
        <v>256.16553794261142</v>
      </c>
      <c r="G6" s="156">
        <f ca="1">F6*(100%-'Données projet'!$C$24)*(100%-'Données projet'!$C$25)*(100%-'Données projet'!$C$26)*(100%-'Données projet'!$C$27)</f>
        <v>156.77330922087819</v>
      </c>
      <c r="H6" s="157">
        <f>IF(OR('Données projet'!B9="",'Données projet'!C9="",'Données projet'!C9=0%),0,AVERAGE(Calculateur!$AC$3:$AC$33)*B6)</f>
        <v>17.260413959161799</v>
      </c>
      <c r="I6" s="158">
        <f>H6*(100%-'Données projet'!$C$24)*(100%-'Données projet'!$C$25)*(100%-'Données projet'!$C$26)*(100%-'Données projet'!$C$27)</f>
        <v>10.56337334300702</v>
      </c>
      <c r="J6" s="159">
        <f>IF(OR('Données projet'!B9="",'Données projet'!C9="",'Données projet'!C9=0%),0,SUM(Calculateur!$V$3:$V$33)*VLOOKUP('Données projet'!$B$9,Paramètres!$A$1:$I$89,9,0)*B6)</f>
        <v>392.94404739999999</v>
      </c>
      <c r="K6" s="160">
        <f>J6*(100%-'Données projet'!$C$24)*(100%-'Données projet'!$C$25)*(100%-'Données projet'!$C$26)*(100%-'Données projet'!$C$27)</f>
        <v>240.48175700880006</v>
      </c>
      <c r="L6" s="161">
        <f ca="1">G6+I6+K6</f>
        <v>407.81843957268529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256.16553794261142</v>
      </c>
      <c r="G16" s="175">
        <f t="shared" ca="1" si="3"/>
        <v>156.77330922087819</v>
      </c>
      <c r="H16" s="176">
        <f t="shared" si="3"/>
        <v>17.260413959161799</v>
      </c>
      <c r="I16" s="176">
        <f t="shared" si="3"/>
        <v>10.56337334300702</v>
      </c>
      <c r="J16" s="177">
        <f t="shared" si="3"/>
        <v>392.94404739999999</v>
      </c>
      <c r="K16" s="177">
        <f t="shared" si="3"/>
        <v>240.48175700880006</v>
      </c>
      <c r="L16" s="178">
        <f t="shared" ca="1" si="3"/>
        <v>407.81843957268529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zoomScale="90" zoomScaleNormal="90" workbookViewId="0">
      <selection activeCell="G26" sqref="G26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21875" style="1" bestFit="1" customWidth="1"/>
    <col min="4" max="5" width="11.44140625" style="1"/>
    <col min="6" max="6" width="14" style="3" customWidth="1"/>
    <col min="7" max="7" width="17.5546875" style="3" customWidth="1"/>
    <col min="8" max="8" width="21.7773437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218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1.4237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12</v>
      </c>
      <c r="B23" s="193">
        <f>'Données projet'!D36</f>
        <v>26.2</v>
      </c>
      <c r="C23" s="206"/>
      <c r="D23" s="194">
        <f>B23*C23</f>
        <v>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13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14</v>
      </c>
      <c r="B25" s="193">
        <f>'Données projet'!D38</f>
        <v>0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6">
        <f ca="1">T23-T24</f>
        <v>0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15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n'est pas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16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17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18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19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20</v>
      </c>
      <c r="B31" s="193">
        <f>'Données projet'!D44</f>
        <v>62.6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21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22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23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24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25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26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27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28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29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30</v>
      </c>
      <c r="B41" s="193">
        <f>'Données projet'!D54</f>
        <v>379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Florence HEUSCHMIDT</cp:lastModifiedBy>
  <dcterms:created xsi:type="dcterms:W3CDTF">2021-02-01T08:22:39Z</dcterms:created>
  <dcterms:modified xsi:type="dcterms:W3CDTF">2022-02-16T16:46:00Z</dcterms:modified>
</cp:coreProperties>
</file>